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elliotsaye/Downloads/"/>
    </mc:Choice>
  </mc:AlternateContent>
  <xr:revisionPtr revIDLastSave="0" documentId="8_{7468CC30-A90B-B444-9B9A-5969A76BF9E5}" xr6:coauthVersionLast="47" xr6:coauthVersionMax="47" xr10:uidLastSave="{00000000-0000-0000-0000-000000000000}"/>
  <bookViews>
    <workbookView xWindow="0" yWindow="740" windowWidth="29400" windowHeight="17240" activeTab="4" xr2:uid="{30E1B6F8-89FB-4B41-89F8-0FD189609154}"/>
  </bookViews>
  <sheets>
    <sheet name="Cover" sheetId="20" r:id="rId1"/>
    <sheet name="Transaction" sheetId="13" r:id="rId2"/>
    <sheet name="Valuation and Cash Flow" sheetId="15" r:id="rId3"/>
    <sheet name="Forecast Assumptions" sheetId="18" r:id="rId4"/>
    <sheet name="LBO" sheetId="14" r:id="rId5"/>
    <sheet name="Consolidated IS Build" sheetId="16" r:id="rId6"/>
    <sheet name="Consolidated BS Build" sheetId="17" r:id="rId7"/>
    <sheet name="Revenue Build - CK F." sheetId="1" r:id="rId8"/>
    <sheet name="Revenue Build - North Italia" sheetId="3" r:id="rId9"/>
    <sheet name="Revenue Build - FRC &amp; Others" sheetId="11" r:id="rId10"/>
    <sheet name="Revenue Build - Franchising" sheetId="12" r:id="rId11"/>
    <sheet name="Cost Build - Aggregate" sheetId="5" r:id="rId12"/>
    <sheet name="Balance Sheet Link" sheetId="8" r:id="rId13"/>
    <sheet name="Cash Flow Statement Link" sheetId="9" r:id="rId14"/>
    <sheet name="Comps Analysis" sheetId="19" r:id="rId15"/>
    <sheet name="Historicals" sheetId="2" r:id="rId16"/>
  </sheets>
  <definedNames>
    <definedName name="_xlchart.v1.0" hidden="1">Transaction!$E$50:$E$54</definedName>
    <definedName name="_xlchart.v1.1" hidden="1">Transaction!$F$50:$F$54</definedName>
    <definedName name="AA.AlternatePriceSourceStartPeriod">"Q1-2018"</definedName>
    <definedName name="AA.CIK">"887596"</definedName>
    <definedName name="AA.ColorizerVersion">"2.0.4.0"</definedName>
    <definedName name="AA.CompareQuarters.LatestMRQ">"Q3-2018"</definedName>
    <definedName name="AA.CSIN">"B1ICH30103"</definedName>
    <definedName name="AA.CurationVersion">"2023.11.1.0"</definedName>
    <definedName name="AA.DBMacroVersion">"1.0.13.0"</definedName>
    <definedName name="AA.FreeCashFlow">"TRUE"</definedName>
    <definedName name="AA.HardcodeChecker.LatestMRQ">"Q3-2019"</definedName>
    <definedName name="AA.ModelChecks.LatestMRQ">"Q3-2021"</definedName>
    <definedName name="AA.ModelChecks.LatestVersionNumber">"2.38.22.0"</definedName>
    <definedName name="AA.ModelColorScheme">"Classic"</definedName>
    <definedName name="AA.ModelVersion">"FY2023.23"</definedName>
    <definedName name="AA.NonLibraryWideCurationVersion">"5"</definedName>
    <definedName name="AA.PartialUpdate.BsAvailable">"FALSE"</definedName>
    <definedName name="AA.PartialUpdate.CfsAvailable">"FALSE"</definedName>
    <definedName name="AA.PartialUpdate.IsAvailable">"TRUE"</definedName>
    <definedName name="AA.PeriodLayout">"QFY"</definedName>
    <definedName name="AA.PersonalMacro.VersionNumber">"1.5.3.0"</definedName>
    <definedName name="AA.RowNameEnforcerVersion">"2023.11.1.0"</definedName>
    <definedName name="AA.SessionToUploadId">""</definedName>
    <definedName name="AA.StartWorkModelVersion">"FY2023.22"</definedName>
    <definedName name="AA.StartWorkType">""</definedName>
    <definedName name="AA.SubyearType">"Q"</definedName>
    <definedName name="AA.TemplateUpgradeAttempted">"TRUE"</definedName>
    <definedName name="AA.TemplateVersion">"7.4.8.0"</definedName>
    <definedName name="AA.UpdateType">"Regular"</definedName>
    <definedName name="AA.VerifyUnitsAtModelVersion">"Q1-2018.24"</definedName>
    <definedName name="HP.MRFX">Historicals!$B$934</definedName>
    <definedName name="HP.ReportCurrency">Historicals!$B$933</definedName>
    <definedName name="HP.Ticker">Historicals!$A$2</definedName>
    <definedName name="HP.TradeCurrency">Historicals!$B$931</definedName>
    <definedName name="HP.TradeCurrency.HardCoded">Historicals!$B$932</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O_AN_NI_NONGAAP_Diluted">Historicals!$377:$377</definedName>
    <definedName name="MO_BS_AP">Historicals!$764:$764</definedName>
    <definedName name="MO_BS_AR">Historicals!$746:$746</definedName>
    <definedName name="MO_BS_CA">Historicals!$751:$751</definedName>
    <definedName name="MO_BS_Cash">Historicals!$743:$743</definedName>
    <definedName name="MO_BS_CL">Historicals!$769:$769</definedName>
    <definedName name="MO_BS_CommonStock">Historicals!$784:$784</definedName>
    <definedName name="MO_BS_ContributedSurplus">Historicals!$785:$785</definedName>
    <definedName name="MO_BS_Intangibles">Historicals!$755:$755</definedName>
    <definedName name="MO_BS_INV">Historicals!$748:$748</definedName>
    <definedName name="MO_BS_NCA">Historicals!$760:$760</definedName>
    <definedName name="MO_BS_NCI">Historicals!$790:$790</definedName>
    <definedName name="MO_BS_NCL">Historicals!$780:$780</definedName>
    <definedName name="MO_BS_OCI">Historicals!$787:$787</definedName>
    <definedName name="MO_BS_OL_Current">Historicals!$767:$767</definedName>
    <definedName name="MO_BS_OL_NonCurrent">Historicals!$777:$777</definedName>
    <definedName name="MO_BS_PPE">Historicals!$754:$754</definedName>
    <definedName name="MO_BS_PrepaidExpenses">Historicals!$749:$749</definedName>
    <definedName name="MO_BS_RetainedEarnings">Historicals!$786:$786</definedName>
    <definedName name="MO_BS_ROU">Historicals!$756:$756</definedName>
    <definedName name="MO_BS_SE">Historicals!$789:$789</definedName>
    <definedName name="MO_BS_TA">Historicals!$761:$761</definedName>
    <definedName name="MO_BS_TaxAssets_Deferred_Current">Historicals!$750:$750</definedName>
    <definedName name="MO_BS_TaxLiabilities_Deferred_NonCurrent">Historicals!$773:$773</definedName>
    <definedName name="MO_BS_TL">Historicals!$781:$781</definedName>
    <definedName name="MO_BS_TLSE">Historicals!$791:$791</definedName>
    <definedName name="MO_BS_TreasuryStock">Historicals!$788:$788</definedName>
    <definedName name="MO_BSS_Cash">Historicals!$520:$520</definedName>
    <definedName name="MO_BSS_Debt">Historicals!$523:$523</definedName>
    <definedName name="MO_BSS_Debt_LT">Historicals!$522:$522</definedName>
    <definedName name="MO_BSS_Debt_Net">Historicals!$525:$525</definedName>
    <definedName name="MO_BSS_Debt_ST">Historicals!$521:$521</definedName>
    <definedName name="MO_BSS_Debt_ToCF">Historicals!$536:$536</definedName>
    <definedName name="MO_BSS_Debt_ToEBITDA">Historicals!$535:$535</definedName>
    <definedName name="MO_BSS_IE">Historicals!$527:$527</definedName>
    <definedName name="MO_BSS_IE_Net">Historicals!$531:$531</definedName>
    <definedName name="MO_BSS_II">Historicals!$529:$529</definedName>
    <definedName name="MO_BSS_InterestRate_Cash">Historicals!$530:$530</definedName>
    <definedName name="MO_BSS_InterestRate_Debt">Historicals!$528:$528</definedName>
    <definedName name="MO_BSS_NetInterestCoverage">Historicals!$534:$534</definedName>
    <definedName name="MO_BSS_NetInterestRate_Debt">Historicals!$532:$532</definedName>
    <definedName name="MO_BSS_OL">Historicals!$524:$524</definedName>
    <definedName name="MO_CCFS_Balance_Begin">Historicals!$627:$627</definedName>
    <definedName name="MO_CCFS_Balance_End">Historicals!$628:$628</definedName>
    <definedName name="MO_CCFS_CFF">Historicals!$622:$622</definedName>
    <definedName name="MO_CCFS_CFI">Historicals!$599:$599</definedName>
    <definedName name="MO_CCFS_CFO">Historicals!$587:$587</definedName>
    <definedName name="MO_CCFS_CFO_BeforeWC">Historicals!$573:$573</definedName>
    <definedName name="MO_CCFS_FX">Historicals!$624:$624</definedName>
    <definedName name="MO_CCFS_NetChange">Historicals!$625:$625</definedName>
    <definedName name="MO_CCFS_Sup_CashInterest">Historicals!$630:$630</definedName>
    <definedName name="MO_CCFS_Sup_CashTax">Historicals!$631:$631</definedName>
    <definedName name="MO_CFS_Balance_Begin">Historicals!$698:$698</definedName>
    <definedName name="MO_CFS_Balance_End">Historicals!$699:$699</definedName>
    <definedName name="MO_CFS_Buyback">Historicals!$691:$691</definedName>
    <definedName name="MO_CFS_CFF">Historicals!$693:$693</definedName>
    <definedName name="MO_CFS_CFI">Historicals!$670:$670</definedName>
    <definedName name="MO_CFS_CFO">Historicals!$658:$658</definedName>
    <definedName name="MO_CFS_CFO_BeforeWC">Historicals!$644:$644</definedName>
    <definedName name="MO_CFS_DA">Historicals!$636:$636</definedName>
    <definedName name="MO_CFS_DeferredTax">Historicals!$638:$638</definedName>
    <definedName name="MO_CFS_Dividend">Historicals!$683:$683</definedName>
    <definedName name="MO_CFS_FX">Historicals!$695:$695</definedName>
    <definedName name="MO_CFS_Impairment">Historicals!$637:$637</definedName>
    <definedName name="MO_CFS_NetChange">Historicals!$696:$696</definedName>
    <definedName name="MO_CFS_NewEquityIssued">Historicals!$689:$689</definedName>
    <definedName name="MO_CFS_NI">Historicals!$635:$635</definedName>
    <definedName name="MO_CFS_SBC">Historicals!$639:$639</definedName>
    <definedName name="MO_CFS_Sup_CashInterest">Historicals!$701:$701</definedName>
    <definedName name="MO_CFS_Sup_CashTax">Historicals!$702:$702</definedName>
    <definedName name="MO_CFS_WC_AE">Historicals!$655:$655</definedName>
    <definedName name="MO_CFS_WC_AP">Historicals!$653:$653</definedName>
    <definedName name="MO_CFS_WC_AR">Historicals!$647:$647</definedName>
    <definedName name="MO_CFS_WC_INV">Historicals!$649:$649</definedName>
    <definedName name="MO_CFS_WC_PrepaidExpenses">Historicals!$650:$650</definedName>
    <definedName name="MO_CFS_WC_TaxPayable">Historicals!$648:$648</definedName>
    <definedName name="MO_CFSum_Acquisition">Historicals!$501:$501</definedName>
    <definedName name="MO_CFSum_Capex">Historicals!$499:$499</definedName>
    <definedName name="MO_CFSum_CFO">Historicals!$495:$495</definedName>
    <definedName name="MO_CFSum_CFO_BeforeWC">Historicals!$493:$493</definedName>
    <definedName name="MO_CFSum_CFOPS">Historicals!$497:$497</definedName>
    <definedName name="MO_CFSum_CFOPS_BeforeWC">Historicals!$496:$496</definedName>
    <definedName name="MO_CFSum_CFPS">Historicals!$497:$497</definedName>
    <definedName name="MO_CFSum_ChangeInWC">Historicals!$494:$494</definedName>
    <definedName name="MO_CFSum_Divestiture">Historicals!$502:$502</definedName>
    <definedName name="MO_CFSum_Dividend">Historicals!$503:$503</definedName>
    <definedName name="MO_CFSum_DPS">Historicals!$504:$504</definedName>
    <definedName name="MO_CFSum_FCF_PostDivPostAD">Historicals!$512:$512</definedName>
    <definedName name="MO_CFSum_FCF_PostDivPostADPostDebtPostBuyback">Historicals!$513:$513</definedName>
    <definedName name="MO_CFSum_FCF_PostDivPreAD">Historicals!$511:$511</definedName>
    <definedName name="MO_CFSum_FCF_PostWCPostDivPostAD">Historicals!$516:$516</definedName>
    <definedName name="MO_CFSum_FCF_PostWCPostDivPostADPostDebtPostBuyback">Historicals!$517:$517</definedName>
    <definedName name="MO_CFSum_FCF_PostWCPostDivPreAD">Historicals!$515:$515</definedName>
    <definedName name="MO_CFSum_FCF_PostWCPreDiv">Historicals!$514:$514</definedName>
    <definedName name="MO_CFSum_FCF_PreDiv">Historicals!$510:$510</definedName>
    <definedName name="MO_CFSum_NetDebtIssuance">Historicals!$506:$506</definedName>
    <definedName name="MO_CFSum_NetShares">Historicals!$507:$507</definedName>
    <definedName name="MO_CFSum_NetShares_Price">Historicals!$508:$508</definedName>
    <definedName name="MO_Checks_Bottom">Historicals!$C$796:$XFD$816</definedName>
    <definedName name="MO_Checks_BS">Historicals!$793:$793</definedName>
    <definedName name="MO_Checks_CF">Historicals!$704:$704</definedName>
    <definedName name="MO_Checks_IS">Historicals!$358:$358</definedName>
    <definedName name="MO_Common_Column_A">Historicals!$A:$A</definedName>
    <definedName name="MO_Common_Column_B">Historicals!$B:$B</definedName>
    <definedName name="MO_Common_ColumnHeader">Historicals!$5:$5</definedName>
    <definedName name="MO_Common_CompanySubtitle">Historicals!$2:$2</definedName>
    <definedName name="MO_Common_CompanyTitle">Historicals!$1:$1</definedName>
    <definedName name="MO_Common_FPDays">Historicals!$3:$3</definedName>
    <definedName name="MO_Common_QEndDate">Historicals!$4:$4</definedName>
    <definedName name="MO_Common_QEndDate_LWD">Historicals!$920:$920</definedName>
    <definedName name="MO_DAF_A">Historicals!$727:$727</definedName>
    <definedName name="MO_DAF_A_Percentage">Historicals!$733:$733</definedName>
    <definedName name="MO_DAF_Capex">Historicals!$738:$738</definedName>
    <definedName name="MO_DAF_D">Historicals!$721:$721</definedName>
    <definedName name="MO_DAF_D_Percentage">Historicals!$732:$732</definedName>
    <definedName name="MO_DAF_DA">Historicals!$737:$737</definedName>
    <definedName name="MO_DAF_Intangibles_BoP">Historicals!$726:$726</definedName>
    <definedName name="MO_DAF_Intangibles_Capex">Historicals!$728:$728</definedName>
    <definedName name="MO_DAF_Intangibles_Capex_Percent">Historicals!$739:$739</definedName>
    <definedName name="MO_DAF_Intangibles_EoP">Historicals!$730:$730</definedName>
    <definedName name="MO_DAF_Intangibles_Life">Historicals!$735:$735</definedName>
    <definedName name="MO_DAF_Intangibles_Other">Historicals!$729:$729</definedName>
    <definedName name="MO_DAF_PPE_BoP">Historicals!$720:$720</definedName>
    <definedName name="MO_DAF_PPE_Capex">Historicals!$722:$722</definedName>
    <definedName name="MO_DAF_PPE_EoP">Historicals!$724:$724</definedName>
    <definedName name="MO_DAF_PPE_Life">Historicals!$734:$734</definedName>
    <definedName name="MO_DAF_PPE_Other">Historicals!$723:$723</definedName>
    <definedName name="MO_GA_SSS">Historicals!$20:$20</definedName>
    <definedName name="MO_GA_SSS_AverageCheck">Historicals!$18:$18</definedName>
    <definedName name="MO_GA_SSS_CompanyOwned">Historicals!$20:$20</definedName>
    <definedName name="MO_GA_SSS_Traffic">Historicals!$19:$19</definedName>
    <definedName name="MO_GA_SystemWideSales">Historicals!$278:$278</definedName>
    <definedName name="MO_GA_TotalRevenue">Historicals!$14:$14</definedName>
    <definedName name="MO_IS_COGS">Historicals!$337:$337</definedName>
    <definedName name="MO_IS_DA">Historicals!$341:$341</definedName>
    <definedName name="MO_IS_Dividend_Prefs">Historicals!$353:$353</definedName>
    <definedName name="MO_IS_EBIT">Historicals!$347:$347</definedName>
    <definedName name="MO_IS_EBT">Historicals!$350:$350</definedName>
    <definedName name="MO_IS_EI">Historicals!$348:$348</definedName>
    <definedName name="MO_IS_FirstRow">Historicals!$336:$336</definedName>
    <definedName name="MO_IS_GA">Historicals!$340:$340</definedName>
    <definedName name="MO_IS_Impairment">Historicals!$342:$342</definedName>
    <definedName name="MO_IS_NI_ContinOp">Historicals!$352:$352</definedName>
    <definedName name="MO_IS_REV">Historicals!$336:$336</definedName>
    <definedName name="MO_IS_Tax">Historicals!$351:$351</definedName>
    <definedName name="MO_KPI_AUV_CompanyOwned">Historicals!$280:$280</definedName>
    <definedName name="MO_KPI_AUV_CompanyOwned_LTM">Historicals!$293:$293</definedName>
    <definedName name="MO_KPI_AUV_Franchise">Historicals!$281:$281</definedName>
    <definedName name="MO_KPI_AUV_Franchise_LTM">Historicals!$294:$294</definedName>
    <definedName name="MO_KPI_AUV_SystemWide">Historicals!$282:$282</definedName>
    <definedName name="MO_KPI_AUV_SystemWide_LTM">Historicals!$295:$295</definedName>
    <definedName name="MO_KPI_EmployeeCount">Historicals!$272:$272</definedName>
    <definedName name="MO_KPI_Franchise_TotalRate_LTM">Historicals!$297:$297</definedName>
    <definedName name="MO_KPI_FranchiseStorePerc">Historicals!$215:$215</definedName>
    <definedName name="MO_KPI_LaborExpenseMargin_LTM">Historicals!$300:$300</definedName>
    <definedName name="MO_KPI_NetNewStores">Historicals!$243:$243</definedName>
    <definedName name="MO_KPI_NetNewStores_CompanyOwned">Historicals!$238:$238</definedName>
    <definedName name="MO_KPI_NetNewStores_Franchised">Historicals!$210:$210</definedName>
    <definedName name="MO_KPI_OccupancyandOtherMargin_LTM">Historicals!$301:$301</definedName>
    <definedName name="MO_KPI_ProductCostMargin_LTM">Historicals!$299:$299</definedName>
    <definedName name="MO_KPI_RestLevelCostsMargin_LTM">Historicals!$302:$302</definedName>
    <definedName name="MO_KPI_RestLevelProfitMargin_Improvement_LTM">Historicals!$304:$304</definedName>
    <definedName name="MO_KPI_RestLevelProfitMargin_LTM">Historicals!$303:$303</definedName>
    <definedName name="MO_KPI_REV_Franchise_LTM">Historicals!$289:$289</definedName>
    <definedName name="MO_KPI_REV_Growth">Historicals!$14:$14</definedName>
    <definedName name="MO_KPI_REV_LTM">Historicals!$291:$291</definedName>
    <definedName name="MO_KPI_Sales_CompanyOwned">Historicals!$275:$275</definedName>
    <definedName name="MO_KPI_Sales_CompanyOwned_LTM">Historicals!$284:$284</definedName>
    <definedName name="MO_KPI_Sales_Franchise">Historicals!$276:$276</definedName>
    <definedName name="MO_KPI_Sales_Franchise_LTM">Historicals!$285:$285</definedName>
    <definedName name="MO_KPI_Sales_SystemWide">Historicals!$277:$277</definedName>
    <definedName name="MO_KPI_Sales_SystemWide_LTM">Historicals!$286:$286</definedName>
    <definedName name="MO_KPI_SSSG_AverageCheck_LTM">Historicals!$306:$306</definedName>
    <definedName name="MO_KPI_SSSG_CompanyOwned">Historicals!$20:$20</definedName>
    <definedName name="MO_KPI_SSSG_CompanyOwned_LTM">Historicals!$308:$308</definedName>
    <definedName name="MO_KPI_SSSG_Traffic_LTM">Historicals!$307:$307</definedName>
    <definedName name="MO_KPI_Stores">Historicals!$244:$244</definedName>
    <definedName name="MO_KPI_Stores_CompanyOwned">Historicals!$239:$239</definedName>
    <definedName name="MO_KPI_Stores_Franchised">Historicals!$209:$209</definedName>
    <definedName name="MO_KPI_SystemWideSales_Growth">Historicals!$278:$278</definedName>
    <definedName name="MO_KPI_SystemWideSales_Growth_LTM">Historicals!$310:$310</definedName>
    <definedName name="MO_MA_DA">Historicals!$329:$329</definedName>
    <definedName name="MO_MA_EBIT">Historicals!$325:$325</definedName>
    <definedName name="MO_MA_EBIT_Adj">Historicals!$326:$326</definedName>
    <definedName name="MO_MA_EBITDA">Historicals!$331:$331</definedName>
    <definedName name="MO_MA_EBITDA_Adj">Historicals!$332:$332</definedName>
    <definedName name="MO_MA_GA">Historicals!$324:$324</definedName>
    <definedName name="MO_MA_LaborExpense">Historicals!$314:$314</definedName>
    <definedName name="MO_MA_LaborExpenseImprovement">Historicals!$320:$320</definedName>
    <definedName name="MO_MA_OccupancyandOther">Historicals!$315:$315</definedName>
    <definedName name="MO_MA_OtherOperatingExpense">Historicals!$315:$315</definedName>
    <definedName name="MO_MA_OtherOperatingExpenseImprovement">Historicals!$321:$321</definedName>
    <definedName name="MO_MA_ProductCost">Historicals!$313:$313</definedName>
    <definedName name="MO_MA_ProductCosts">Historicals!$313:$313</definedName>
    <definedName name="MO_MA_ProductCostsImprovement">Historicals!$319:$319</definedName>
    <definedName name="MO_MA_RestLevelCosts">Historicals!$316:$316</definedName>
    <definedName name="MO_MA_RestLevelProfit">Historicals!$317:$317</definedName>
    <definedName name="MO_MA_RestLevelProfitImprovement">Historicals!$322:$322</definedName>
    <definedName name="MO_MA_SBC">Historicals!$330:$330</definedName>
    <definedName name="MO_OS_AUV_CompanyOwned">Historicals!$280:$280</definedName>
    <definedName name="MO_OS_AUV_Franchise">Historicals!$281:$281</definedName>
    <definedName name="MO_OS_AUV_SystemWide">Historicals!$282:$282</definedName>
    <definedName name="MO_OS_AverageStores">Historicals!$240:$240</definedName>
    <definedName name="MO_OS_AverageStores_CompanyOwned">Historicals!$240:$240</definedName>
    <definedName name="MO_OS_AverageStores_Franchised">Historicals!$211:$211</definedName>
    <definedName name="MO_OS_EmployeeCount">Historicals!$272:$272</definedName>
    <definedName name="MO_OS_FranchiseStorePerc">Historicals!$215:$215</definedName>
    <definedName name="MO_OS_LeaseCost_Operating">Historicals!$264:$264</definedName>
    <definedName name="MO_OS_NetNewStores">Historicals!$243:$243</definedName>
    <definedName name="MO_OS_NetNewStores_CompanyOwned">Historicals!$238:$238</definedName>
    <definedName name="MO_OS_NetNewStores_Franchised">Historicals!$210:$210</definedName>
    <definedName name="MO_OS_RentExpense">Historicals!$269:$269</definedName>
    <definedName name="MO_OS_Sales_CompanyOwned">Historicals!$275:$275</definedName>
    <definedName name="MO_OS_Sales_Franchise">Historicals!$276:$276</definedName>
    <definedName name="MO_OS_Sales_SystemWide">Historicals!$277:$277</definedName>
    <definedName name="MO_OS_SSS_NewStores">Historicals!$64:$64</definedName>
    <definedName name="MO_OS_SSS_NewStores_CompanyOwned">Historicals!$64:$64</definedName>
    <definedName name="MO_OS_SSS_SalesPerCompStore">Historicals!$67:$67</definedName>
    <definedName name="MO_OS_SSS_SalesPerCompStore_CompanyOwned">Historicals!$67:$67</definedName>
    <definedName name="MO_OS_SSS_Stores">Historicals!$61:$61</definedName>
    <definedName name="MO_OS_SSS_Stores_CompanyOwned">Historicals!$61:$61</definedName>
    <definedName name="MO_OS_Stores_BoP">Historicals!$235:$235</definedName>
    <definedName name="MO_OS_Stores_BoP_CompanyOwned">Historicals!$235:$235</definedName>
    <definedName name="MO_OS_Stores_Closed">Historicals!$237:$237</definedName>
    <definedName name="MO_OS_Stores_Closed_CompanyOwned">Historicals!$237:$237</definedName>
    <definedName name="MO_OS_Stores_EoP">Historicals!$244:$244</definedName>
    <definedName name="MO_OS_Stores_EoP_CompanyOwned">Historicals!$239:$239</definedName>
    <definedName name="MO_OS_Stores_EoP_Franchised">Historicals!$209:$209</definedName>
    <definedName name="MO_OS_Stores_New">Historicals!$236:$236</definedName>
    <definedName name="MO_OS_Stores_New_CompanyOwned">Historicals!$236:$236</definedName>
    <definedName name="MO_RIS_Adjustments_Dilution_GAAP">Historicals!$410:$410</definedName>
    <definedName name="MO_RIS_Adjustments_Dilution_NONGAAP">Historicals!$413:$413</definedName>
    <definedName name="MO_RIS_Adjustments_NONGAAP">Historicals!$412:$412</definedName>
    <definedName name="MO_RIS_CompanyOwnedRevenue">Historicals!$380:$380</definedName>
    <definedName name="MO_RIS_DA">Historicals!$392:$392</definedName>
    <definedName name="MO_RIS_DA_Operating">Historicals!$387:$387</definedName>
    <definedName name="MO_RIS_DisCont">Historicals!$406:$406</definedName>
    <definedName name="MO_RIS_Dividend_Prefs">Historicals!$408:$408</definedName>
    <definedName name="MO_RIS_EBIT">Historicals!$388:$388</definedName>
    <definedName name="MO_RIS_EBIT_Adj">Historicals!$389:$389</definedName>
    <definedName name="MO_RIS_EBITDA">Historicals!$394:$394</definedName>
    <definedName name="MO_RIS_EBITDA_Adj">Historicals!$395:$395</definedName>
    <definedName name="MO_RIS_EBT">Historicals!$401:$401</definedName>
    <definedName name="MO_RIS_EPS_WAB">Historicals!$419:$419</definedName>
    <definedName name="MO_RIS_EPS_WAD">Historicals!$420:$420</definedName>
    <definedName name="MO_RIS_EPS_WAD_Adj">Historicals!$421:$421</definedName>
    <definedName name="MO_RIS_FranchiseandOtherRevenue">Historicals!$381:$381</definedName>
    <definedName name="MO_RIS_GA">Historicals!$386:$386</definedName>
    <definedName name="MO_RIS_IE">Historicals!$398:$398</definedName>
    <definedName name="MO_RIS_IE_Net">Historicals!$398:$398</definedName>
    <definedName name="MO_RIS_NCI">Historicals!$407:$407</definedName>
    <definedName name="MO_RIS_NI_ContinOp">Historicals!$405:$405</definedName>
    <definedName name="MO_RIS_NI_GAAP_Basic">Historicals!$409:$409</definedName>
    <definedName name="MO_RIS_NI_GAAP_Diluted">Historicals!$411:$411</definedName>
    <definedName name="MO_RIS_NI_NONGAAP_Diluted">Historicals!$414:$414</definedName>
    <definedName name="MO_RIS_OI">Historicals!$399:$399</definedName>
    <definedName name="MO_RIS_OTI">Historicals!$400:$400</definedName>
    <definedName name="MO_RIS_RestLevelExpenses">Historicals!$385:$385</definedName>
    <definedName name="MO_RIS_REV">Historicals!$382:$382</definedName>
    <definedName name="MO_RIS_SBC">Historicals!$393:$393</definedName>
    <definedName name="MO_RIS_ShareCount_WAB">Historicals!$424:$424</definedName>
    <definedName name="MO_RIS_ShareCount_WAD">Historicals!$425:$425</definedName>
    <definedName name="MO_RIS_ShareCount_WAD_Adj">Historicals!$426:$426</definedName>
    <definedName name="MO_RIS_Tax_Current">Historicals!$403:$403</definedName>
    <definedName name="MO_RIS_Tax_Deferred">Historicals!$404:$404</definedName>
    <definedName name="MO_RIS_TaxRate_Current">Historicals!$416:$416</definedName>
    <definedName name="MO_RIS_TaxRate_Deferred">Historicals!$417:$417</definedName>
    <definedName name="MO_SCA_Date_CoverPage">Historicals!$488:$488</definedName>
    <definedName name="MO_SCA_Date_LastWorkingDay">Historicals!$429:$429</definedName>
    <definedName name="MO_SCA_ESPPObligations_EoP">Historicals!$480:$480</definedName>
    <definedName name="MO_SCA_Other_EoP">Historicals!$481:$481</definedName>
    <definedName name="MO_SCA_Ratio_DilutedOverBasic">Historicals!$445:$445</definedName>
    <definedName name="MO_SCA_ShareCount_CoverPage">Historicals!$487:$487</definedName>
    <definedName name="MO_SCA_ShareCount_CoverPage_Class1">Historicals!$487:$487</definedName>
    <definedName name="MO_SCA_ShareCount_CoverPage_Dilutive">Historicals!$490:$490</definedName>
    <definedName name="MO_SCA_ShareCount_CoverPage_Ticker1">Historicals!$487:$487</definedName>
    <definedName name="MO_SCA_ShareCount_DilutiveShares">Historicals!$444:$444</definedName>
    <definedName name="MO_SCA_ShareCount_EoP">Historicals!$434:$434</definedName>
    <definedName name="MO_SCA_ShareCount_EoP_Class1">Historicals!$434:$434</definedName>
    <definedName name="MO_SCA_ShareCount_EoP_Diluted">Historicals!$447:$447</definedName>
    <definedName name="MO_SCA_ShareCount_EoP_Economic">Historicals!$436:$436</definedName>
    <definedName name="MO_SCA_ShareCount_EoP_Growth_Dilutive_QoQ">Historicals!$437:$437</definedName>
    <definedName name="MO_SCA_ShareCount_EoP_Growth_Dilutive_YoY">Historicals!$438:$438</definedName>
    <definedName name="MO_SCA_ShareCount_EoP_Growth_NetIssuance_QoQ">Historicals!$439:$439</definedName>
    <definedName name="MO_SCA_ShareCount_EoP_Growth_NetIssuance_YoY">Historicals!$440:$440</definedName>
    <definedName name="MO_SCA_ShareCount_EoP_Growth_QoQ">Historicals!$441:$441</definedName>
    <definedName name="MO_SCA_ShareCount_EoP_Growth_YoY">Historicals!$442:$442</definedName>
    <definedName name="MO_SCA_ShareCount_EoP_SharesIssued">Historicals!$432:$432</definedName>
    <definedName name="MO_SCA_ShareCount_EoP_Ticker1">Historicals!$434:$434</definedName>
    <definedName name="MO_SCA_ShareCount_EoP_Treasury">Historicals!$433:$433</definedName>
    <definedName name="MO_SCA_ShareCount_FullyDiluted">Historicals!$485:$485</definedName>
    <definedName name="MO_SCA_ShareCount_PotentialDilution">Historicals!$483:$483</definedName>
    <definedName name="MO_SCA_StockOptions_BoP">Historicals!$455:$455</definedName>
    <definedName name="MO_SCA_StockOptions_Canceled">Historicals!$458:$458</definedName>
    <definedName name="MO_SCA_StockOptions_Cumulative_BoP">Historicals!$449:$449</definedName>
    <definedName name="MO_SCA_StockOptions_Cumulative_Canceled">Historicals!$452:$452</definedName>
    <definedName name="MO_SCA_StockOptions_Cumulative_EoP">Historicals!$453:$453</definedName>
    <definedName name="MO_SCA_StockOptions_Cumulative_Exercised">Historicals!$451:$451</definedName>
    <definedName name="MO_SCA_StockOptions_Cumulative_Granted">Historicals!$450:$450</definedName>
    <definedName name="MO_SCA_StockOptions_Cumulative_Price_BoP">Historicals!$461:$461</definedName>
    <definedName name="MO_SCA_StockOptions_Cumulative_Price_Canceled">Historicals!$464:$464</definedName>
    <definedName name="MO_SCA_StockOptions_Cumulative_Price_EoP">Historicals!$465:$465</definedName>
    <definedName name="MO_SCA_StockOptions_Cumulative_Price_Exercised">Historicals!$463:$463</definedName>
    <definedName name="MO_SCA_StockOptions_Cumulative_Price_Granted">Historicals!$462:$462</definedName>
    <definedName name="MO_SCA_StockOptions_Dilution">Historicals!$472:$472</definedName>
    <definedName name="MO_SCA_StockOptions_EoP">Historicals!$459:$459</definedName>
    <definedName name="MO_SCA_StockOptions_Exercisable_EoP">Historicals!$474:$474</definedName>
    <definedName name="MO_SCA_StockOptions_Exercised">Historicals!$457:$457</definedName>
    <definedName name="MO_SCA_StockOptions_Granted">Historicals!$456:$456</definedName>
    <definedName name="MO_SCA_StockOptions_Price_BoP">Historicals!$467:$467</definedName>
    <definedName name="MO_SCA_StockOptions_Price_Canceled">Historicals!$470:$470</definedName>
    <definedName name="MO_SCA_StockOptions_Price_EoP">Historicals!$471:$471</definedName>
    <definedName name="MO_SCA_StockOptions_Price_Exercisable_EoP">Historicals!$475:$475</definedName>
    <definedName name="MO_SCA_StockOptions_Price_Exercised">Historicals!$469:$469</definedName>
    <definedName name="MO_SCA_StockOptions_Price_Granted">Historicals!$468:$468</definedName>
    <definedName name="MO_SCA_StockPrice_EoP">Historicals!$430:$430</definedName>
    <definedName name="MO_SCA_UnvestedRSU_EoP">Historicals!$477:$477</definedName>
    <definedName name="MO_SCA_UnvestedRSU_Price_EoP">Historicals!$478:$478</definedName>
    <definedName name="MO_Section_AdjustedNumbers">Historicals!$360:$360</definedName>
    <definedName name="MO_Section_BalanceSheet">Historicals!$741:$741</definedName>
    <definedName name="MO_Section_BalanceSheetSummary">Historicals!$519:$519</definedName>
    <definedName name="MO_Section_CashFlowStatement">Historicals!$633:$633</definedName>
    <definedName name="MO_Section_CashFlowSummary">Historicals!$492:$492</definedName>
    <definedName name="MO_Section_CumulativeCashFlowStatement">Historicals!$562:$562</definedName>
    <definedName name="MO_Section_DAForecasting">Historicals!$719:$719</definedName>
    <definedName name="MO_Section_GrowthAnalysis">Historicals!$6:$6</definedName>
    <definedName name="MO_Section_IncomeStatement">Historicals!$335:$335</definedName>
    <definedName name="MO_Section_KeyMetricsCheesecakeFactoryStatisticsFS">Historicals!$247:$247</definedName>
    <definedName name="MO_Section_KeyMetricsEmployeeCountFS">Historicals!$271:$271</definedName>
    <definedName name="MO_Section_KeyMetricsInternationalFranchiseesMDA">Historicals!$191:$191</definedName>
    <definedName name="MO_Section_KeyMetricsLeaseCostandRentExpenseFS">Historicals!$260:$260</definedName>
    <definedName name="MO_Section_KeyMetricsLTMMetrics">Historicals!$274:$274</definedName>
    <definedName name="MO_Section_KeyMetricsOtherRestaurantsMDA">Historicals!$160:$160</definedName>
    <definedName name="MO_Section_KeyMetricsTotalCompanyRestaurantsPR">Historicals!$234:$234</definedName>
    <definedName name="MO_Section_LastRow">Historicals!$943:$943</definedName>
    <definedName name="MO_Section_MarginAnalysis">Historicals!$312:$312</definedName>
    <definedName name="MO_Section_ModelChecks">Historicals!$795:$795</definedName>
    <definedName name="MO_Section_OperatingStatsFoxRestaurantConceptBrandsPR">Historicals!$147:$147</definedName>
    <definedName name="MO_Section_OperatingStatsNorthItaliaPR">Historicals!$102:$102</definedName>
    <definedName name="MO_Section_OperatingStatsStoreDataPR">Historicals!$53:$53</definedName>
    <definedName name="MO_Section_RevisedIncomeStatement">Historicals!$379:$379</definedName>
    <definedName name="MO_Section_SegmentedResultsCostsBreakdownMDA">Historicals!$35:$35</definedName>
    <definedName name="MO_Section_SegmentedResultsOperatingIncomeBreakdownFS">Historicals!$219:$219</definedName>
    <definedName name="MO_Section_SegmentedResultsRevenueBreakdownFS">Historicals!$25:$25</definedName>
    <definedName name="MO_Section_ShareCountAnalysis">Historicals!$428:$428</definedName>
    <definedName name="MO_Section_Tables">Historicals!$818:$818</definedName>
    <definedName name="MO_Section_Valuation">Historicals!$538:$538</definedName>
    <definedName name="MO_Section_WorkingCapitalForecasting">Historicals!$706:$706</definedName>
    <definedName name="MO_SNA_ConsensusEstimatePeriodNumber">Historicals!$880:$880</definedName>
    <definedName name="MO_SNA_ConsensusEstimatePeriodType">Historicals!$879:$879</definedName>
    <definedName name="MO_SNA_FPStartDate">Historicals!$890:$890</definedName>
    <definedName name="MO_SNA_Guidance_ApplicablePeriod_FY">Historicals!$875:$875</definedName>
    <definedName name="MO_SNA_Guidance_ApplicablePeriod_Q">Historicals!$869:$869</definedName>
    <definedName name="MO_SNA_Guidance_IsLatest_FY">Historicals!$874:$874</definedName>
    <definedName name="MO_SNA_Guidance_ReportDate_FY">Historicals!$873:$873</definedName>
    <definedName name="MO_SNA_Guidance_ReportDate_Q">Historicals!$868:$868</definedName>
    <definedName name="MO_SNA_IsHistoricalPeriod">Historicals!$891:$891</definedName>
    <definedName name="MO_SNA_LastDataRow">Historicals!$791:$791</definedName>
    <definedName name="MO_SPT_FXAverage">Historicals!$913:$913</definedName>
    <definedName name="MO_SPT_FXAverage_Sources">Historicals!$914:$918</definedName>
    <definedName name="MO_SPT_FXAverage_Sources_Bloomberg">Historicals!$915:$915</definedName>
    <definedName name="MO_SPT_FXAverage_Sources_CapIQ">Historicals!$916:$916</definedName>
    <definedName name="MO_SPT_FXAverage_Sources_FactSet">Historicals!$917:$917</definedName>
    <definedName name="MO_SPT_FXAverage_Sources_RealTimeOff">Historicals!$914:$914</definedName>
    <definedName name="MO_SPT_FXAverage_Sources_Thomson">Historicals!$918:$918</definedName>
    <definedName name="MO_SPT_FXEoP">Historicals!$922:$922</definedName>
    <definedName name="MO_SPT_StockAverage">Historicals!$906:$906</definedName>
    <definedName name="MO_SPT_StockAverage_Sources">Historicals!$907:$911</definedName>
    <definedName name="MO_SPT_StockAverage_Sources_Bloomberg">Historicals!$908:$908</definedName>
    <definedName name="MO_SPT_StockAverage_Sources_CapIQ">Historicals!$909:$909</definedName>
    <definedName name="MO_SPT_StockAverage_Sources_FactSet">Historicals!$910:$910</definedName>
    <definedName name="MO_SPT_StockAverage_Sources_RealTimeOff">Historicals!$907:$907</definedName>
    <definedName name="MO_SPT_StockAverage_Sources_Thomson">Historicals!$911:$911</definedName>
    <definedName name="MO_SPT_StockEoP">Historicals!$921:$921</definedName>
    <definedName name="MO_SPT_StockHigh">Historicals!$892:$892</definedName>
    <definedName name="MO_SPT_StockHigh_Sources">Historicals!$893:$897</definedName>
    <definedName name="MO_SPT_StockHigh_Sources_Bloomberg">Historicals!$894:$894</definedName>
    <definedName name="MO_SPT_StockHigh_Sources_CapIQ">Historicals!$895:$895</definedName>
    <definedName name="MO_SPT_StockHigh_Sources_FactSet">Historicals!$896:$896</definedName>
    <definedName name="MO_SPT_StockHigh_Sources_RealTimeOff">Historicals!$893:$893</definedName>
    <definedName name="MO_SPT_StockHigh_Sources_Thomson">Historicals!$897:$897</definedName>
    <definedName name="MO_SPT_StockLow">Historicals!$899:$899</definedName>
    <definedName name="MO_SPT_StockLow_Sources">Historicals!$900:$904</definedName>
    <definedName name="MO_SPT_StockLow_Sources_Bloomberg">Historicals!$901:$901</definedName>
    <definedName name="MO_SPT_StockLow_Sources_CapIQ">Historicals!$902:$902</definedName>
    <definedName name="MO_SPT_StockLow_Sources_FactSet">Historicals!$903:$903</definedName>
    <definedName name="MO_SPT_StockLow_Sources_RealTimeOff">Historicals!$900:$900</definedName>
    <definedName name="MO_SPT_StockLow_Sources_Thomson">Historicals!$904:$904</definedName>
    <definedName name="MO_SubSection_BS_CA">Historicals!$742:$742</definedName>
    <definedName name="MO_SubSection_BS_CL">Historicals!$763:$763</definedName>
    <definedName name="MO_SubSection_BS_NCA">Historicals!$753:$753</definedName>
    <definedName name="MO_SubSection_BS_NCL">Historicals!$771:$771</definedName>
    <definedName name="MO_SubSection_BS_SE">Historicals!$783:$783</definedName>
    <definedName name="MO_SubSection_CCFS_CFF">Historicals!$601:$601</definedName>
    <definedName name="MO_SubSection_CCFS_CFI">Historicals!$589:$589</definedName>
    <definedName name="MO_SubSection_CCFS_CFO">Historicals!$563:$563</definedName>
    <definedName name="MO_SubSection_CFS_CFF">Historicals!$672:$672</definedName>
    <definedName name="MO_SubSection_CFS_CFI">Historicals!$660:$660</definedName>
    <definedName name="MO_SubSection_CFS_CFO">Historicals!$634:$634</definedName>
    <definedName name="MO_VA_EV">Historicals!$541:$541</definedName>
    <definedName name="MO_VA_EV_ToEBITDA">Historicals!$544:$544</definedName>
    <definedName name="MO_VA_EVCalc_NCI">Historicals!$558:$558</definedName>
    <definedName name="MO_VA_EVCalc_Other">Historicals!$560:$560</definedName>
    <definedName name="MO_VA_EVCalc_Prefs">Historicals!$559:$559</definedName>
    <definedName name="MO_VA_FCFYield_ToEV">Historicals!$547:$547</definedName>
    <definedName name="MO_VA_FCFYield_ToMktCap">Historicals!$546:$546</definedName>
    <definedName name="MO_VA_FX_Average">Historicals!$553:$553</definedName>
    <definedName name="MO_VA_FX_EoP">Historicals!$554:$554</definedName>
    <definedName name="MO_VA_MarketCap">Historicals!$540:$540</definedName>
    <definedName name="MO_VA_P_ToCF">Historicals!$545:$545</definedName>
    <definedName name="MO_VA_P_ToE">Historicals!$543:$543</definedName>
    <definedName name="MO_VA_StockPrice">Historicals!$539:$539</definedName>
    <definedName name="MO_VA_StockPrice_Avg">Historicals!$551:$551</definedName>
    <definedName name="MO_VA_StockPrice_EoP">Historicals!$552:$552</definedName>
    <definedName name="MO_VA_StockPrice_High">Historicals!$549:$549</definedName>
    <definedName name="MO_VA_StockPrice_Low">Historicals!$550:$550</definedName>
    <definedName name="MO_VA_StockPrice_TradingCurrency">Historicals!$555:$555</definedName>
    <definedName name="MO.ApplyTradeCurrencyScaling">Historicals!$B$930</definedName>
    <definedName name="MO.CFY">Historicals!$B$938</definedName>
    <definedName name="MO.CompanyName">Historicals!$A$1</definedName>
    <definedName name="MO.DataSourceIndex">Historicals!$B$941</definedName>
    <definedName name="MO.DataSourceName">Historicals!$A$4</definedName>
    <definedName name="MO.FirstForecastedFiscalYear">Historicals!$B$939</definedName>
    <definedName name="MO.KPI.1">Historicals!$A$843</definedName>
    <definedName name="MO.KPI.10">Historicals!$A$852</definedName>
    <definedName name="MO.KPI.11">Historicals!$A$853</definedName>
    <definedName name="MO.KPI.12">Historicals!$A$854</definedName>
    <definedName name="MO.KPI.13">Historicals!$A$855</definedName>
    <definedName name="MO.KPI.14">Historicals!$A$856</definedName>
    <definedName name="MO.KPI.15">Historicals!$A$857</definedName>
    <definedName name="MO.KPI.16">Historicals!$A$858</definedName>
    <definedName name="MO.KPI.17">Historicals!$A$859</definedName>
    <definedName name="MO.KPI.18">Historicals!$A$860</definedName>
    <definedName name="MO.KPI.19">Historicals!$A$861</definedName>
    <definedName name="MO.KPI.2">Historicals!$A$844</definedName>
    <definedName name="MO.KPI.20">Historicals!$A$862</definedName>
    <definedName name="MO.KPI.21">Historicals!$A$863</definedName>
    <definedName name="MO.KPI.22">Historicals!$A$864</definedName>
    <definedName name="MO.KPI.3">Historicals!$A$845</definedName>
    <definedName name="MO.KPI.4">Historicals!$A$846</definedName>
    <definedName name="MO.KPI.5">Historicals!$A$847</definedName>
    <definedName name="MO.KPI.6">Historicals!$A$848</definedName>
    <definedName name="MO.KPI.7">Historicals!$A$849</definedName>
    <definedName name="MO.KPI.8">Historicals!$A$850</definedName>
    <definedName name="MO.KPI.9">Historicals!$A$851</definedName>
    <definedName name="MO.KPI.Count">Historicals!$B$940</definedName>
    <definedName name="MO.LastPrice">Historicals!$B$3</definedName>
    <definedName name="MO.LastPriceDate">Historicals!$B$927</definedName>
    <definedName name="MO.LastPriceFormula">Historicals!$B$929</definedName>
    <definedName name="MO.LastPriceHardcoded">Historicals!$B$926</definedName>
    <definedName name="MO.MRFP">Historicals!$B$937</definedName>
    <definedName name="MO.MRFPColumnNumber">Historicals!$B$936</definedName>
    <definedName name="MO.MRFX.Hardcoded">Historicals!$B$935</definedName>
    <definedName name="MO.RealTime">Historicals!$B$4</definedName>
    <definedName name="MO.RealTimeStockPriceToggle">Historicals!$B$928</definedName>
    <definedName name="MO.ReportCurrency">Historicals!$B$933</definedName>
    <definedName name="MO.ReportFX">Historicals!$A$5</definedName>
    <definedName name="MO.Ticker">Historicals!$A$2</definedName>
    <definedName name="MO.Ticker.Bloomberg">Historicals!$A$822</definedName>
    <definedName name="MO.Ticker.Canalyst">Historicals!$A$821</definedName>
    <definedName name="MO.Ticker.CapIQ">Historicals!$A$823</definedName>
    <definedName name="MO.Ticker.FactSet">Historicals!$A$824</definedName>
    <definedName name="MO.Ticker.Thomson">Historicals!$A$825</definedName>
    <definedName name="MO.TradingCurrency">Historicals!$A$3</definedName>
    <definedName name="MO.ValuationToggle">Historicals!$B$539</definedName>
    <definedName name="tb_ConsensusEstimate">Historicals!$A$878:$BV$887</definedName>
    <definedName name="tb_EntireModel">Historicals!$A$1:$BV$793</definedName>
    <definedName name="tb_Guidance_FY">Historicals!$A$872:$BV$876</definedName>
    <definedName name="tb_Guidance_Q">Historicals!$A$867:$BV$870</definedName>
    <definedName name="tb_KeyOutputs">Historicals!$A$833:$A$840</definedName>
    <definedName name="tb_KPIs">Historicals!$A$842:$A$865</definedName>
    <definedName name="tb_StockPrice">Historicals!$A$889:$BV$919</definedName>
    <definedName name="tb_Tickers">Historicals!$A$820:$A$825</definedName>
    <definedName name="tb_ValuationToggle">Historicals!$A$827:$B$831</definedName>
    <definedName name="UL.MRQ">#REF!</definedName>
    <definedName name="WS.CanalystName" localSheetId="15">"Model"</definedName>
    <definedName name="z_B1ICH30103_MO_AN_Acquisitioncosts">Historicals!$372:$372</definedName>
    <definedName name="z_B1ICH30103_MO_AN_Acquisitionrelatedcontingentconsideration">Historicals!$365:$365</definedName>
    <definedName name="z_B1ICH30103_MO_AN_AcquisitionrelatedcontingentconsiderationCompensationandamortizationexpenses">"Deleted"</definedName>
    <definedName name="z_B1ICH30103_MO_AN_Acquisitionrelatedcosts">"Deleted"</definedName>
    <definedName name="z_B1ICH30103_MO_AN_Adjustedifconvertednetlossincomepershare">"Deleted"</definedName>
    <definedName name="z_B1ICH30103_MO_AN_adjustednetincome">Historicals!$377:$377</definedName>
    <definedName name="z_B1ICH30103_MO_AN_Assumedimpactofpotentialconversionofpreferredstockintocommonstock">"Deleted"</definedName>
    <definedName name="z_B1ICH30103_MO_AN_chairmanandceoemploymentagreement">Historicals!$369:$369</definedName>
    <definedName name="z_B1ICH30103_MO_AN_COVID19relatedcosts">Historicals!$362:$362</definedName>
    <definedName name="z_B1ICH30103_MO_AN_COVID19relatedcosts_1">"Deleted"</definedName>
    <definedName name="z_B1ICH30103_MO_AN_Deferredtaxrevaluation">Historicals!$366:$366</definedName>
    <definedName name="z_B1ICH30103_MO_AN_Dilutednetlossincomepercommonshare">"Deleted"</definedName>
    <definedName name="z_B1ICH30103_MO_AN_Directandincrementalpreferredstockissuancecosts">Historicals!$354:$354</definedName>
    <definedName name="z_B1ICH30103_MO_AN_Directandincrementalpreferredstockissuancecosts_1">"Deleted"</definedName>
    <definedName name="z_B1ICH30103_MO_AN_Dividendsonpreferredstock">Historicals!$353:$353</definedName>
    <definedName name="z_B1ICH30103_MO_AN_Dividendsonpreferredstock_1">"Deleted"</definedName>
    <definedName name="z_B1ICH30103_MO_AN_Gainoninvestmentinunconsolidatedaffiliates">Historicals!$364:$364</definedName>
    <definedName name="z_B1ICH30103_MO_AN_GeneralandadministrativeexpensesSBC">Historicals!$46:$46</definedName>
    <definedName name="z_B1ICH30103_MO_AN_impairmentofassetsandleaseterminations">Historicals!$363:$363</definedName>
    <definedName name="z_B1ICH30103_MO_AN_Impairmentofassetsandleaseterminations_1">"Deleted"</definedName>
    <definedName name="z_B1ICH30103_MO_AN_LaborexpensesSBC">Historicals!$44:$44</definedName>
    <definedName name="z_B1ICH30103_MO_AN_Lossoninvestment">Historicals!$371:$371</definedName>
    <definedName name="z_B1ICH30103_MO_AN_Lossoninvestmentsinunconsolidatedaffiliates">"Deleted"</definedName>
    <definedName name="z_B1ICH30103_MO_AN_netincome">Historicals!$361:$361</definedName>
    <definedName name="z_B1ICH30103_MO_AN_Netincome_1">"Deleted"</definedName>
    <definedName name="z_B1ICH30103_MO_AN_Netincomeavailabletocommonstockholders">Historicals!$356:$356</definedName>
    <definedName name="z_B1ICH30103_MO_AN_OtheroperatingcostsandexpensesSBC">Historicals!$45:$45</definedName>
    <definedName name="z_B1ICH30103_MO_AN_partialirssettlement">Historicals!$367:$367</definedName>
    <definedName name="z_B1ICH30103_MO_AN_proceedsfromvariablelifeinsurancecontract">Historicals!$375:$375</definedName>
    <definedName name="z_B1ICH30103_MO_AN_realizationofinvestmentinvariablelifeinsurancecontract">Historicals!$370:$370</definedName>
    <definedName name="z_B1ICH30103_MO_AN_Taxeffectonadjustments">Historicals!$376:$376</definedName>
    <definedName name="z_B1ICH30103_MO_AN_Taxeffectsofadjustments">"Deleted"</definedName>
    <definedName name="z_B1ICH30103_MO_AN_Terminationofinterestrateswap">Historicals!$374:$374</definedName>
    <definedName name="z_B1ICH30103_MO_AN_TotalSBC">Historicals!$47:$47</definedName>
    <definedName name="z_B1ICH30103_MO_AN_Uncertaintaxpositionrelatedtotenantimprovementallowances">Historicals!$373:$373</definedName>
    <definedName name="z_B1ICH30103_MO_AN_unwindingofinterestratecollars">Historicals!$368:$368</definedName>
    <definedName name="z_B1ICH30103_MO_BlankRow_AN">Historicals!$378:$378</definedName>
    <definedName name="z_B1ICH30103_MO_BlankRow_AN_1">"Deleted"</definedName>
    <definedName name="z_B1ICH30103_MO_BlankRow_AN_2">"Deleted"</definedName>
    <definedName name="z_B1ICH30103_MO_BlankRow_AN_3">"Deleted"</definedName>
    <definedName name="z_B1ICH30103_MO_BlankRow_BS_1">Historicals!$752:$752</definedName>
    <definedName name="z_B1ICH30103_MO_BlankRow_BS_2">Historicals!$762:$762</definedName>
    <definedName name="z_B1ICH30103_MO_BlankRow_BS_3">Historicals!$770:$770</definedName>
    <definedName name="z_B1ICH30103_MO_BlankRow_BS_4">Historicals!$782:$782</definedName>
    <definedName name="z_B1ICH30103_MO_BlankRow_BS_5">Historicals!$792:$792</definedName>
    <definedName name="z_B1ICH30103_MO_BlankRow_BS_6">Historicals!$794:$794</definedName>
    <definedName name="z_B1ICH30103_MO_BlankRow_BSS">Historicals!$537:$537</definedName>
    <definedName name="z_B1ICH30103_MO_BlankRow_BSS_1">Historicals!$526:$526</definedName>
    <definedName name="z_B1ICH30103_MO_BlankRow_BSS_2">Historicals!$533:$533</definedName>
    <definedName name="z_B1ICH30103_MO_BlankRow_CCFS">Historicals!$588:$588</definedName>
    <definedName name="z_B1ICH30103_MO_BlankRow_CCFS_1">Historicals!$600:$600</definedName>
    <definedName name="z_B1ICH30103_MO_BlankRow_CCFS_2">Historicals!$623:$623</definedName>
    <definedName name="z_B1ICH30103_MO_BlankRow_CCFS_3">Historicals!$626:$626</definedName>
    <definedName name="z_B1ICH30103_MO_BlankRow_CCFS_4">Historicals!$632:$632</definedName>
    <definedName name="z_B1ICH30103_MO_BlankRow_CCFS_5">Historicals!$629:$629</definedName>
    <definedName name="z_B1ICH30103_MO_BlankRow_CFS_2">Historicals!$659:$659</definedName>
    <definedName name="z_B1ICH30103_MO_BlankRow_CFS_3">Historicals!$671:$671</definedName>
    <definedName name="z_B1ICH30103_MO_BlankRow_CFS_4">Historicals!$694:$694</definedName>
    <definedName name="z_B1ICH30103_MO_BlankRow_CFS_5">Historicals!$697:$697</definedName>
    <definedName name="z_B1ICH30103_MO_BlankRow_CFS_6">Historicals!$703:$703</definedName>
    <definedName name="z_B1ICH30103_MO_BlankRow_CFS_7">Historicals!$705:$705</definedName>
    <definedName name="z_B1ICH30103_MO_BlankRow_CFS_9">Historicals!$700:$700</definedName>
    <definedName name="z_B1ICH30103_MO_BlankRow_CFSum">Historicals!$509:$509</definedName>
    <definedName name="z_B1ICH30103_MO_BlankRow_CFSum_1">Historicals!$518:$518</definedName>
    <definedName name="z_B1ICH30103_MO_BlankRow_CFSum_2">Historicals!$505:$505</definedName>
    <definedName name="z_B1ICH30103_MO_BlankRow_DAF">Historicals!$725:$725</definedName>
    <definedName name="z_B1ICH30103_MO_BlankRow_DAF_1">Historicals!$731:$731</definedName>
    <definedName name="z_B1ICH30103_MO_BlankRow_DAF_2">Historicals!$736:$736</definedName>
    <definedName name="z_B1ICH30103_MO_BlankRow_DAF_3">Historicals!$740:$740</definedName>
    <definedName name="z_B1ICH30103_MO_BlankRow_GA">"Deleted"</definedName>
    <definedName name="z_B1ICH30103_MO_BlankRow_GA_1">"Deleted"</definedName>
    <definedName name="z_B1ICH30103_MO_BlankRow_GA_2">Historicals!$15:$15</definedName>
    <definedName name="z_B1ICH30103_MO_BlankRow_GA_3">"Deleted"</definedName>
    <definedName name="z_B1ICH30103_MO_BlankRow_GA_4">Historicals!$24:$24</definedName>
    <definedName name="z_B1ICH30103_MO_BlankRow_GA_5">"Deleted"</definedName>
    <definedName name="z_B1ICH30103_MO_BlankRow_GA_6">"Deleted"</definedName>
    <definedName name="z_B1ICH30103_MO_BlankRow_IS">Historicals!$357:$357</definedName>
    <definedName name="z_B1ICH30103_MO_BlankRow_IS_1">Historicals!$359:$359</definedName>
    <definedName name="z_B1ICH30103_MO_BlankRow_MA">"Deleted"</definedName>
    <definedName name="z_B1ICH30103_MO_BlankRow_MA_1">Historicals!$334:$334</definedName>
    <definedName name="z_B1ICH30103_MO_BlankRow_MA_2">Historicals!$542:$542</definedName>
    <definedName name="z_B1ICH30103_MO_BlankRow_MA_3">Historicals!$556:$556</definedName>
    <definedName name="z_B1ICH30103_MO_BlankRow_MA_4">Historicals!$561:$561</definedName>
    <definedName name="z_B1ICH30103_MO_BlankRow_MA_5">Historicals!$548:$548</definedName>
    <definedName name="z_B1ICH30103_MO_BlankRow_MA_6">"Deleted"</definedName>
    <definedName name="z_B1ICH30103_MO_BlankRow_MA_7">Historicals!$328:$328</definedName>
    <definedName name="z_B1ICH30103_MO_BlankRow_OS">"Deleted"</definedName>
    <definedName name="z_B1ICH30103_MO_BlankRow_OS_1">"Deleted"</definedName>
    <definedName name="z_B1ICH30103_MO_BlankRow_OS_10">Historicals!$165:$165</definedName>
    <definedName name="z_B1ICH30103_MO_BlankRow_OS_11">Historicals!$170:$170</definedName>
    <definedName name="z_B1ICH30103_MO_BlankRow_OS_12">Historicals!$175:$175</definedName>
    <definedName name="z_B1ICH30103_MO_BlankRow_OS_13">Historicals!$251:$251</definedName>
    <definedName name="z_B1ICH30103_MO_BlankRow_OS_14">Historicals!$255:$255</definedName>
    <definedName name="z_B1ICH30103_MO_BlankRow_OS_15">Historicals!$259:$259</definedName>
    <definedName name="z_B1ICH30103_MO_BlankRow_OS_16">"Deleted"</definedName>
    <definedName name="z_B1ICH30103_MO_BlankRow_OS_17">"Deleted"</definedName>
    <definedName name="z_B1ICH30103_MO_BlankRow_OS_18">Historicals!$213:$213</definedName>
    <definedName name="z_B1ICH30103_MO_BlankRow_OS_19">Historicals!$43:$43</definedName>
    <definedName name="z_B1ICH30103_MO_BlankRow_OS_2">"Deleted"</definedName>
    <definedName name="z_B1ICH30103_MO_BlankRow_OS_20">"Deleted"</definedName>
    <definedName name="z_B1ICH30103_MO_BlankRow_OS_21">Historicals!$257:$257</definedName>
    <definedName name="z_B1ICH30103_MO_BlankRow_OS_22">Historicals!$712:$712</definedName>
    <definedName name="z_B1ICH30103_MO_BlankRow_OS_23">Historicals!$718:$718</definedName>
    <definedName name="z_B1ICH30103_MO_BlankRow_OS_24">Historicals!$52:$52</definedName>
    <definedName name="z_B1ICH30103_MO_BlankRow_OS_25">Historicals!$109:$109</definedName>
    <definedName name="z_B1ICH30103_MO_BlankRow_OS_26">"Deleted"</definedName>
    <definedName name="z_B1ICH30103_MO_BlankRow_OS_27">"Deleted"</definedName>
    <definedName name="z_B1ICH30103_MO_BlankRow_OS_28">Historicals!$146:$146</definedName>
    <definedName name="z_B1ICH30103_MO_BlankRow_OS_29">Historicals!$154:$154</definedName>
    <definedName name="z_B1ICH30103_MO_BlankRow_OS_3">Historicals!$187:$187</definedName>
    <definedName name="z_B1ICH30103_MO_BlankRow_OS_30">Historicals!$157:$157</definedName>
    <definedName name="z_B1ICH30103_MO_BlankRow_OS_31">Historicals!$159:$159</definedName>
    <definedName name="z_B1ICH30103_MO_BlankRow_OS_32">Historicals!$233:$233</definedName>
    <definedName name="z_B1ICH30103_MO_BlankRow_OS_33">Historicals!$246:$246</definedName>
    <definedName name="z_B1ICH30103_MO_BlankRow_OS_34">Historicals!$70:$70</definedName>
    <definedName name="z_B1ICH30103_MO_BlankRow_OS_35">Historicals!$63:$63</definedName>
    <definedName name="z_B1ICH30103_MO_BlankRow_OS_36">Historicals!$76:$76</definedName>
    <definedName name="z_B1ICH30103_MO_BlankRow_OS_37">"Deleted"</definedName>
    <definedName name="z_B1ICH30103_MO_BlankRow_OS_38">Historicals!$81:$81</definedName>
    <definedName name="z_B1ICH30103_MO_BlankRow_OS_39">Historicals!$90:$90</definedName>
    <definedName name="z_B1ICH30103_MO_BlankRow_OS_4">Historicals!$34:$34</definedName>
    <definedName name="z_B1ICH30103_MO_BlankRow_OS_40">Historicals!$94:$94</definedName>
    <definedName name="z_B1ICH30103_MO_BlankRow_OS_41">Historicals!$119:$119</definedName>
    <definedName name="z_B1ICH30103_MO_BlankRow_OS_42">Historicals!$112:$112</definedName>
    <definedName name="z_B1ICH30103_MO_BlankRow_OS_43">Historicals!$125:$125</definedName>
    <definedName name="z_B1ICH30103_MO_BlankRow_OS_44">"Deleted"</definedName>
    <definedName name="z_B1ICH30103_MO_BlankRow_OS_45">Historicals!$130:$130</definedName>
    <definedName name="z_B1ICH30103_MO_BlankRow_OS_46">Historicals!$135:$135</definedName>
    <definedName name="z_B1ICH30103_MO_BlankRow_OS_47">Historicals!$139:$139</definedName>
    <definedName name="z_B1ICH30103_MO_BlankRow_OS_48">Historicals!$180:$180</definedName>
    <definedName name="z_B1ICH30103_MO_BlankRow_OS_49">Historicals!$190:$190</definedName>
    <definedName name="z_B1ICH30103_MO_BlankRow_OS_5">Historicals!$60:$60</definedName>
    <definedName name="z_B1ICH30103_MO_BlankRow_OS_50">Historicals!$218:$218</definedName>
    <definedName name="z_B1ICH30103_MO_BlankRow_OS_51">Historicals!$265:$265</definedName>
    <definedName name="z_B1ICH30103_MO_BlankRow_OS_52">Historicals!$270:$270</definedName>
    <definedName name="z_B1ICH30103_MO_BlankRow_OS_53">Historicals!$66:$66</definedName>
    <definedName name="z_B1ICH30103_MO_BlankRow_OS_54">Historicals!$115:$115</definedName>
    <definedName name="z_B1ICH30103_MO_BlankRow_OS_55">Historicals!$216:$216</definedName>
    <definedName name="z_B1ICH30103_MO_BlankRow_OS_56">Historicals!$241:$241</definedName>
    <definedName name="z_B1ICH30103_MO_BlankRow_OS_57">"Deleted"</definedName>
    <definedName name="z_B1ICH30103_MO_BlankRow_OS_58">Historicals!$273:$273</definedName>
    <definedName name="z_B1ICH30103_MO_BlankRow_OS_59">Historicals!$287:$287</definedName>
    <definedName name="z_B1ICH30103_MO_BlankRow_OS_6">"Deleted"</definedName>
    <definedName name="z_B1ICH30103_MO_BlankRow_OS_60">Historicals!$292:$292</definedName>
    <definedName name="z_B1ICH30103_MO_BlankRow_OS_61">Historicals!$296:$296</definedName>
    <definedName name="z_B1ICH30103_MO_BlankRow_OS_62">Historicals!$298:$298</definedName>
    <definedName name="z_B1ICH30103_MO_BlankRow_OS_63">Historicals!$305:$305</definedName>
    <definedName name="z_B1ICH30103_MO_BlankRow_OS_64">Historicals!$309:$309</definedName>
    <definedName name="z_B1ICH30103_MO_BlankRow_OS_65">Historicals!$311:$311</definedName>
    <definedName name="z_B1ICH30103_MO_BlankRow_OS_66">Historicals!$212:$212</definedName>
    <definedName name="z_B1ICH30103_MO_BlankRow_OS_67">Historicals!$443:$443</definedName>
    <definedName name="z_B1ICH30103_MO_BlankRow_OS_68">Historicals!$491:$491</definedName>
    <definedName name="z_B1ICH30103_MO_BlankRow_OS_69">Historicals!$48:$48</definedName>
    <definedName name="z_B1ICH30103_MO_BlankRow_OS_7">"Deleted"</definedName>
    <definedName name="z_B1ICH30103_MO_BlankRow_OS_70">Historicals!$279:$279</definedName>
    <definedName name="z_B1ICH30103_MO_BlankRow_OS_71">Historicals!$283:$283</definedName>
    <definedName name="z_B1ICH30103_MO_BlankRow_OS_72">"Deleted"</definedName>
    <definedName name="z_B1ICH30103_MO_BlankRow_OS_73">"Deleted"</definedName>
    <definedName name="z_B1ICH30103_MO_BlankRow_OS_74">"Deleted"</definedName>
    <definedName name="z_B1ICH30103_MO_BlankRow_OS_75">"Deleted"</definedName>
    <definedName name="z_B1ICH30103_MO_BlankRow_OS_76">"Deleted"</definedName>
    <definedName name="z_B1ICH30103_MO_BlankRow_OS_77">"Deleted"</definedName>
    <definedName name="z_B1ICH30103_MO_BlankRow_OS_78">"Deleted"</definedName>
    <definedName name="z_B1ICH30103_MO_BlankRow_OS_79">"Deleted"</definedName>
    <definedName name="z_B1ICH30103_MO_BlankRow_OS_8">Historicals!$227:$227</definedName>
    <definedName name="z_B1ICH30103_MO_BlankRow_OS_80">"Deleted"</definedName>
    <definedName name="z_B1ICH30103_MO_BlankRow_OS_81">"Deleted"</definedName>
    <definedName name="z_B1ICH30103_MO_BlankRow_OS_82">"Deleted"</definedName>
    <definedName name="z_B1ICH30103_MO_BlankRow_OS_83">"Deleted"</definedName>
    <definedName name="z_B1ICH30103_MO_BlankRow_OS_84">"Deleted"</definedName>
    <definedName name="z_B1ICH30103_MO_BlankRow_OS_85">Historicals!$489:$489</definedName>
    <definedName name="z_B1ICH30103_MO_BlankRow_OS_86">Historicals!$446:$446</definedName>
    <definedName name="z_B1ICH30103_MO_BlankRow_OS_87">Historicals!$431:$431</definedName>
    <definedName name="z_B1ICH30103_MO_BlankRow_OS_88">"Deleted"</definedName>
    <definedName name="z_B1ICH30103_MO_BlankRow_OS_89">Historicals!$448:$448</definedName>
    <definedName name="z_B1ICH30103_MO_BlankRow_OS_9">"Deleted"</definedName>
    <definedName name="z_B1ICH30103_MO_BlankRow_OS_90">Historicals!$454:$454</definedName>
    <definedName name="z_B1ICH30103_MO_BlankRow_OS_91">Historicals!$460:$460</definedName>
    <definedName name="z_B1ICH30103_MO_BlankRow_OS_92">Historicals!$466:$466</definedName>
    <definedName name="z_B1ICH30103_MO_BlankRow_OS_93">Historicals!$473:$473</definedName>
    <definedName name="z_B1ICH30103_MO_BlankRow_OS_94">Historicals!$476:$476</definedName>
    <definedName name="z_B1ICH30103_MO_BlankRow_OS_95">Historicals!$479:$479</definedName>
    <definedName name="z_B1ICH30103_MO_BlankRow_OS_96">Historicals!$482:$482</definedName>
    <definedName name="z_B1ICH30103_MO_BlankRow_OS_97">Historicals!$484:$484</definedName>
    <definedName name="z_B1ICH30103_MO_BlankRow_OS_98">Historicals!$486:$486</definedName>
    <definedName name="z_B1ICH30103_MO_BlankRow_OS_99">"Deleted"</definedName>
    <definedName name="z_B1ICH30103_MO_BlankRow_RIS">"Deleted"</definedName>
    <definedName name="z_B1ICH30103_MO_BlankRow_RIS_1">"Deleted"</definedName>
    <definedName name="z_B1ICH30103_MO_BlankRow_RIS_2">Historicals!$397:$397</definedName>
    <definedName name="z_B1ICH30103_MO_BlankRow_RIS_3">Historicals!$391:$391</definedName>
    <definedName name="z_B1ICH30103_MO_BlankRow_RIS_4">Historicals!$402:$402</definedName>
    <definedName name="z_B1ICH30103_MO_BlankRow_RIS_5">Historicals!$415:$415</definedName>
    <definedName name="z_B1ICH30103_MO_BlankRow_RIS_6">Historicals!$418:$418</definedName>
    <definedName name="z_B1ICH30103_MO_BlankRow_RIS_7">Historicals!$423:$423</definedName>
    <definedName name="z_B1ICH30103_MO_BlankRow_RIS_8">Historicals!$427:$427</definedName>
    <definedName name="z_B1ICH30103_MO_BlankRow_SNA">Historicals!$817:$817</definedName>
    <definedName name="z_B1ICH30103_MO_BlankRow_SNA_1">Historicals!$819:$819</definedName>
    <definedName name="z_B1ICH30103_MO_BlankRow_SNA_10">Historicals!$912:$912</definedName>
    <definedName name="z_B1ICH30103_MO_BlankRow_SNA_11">Historicals!$919:$919</definedName>
    <definedName name="z_B1ICH30103_MO_BlankRow_SNA_12">Historicals!$924:$924</definedName>
    <definedName name="z_B1ICH30103_MO_BlankRow_SNA_13">Historicals!$942:$942</definedName>
    <definedName name="z_B1ICH30103_MO_BlankRow_SNA_14">Historicals!$923:$923</definedName>
    <definedName name="z_B1ICH30103_MO_BlankRow_SNA_15">Historicals!$865:$865</definedName>
    <definedName name="z_B1ICH30103_MO_BlankRow_SNA_16">Historicals!$866:$866</definedName>
    <definedName name="z_B1ICH30103_MO_BlankRow_SNA_17">Historicals!$870:$870</definedName>
    <definedName name="z_B1ICH30103_MO_BlankRow_SNA_18">Historicals!$871:$871</definedName>
    <definedName name="z_B1ICH30103_MO_BlankRow_SNA_19">Historicals!$876:$876</definedName>
    <definedName name="z_B1ICH30103_MO_BlankRow_SNA_2">Historicals!$826:$826</definedName>
    <definedName name="z_B1ICH30103_MO_BlankRow_SNA_20">Historicals!$877:$877</definedName>
    <definedName name="z_B1ICH30103_MO_BlankRow_SNA_3">Historicals!$832:$832</definedName>
    <definedName name="z_B1ICH30103_MO_BlankRow_SNA_4">Historicals!$840:$840</definedName>
    <definedName name="z_B1ICH30103_MO_BlankRow_SNA_5">Historicals!$841:$841</definedName>
    <definedName name="z_B1ICH30103_MO_BlankRow_SNA_6">Historicals!$887:$887</definedName>
    <definedName name="z_B1ICH30103_MO_BlankRow_SNA_7">Historicals!$888:$888</definedName>
    <definedName name="z_B1ICH30103_MO_BlankRow_SNA_8">Historicals!$898:$898</definedName>
    <definedName name="z_B1ICH30103_MO_BlankRow_SNA_9">Historicals!$905:$905</definedName>
    <definedName name="z_B1ICH30103_MO_BS_Accountspayable">Historicals!$764:$764</definedName>
    <definedName name="z_B1ICH30103_MO_BS_Accountsreceivable">Historicals!$744:$744</definedName>
    <definedName name="z_B1ICH30103_MO_BS_Accumulatedothercomprehensiveloss">Historicals!$787:$787</definedName>
    <definedName name="z_B1ICH30103_MO_BS_Additionalpaidincapital">Historicals!$785:$785</definedName>
    <definedName name="z_B1ICH30103_MO_BS_BSCheck">Historicals!$793:$793</definedName>
    <definedName name="z_B1ICH30103_MO_BS_cashandcashequivalents">Historicals!$743:$743</definedName>
    <definedName name="z_B1ICH30103_MO_BS_commonstock">Historicals!$784:$784</definedName>
    <definedName name="z_B1ICH30103_MO_BS_CurrentAssets">Historicals!$742:$742</definedName>
    <definedName name="z_B1ICH30103_MO_BS_CurrentLiabilities">Historicals!$763:$763</definedName>
    <definedName name="z_B1ICH30103_MO_BS_deemedlandlordfinancingliability">Historicals!$775:$775</definedName>
    <definedName name="z_B1ICH30103_MO_BS_deferredincometaxes">Historicals!$750:$750</definedName>
    <definedName name="z_B1ICH30103_MO_BS_deferredincometaxes_1">Historicals!$773:$773</definedName>
    <definedName name="z_B1ICH30103_MO_BS_deferredrent">Historicals!$774:$774</definedName>
    <definedName name="z_B1ICH30103_MO_BS_giftcardliability">Historicals!$766:$766</definedName>
    <definedName name="z_B1ICH30103_MO_BS_incometaxespayable">Historicals!$765:$765</definedName>
    <definedName name="z_B1ICH30103_MO_BS_incometaxpayable">Historicals!$772:$772</definedName>
    <definedName name="z_B1ICH30103_MO_BS_incometaxreceivable">Historicals!$747:$747</definedName>
    <definedName name="z_B1ICH30103_MO_BS_Intangibleassets">Historicals!$755:$755</definedName>
    <definedName name="z_B1ICH30103_MO_BS_Inventories">Historicals!$748:$748</definedName>
    <definedName name="z_B1ICH30103_MO_BS_Investmentsinunconsolidatedaffiliates">Historicals!$758:$758</definedName>
    <definedName name="z_B1ICH30103_MO_BS_Longtermdebt">Historicals!$776:$776</definedName>
    <definedName name="z_B1ICH30103_MO_BS_NCI">Historicals!$790:$790</definedName>
    <definedName name="z_B1ICH30103_MO_BS_NetIncomeonReportedISNIonRevised">Historicals!$797:$797</definedName>
    <definedName name="z_B1ICH30103_MO_BS_NetIncomeonRevisedISNIonCFstatement">Historicals!$796:$796</definedName>
    <definedName name="z_B1ICH30103_MO_BS_NonCurrentAssets">Historicals!$753:$753</definedName>
    <definedName name="z_B1ICH30103_MO_BS_NonCurrentLiabilities">Historicals!$771:$771</definedName>
    <definedName name="z_B1ICH30103_MO_BS_Operatingleaseassets">Historicals!$756:$756</definedName>
    <definedName name="z_B1ICH30103_MO_BS_Operatingleaseliabilities">Historicals!$767:$767</definedName>
    <definedName name="z_B1ICH30103_MO_BS_Operatingleaseliabilities_1">Historicals!$777:$777</definedName>
    <definedName name="z_B1ICH30103_MO_BS_Other">Historicals!$759:$759</definedName>
    <definedName name="z_B1ICH30103_MO_BS_Otheraccruedexpenses">Historicals!$768:$768</definedName>
    <definedName name="z_B1ICH30103_MO_BS_Othernoncurrentliabilities">Historicals!$778:$778</definedName>
    <definedName name="z_B1ICH30103_MO_BS_Otherreceivables">Historicals!$745:$745</definedName>
    <definedName name="z_B1ICH30103_MO_BS_Preferredstock">Historicals!$779:$779</definedName>
    <definedName name="z_B1ICH30103_MO_BS_prepaidexpenses">Historicals!$749:$749</definedName>
    <definedName name="z_B1ICH30103_MO_BS_prepaidrent">Historicals!$757:$757</definedName>
    <definedName name="z_B1ICH30103_MO_BS_Propertyandequipment">Historicals!$754:$754</definedName>
    <definedName name="z_B1ICH30103_MO_BS_retainedearnings">Historicals!$786:$786</definedName>
    <definedName name="z_B1ICH30103_MO_BS_ShareholdersEquity">Historicals!$783:$783</definedName>
    <definedName name="z_B1ICH30103_MO_BS_TotalAccountReceivable">Historicals!$746:$746</definedName>
    <definedName name="z_B1ICH30103_MO_BS_TotalAssets">Historicals!$761:$761</definedName>
    <definedName name="z_B1ICH30103_MO_BS_TotalCurrentAssets">Historicals!$751:$751</definedName>
    <definedName name="z_B1ICH30103_MO_BS_TotalCurrentLiabilities">Historicals!$769:$769</definedName>
    <definedName name="z_B1ICH30103_MO_BS_TotalLiabilities">Historicals!$781:$781</definedName>
    <definedName name="z_B1ICH30103_MO_BS_TotalLiabilitiesSE">Historicals!$791:$791</definedName>
    <definedName name="z_B1ICH30103_MO_BS_TotalNonCurrentAssets">Historicals!$760:$760</definedName>
    <definedName name="z_B1ICH30103_MO_BS_TotalNonCurrentliabilities">Historicals!$780:$780</definedName>
    <definedName name="z_B1ICH30103_MO_BS_TotalSE">Historicals!$789:$789</definedName>
    <definedName name="z_B1ICH30103_MO_BS_treasurystock">Historicals!$788:$788</definedName>
    <definedName name="z_B1ICH30103_MO_BSS_Cash">Historicals!$520:$520</definedName>
    <definedName name="z_B1ICH30103_MO_BSS_Debt">Historicals!$523:$523</definedName>
    <definedName name="z_B1ICH30103_MO_BSS_DebtCashFlow">Historicals!$536:$536</definedName>
    <definedName name="z_B1ICH30103_MO_BSS_DebtEBITDA">Historicals!$535:$535</definedName>
    <definedName name="z_B1ICH30103_MO_BSS_EBITDANetInterestExpense">Historicals!$534:$534</definedName>
    <definedName name="z_B1ICH30103_MO_BSS_EffectiveInterestRateonCash">Historicals!$530:$530</definedName>
    <definedName name="z_B1ICH30103_MO_BSS_EffectiveInterestRateonDebt">Historicals!$528:$528</definedName>
    <definedName name="z_B1ICH30103_MO_BSS_EffectiveNetInterestRateonDebt">Historicals!$532:$532</definedName>
    <definedName name="z_B1ICH30103_MO_BSS_InterestExpense">Historicals!$527:$527</definedName>
    <definedName name="z_B1ICH30103_MO_BSS_InterestIncome">Historicals!$529:$529</definedName>
    <definedName name="z_B1ICH30103_MO_BSS_LTDebt">Historicals!$522:$522</definedName>
    <definedName name="z_B1ICH30103_MO_BSS_NetDebt">Historicals!$525:$525</definedName>
    <definedName name="z_B1ICH30103_MO_BSS_NetInterestExpenseIncome">Historicals!$531:$531</definedName>
    <definedName name="z_B1ICH30103_MO_BSS_OperatingLeaseLiabilities">Historicals!$524:$524</definedName>
    <definedName name="z_B1ICH30103_MO_BSS_STDebt">Historicals!$521:$521</definedName>
    <definedName name="z_B1ICH30103_MO_CCFS_Accountsandotherreceivable">Historicals!$576:$576</definedName>
    <definedName name="z_B1ICH30103_MO_CCFS_accountspayable">Historicals!$582:$582</definedName>
    <definedName name="z_B1ICH30103_MO_CCFS_accountsreceivable">Historicals!$574:$574</definedName>
    <definedName name="z_B1ICH30103_MO_CCFS_Acquisitionrelateddeferredconsideration">Historicals!$602:$602</definedName>
    <definedName name="z_B1ICH30103_MO_CCFS_Acquisitions">Historicals!$596:$596</definedName>
    <definedName name="z_B1ICH30103_MO_CCFS_additionstointangibleassets">Historicals!$591:$591</definedName>
    <definedName name="z_B1ICH30103_MO_CCFS_additionstopropertyandequipment">Historicals!$590:$590</definedName>
    <definedName name="z_B1ICH30103_MO_CCFS_BeginningCashBalance">Historicals!$627:$627</definedName>
    <definedName name="z_B1ICH30103_MO_CCFS_borrowingsoncreditfacility">Historicals!$605:$605</definedName>
    <definedName name="z_B1ICH30103_MO_CCFS_Cashdividendspaid">Historicals!$612:$612</definedName>
    <definedName name="z_B1ICH30103_MO_CCFS_CFF">Historicals!$601:$601</definedName>
    <definedName name="z_B1ICH30103_MO_CCFS_CFI">Historicals!$589:$589</definedName>
    <definedName name="z_B1ICH30103_MO_CCFS_CFO">Historicals!$563:$563</definedName>
    <definedName name="z_B1ICH30103_MO_CCFS_CFObeforeWC">Historicals!$573:$573</definedName>
    <definedName name="z_B1ICH30103_MO_CCFS_Commonstockissuance">Historicals!$618:$618</definedName>
    <definedName name="z_B1ICH30103_MO_CCFS_Commonstockissuancedirectandincrementalcosts">Historicals!$619:$619</definedName>
    <definedName name="z_B1ICH30103_MO_CCFS_Convertibledebtdirectandincrementalcosts">Historicals!$608:$608</definedName>
    <definedName name="z_B1ICH30103_MO_CCFS_Convertibledebtissuance">Historicals!$607:$607</definedName>
    <definedName name="z_B1ICH30103_MO_CCFS_deemedlandlordfinancingpayments">Historicals!$604:$604</definedName>
    <definedName name="z_B1ICH30103_MO_CCFS_deemedlandlordfinancingproceeds">Historicals!$603:$603</definedName>
    <definedName name="z_B1ICH30103_MO_CCFS_deferredincometaxes">Historicals!$567:$567</definedName>
    <definedName name="z_B1ICH30103_MO_CCFS_depreciationandamortizationexpenses">Historicals!$565:$565</definedName>
    <definedName name="z_B1ICH30103_MO_CCFS_Divestitures">Historicals!$597:$597</definedName>
    <definedName name="z_B1ICH30103_MO_CCFS_EndingCashBalance">Historicals!$628:$628</definedName>
    <definedName name="z_B1ICH30103_MO_CCFS_excesstaxbenefitrelatedtostockoptionsexercised">Historicals!$571:$571</definedName>
    <definedName name="z_B1ICH30103_MO_CCFS_excesstaxbenefitrelatedtostockoptionsexercised_1">Historicals!$610:$610</definedName>
    <definedName name="z_B1ICH30103_MO_CCFS_FX">Historicals!$624:$624</definedName>
    <definedName name="z_B1ICH30103_MO_CCFS_Giftcardliabilities">Historicals!$583:$583</definedName>
    <definedName name="z_B1ICH30103_MO_CCFS_impairmentofassetsandleaseterminations">Historicals!$566:$566</definedName>
    <definedName name="z_B1ICH30103_MO_CCFS_Incometaxespaid">Historicals!$631:$631</definedName>
    <definedName name="z_B1ICH30103_MO_CCFS_incometaxesreceivablepayable">Historicals!$577:$577</definedName>
    <definedName name="z_B1ICH30103_MO_CCFS_Interestpaid">Historicals!$630:$630</definedName>
    <definedName name="z_B1ICH30103_MO_CCFS_inventories">Historicals!$578:$578</definedName>
    <definedName name="z_B1ICH30103_MO_CCFS_investmentsinunconsolidatedaffiliates">Historicals!$592:$592</definedName>
    <definedName name="z_B1ICH30103_MO_CCFS_leaseterminations">Historicals!$585:$585</definedName>
    <definedName name="z_B1ICH30103_MO_CCFS_Loansmadetounconsolidatedaffiliates">Historicals!$593:$593</definedName>
    <definedName name="z_B1ICH30103_MO_CCFS_Lossfrominvestmentsinunconsildatedaffiliates">Historicals!$569:$569</definedName>
    <definedName name="z_B1ICH30103_MO_CCFS_NetCFF">Historicals!$622:$622</definedName>
    <definedName name="z_B1ICH30103_MO_CCFS_NetCFI">Historicals!$599:$599</definedName>
    <definedName name="z_B1ICH30103_MO_CCFS_NetCFO">Historicals!$587:$587</definedName>
    <definedName name="z_B1ICH30103_MO_CCFS_NetChangeinCashBalance">Historicals!$625:$625</definedName>
    <definedName name="z_B1ICH30103_MO_CCFS_netincome">Historicals!$564:$564</definedName>
    <definedName name="z_B1ICH30103_MO_CCFS_Operatingleaseassetsliabilities">Historicals!$580:$580</definedName>
    <definedName name="z_B1ICH30103_MO_CCFS_Other">Historicals!$572:$572</definedName>
    <definedName name="z_B1ICH30103_MO_CCFS_Other_4">Historicals!$598:$598</definedName>
    <definedName name="z_B1ICH30103_MO_CCFS_Otheraccruedexpenses">Historicals!$584:$584</definedName>
    <definedName name="z_B1ICH30103_MO_CCFS_Otherassets">Historicals!$581:$581</definedName>
    <definedName name="z_B1ICH30103_MO_CCFS_Otherreceivables">Historicals!$575:$575</definedName>
    <definedName name="z_B1ICH30103_MO_CCFS_paymentforfuturetreasurystockpurchasesunderacceleratedstockrepurchaseagreement">Historicals!$621:$621</definedName>
    <definedName name="z_B1ICH30103_MO_CCFS_Preferredstockcashsettledconversion">Historicals!$615:$615</definedName>
    <definedName name="z_B1ICH30103_MO_CCFS_Preferredstockconversiondirectandincrementalcosts">Historicals!$616:$616</definedName>
    <definedName name="z_B1ICH30103_MO_CCFS_Preferredstockdirectcosts">Historicals!$614:$614</definedName>
    <definedName name="z_B1ICH30103_MO_CCFS_Preferredstockdividendspaid">Historicals!$617:$617</definedName>
    <definedName name="z_B1ICH30103_MO_CCFS_Preferredstockissuance">Historicals!$613:$613</definedName>
    <definedName name="z_B1ICH30103_MO_CCFS_prepaidexpenses">Historicals!$579:$579</definedName>
    <definedName name="z_B1ICH30103_MO_CCFS_proceedsfromexerciseofstockoptions">Historicals!$609:$609</definedName>
    <definedName name="z_B1ICH30103_MO_CCFS_Proceedsfromvariablelifeinsurancecontract">Historicals!$595:$595</definedName>
    <definedName name="z_B1ICH30103_MO_CCFS_realizedlossonderivativefinancialinstruments">Historicals!$586:$586</definedName>
    <definedName name="z_B1ICH30103_MO_CCFS_repaymentofcreditfacility">Historicals!$611:$611</definedName>
    <definedName name="z_B1ICH30103_MO_CCFS_repaymentsoncreditfacility">Historicals!$606:$606</definedName>
    <definedName name="z_B1ICH30103_MO_CCFS_salesofavailableforsalesecurities">Historicals!$594:$594</definedName>
    <definedName name="z_B1ICH30103_MO_CCFS_stockbasedcompensation">Historicals!$568:$568</definedName>
    <definedName name="z_B1ICH30103_MO_CCFS_taximpactofstockoptionsexercised">Historicals!$570:$570</definedName>
    <definedName name="z_B1ICH30103_MO_CCFS_treasurystockpurchases">Historicals!$620:$620</definedName>
    <definedName name="z_B1ICH30103_MO_CFS_Accountsandotherreceivable">Historicals!$647:$647</definedName>
    <definedName name="z_B1ICH30103_MO_CFS_accountspayable">Historicals!$653:$653</definedName>
    <definedName name="z_B1ICH30103_MO_CFS_accountsreceivable">Historicals!$645:$645</definedName>
    <definedName name="z_B1ICH30103_MO_CFS_Acquisitionrelateddeferredconsideration">Historicals!$673:$673</definedName>
    <definedName name="z_B1ICH30103_MO_CFS_Acquisitions">Historicals!$667:$667</definedName>
    <definedName name="z_B1ICH30103_MO_CFS_additionstointangibleassets">Historicals!$662:$662</definedName>
    <definedName name="z_B1ICH30103_MO_CFS_additionstopropertyandequipment">Historicals!$661:$661</definedName>
    <definedName name="z_B1ICH30103_MO_CFS_BeginningCashBalance">Historicals!$698:$698</definedName>
    <definedName name="z_B1ICH30103_MO_CFS_borrowingsoncreditfacility">Historicals!$676:$676</definedName>
    <definedName name="z_B1ICH30103_MO_CFS_Cashdividendspaid">Historicals!$683:$683</definedName>
    <definedName name="z_B1ICH30103_MO_CFS_CFCheck">Historicals!$704:$704</definedName>
    <definedName name="z_B1ICH30103_MO_CFS_CFF">Historicals!$672:$672</definedName>
    <definedName name="z_B1ICH30103_MO_CFS_CFI">Historicals!$660:$660</definedName>
    <definedName name="z_B1ICH30103_MO_CFS_CFO">Historicals!$634:$634</definedName>
    <definedName name="z_B1ICH30103_MO_CFS_CFObeforeWC">Historicals!$644:$644</definedName>
    <definedName name="z_B1ICH30103_MO_CFS_Commonstockissuance">Historicals!$689:$689</definedName>
    <definedName name="z_B1ICH30103_MO_CFS_Commonstockissuancedirectandincrementalcosts">Historicals!$690:$690</definedName>
    <definedName name="z_B1ICH30103_MO_CFS_Convertibledebtdirectandincrementalcosts">Historicals!$679:$679</definedName>
    <definedName name="z_B1ICH30103_MO_CFS_Convertibledebtissuance">Historicals!$678:$678</definedName>
    <definedName name="z_B1ICH30103_MO_CFS_deemedlandlordfinancingpayments">Historicals!$675:$675</definedName>
    <definedName name="z_B1ICH30103_MO_CFS_deemedlandlordfinancingproceeds">Historicals!$674:$674</definedName>
    <definedName name="z_B1ICH30103_MO_CFS_deferredincometaxes">Historicals!$638:$638</definedName>
    <definedName name="z_B1ICH30103_MO_CFS_depreciationandamortizationexpenses">Historicals!$636:$636</definedName>
    <definedName name="z_B1ICH30103_MO_CFS_Divestitures">Historicals!$668:$668</definedName>
    <definedName name="z_B1ICH30103_MO_CFS_EndingCashBalance">Historicals!$699:$699</definedName>
    <definedName name="z_B1ICH30103_MO_CFS_excesstaxbenefitrelatedtostockoptionsexercised">Historicals!$642:$642</definedName>
    <definedName name="z_B1ICH30103_MO_CFS_excesstaxbenefitrelatedtostockoptionsexercised_1">Historicals!$681:$681</definedName>
    <definedName name="z_B1ICH30103_MO_CFS_FX">Historicals!$695:$695</definedName>
    <definedName name="z_B1ICH30103_MO_CFS_Giftcardliabilities">Historicals!$654:$654</definedName>
    <definedName name="z_B1ICH30103_MO_CFS_impairmentofassetsandleaseterminations">Historicals!$637:$637</definedName>
    <definedName name="z_B1ICH30103_MO_CFS_Incometaxespaid">Historicals!$702:$702</definedName>
    <definedName name="z_B1ICH30103_MO_CFS_incometaxesreceivablepayable">Historicals!$648:$648</definedName>
    <definedName name="z_B1ICH30103_MO_CFS_Interestpaid">Historicals!$701:$701</definedName>
    <definedName name="z_B1ICH30103_MO_CFS_inventories">Historicals!$649:$649</definedName>
    <definedName name="z_B1ICH30103_MO_CFS_investmentsinunconsolidatedaffiliates">Historicals!$663:$663</definedName>
    <definedName name="z_B1ICH30103_MO_CFS_leaseterminations">Historicals!$656:$656</definedName>
    <definedName name="z_B1ICH30103_MO_CFS_Loansmadetounconsolidatedaffiliates">Historicals!$664:$664</definedName>
    <definedName name="z_B1ICH30103_MO_CFS_Lossfrominvestmentsinunconsildatedaffiliates">Historicals!$640:$640</definedName>
    <definedName name="z_B1ICH30103_MO_CFS_NetCFF">Historicals!$693:$693</definedName>
    <definedName name="z_B1ICH30103_MO_CFS_NetCFI">Historicals!$670:$670</definedName>
    <definedName name="z_B1ICH30103_MO_CFS_NetCFO">Historicals!$658:$658</definedName>
    <definedName name="z_B1ICH30103_MO_CFS_NetChangeinCashBalance">Historicals!$696:$696</definedName>
    <definedName name="z_B1ICH30103_MO_CFS_netincome">Historicals!$635:$635</definedName>
    <definedName name="z_B1ICH30103_MO_CFS_Operatingleaseassetsliabilities">Historicals!$651:$651</definedName>
    <definedName name="z_B1ICH30103_MO_CFS_Other">Historicals!$643:$643</definedName>
    <definedName name="z_B1ICH30103_MO_CFS_Other_4">Historicals!$669:$669</definedName>
    <definedName name="z_B1ICH30103_MO_CFS_Otheraccruedexpenses">Historicals!$655:$655</definedName>
    <definedName name="z_B1ICH30103_MO_CFS_Otherassets">Historicals!$652:$652</definedName>
    <definedName name="z_B1ICH30103_MO_CFS_Otherreceivables">Historicals!$646:$646</definedName>
    <definedName name="z_B1ICH30103_MO_CFS_paymentforfuturetreasurystockpurchasesunderacceleratedstockrepurchaseagreement">Historicals!$692:$692</definedName>
    <definedName name="z_B1ICH30103_MO_CFS_Preferredstockcashsettledconversion">Historicals!$686:$686</definedName>
    <definedName name="z_B1ICH30103_MO_CFS_Preferredstockconversiondirectandincrementalcosts">Historicals!$687:$687</definedName>
    <definedName name="z_B1ICH30103_MO_CFS_Preferredstockdirectcosts">Historicals!$685:$685</definedName>
    <definedName name="z_B1ICH30103_MO_CFS_Preferredstockdividendspaid">Historicals!$688:$688</definedName>
    <definedName name="z_B1ICH30103_MO_CFS_Preferredstockissuance">Historicals!$684:$684</definedName>
    <definedName name="z_B1ICH30103_MO_CFS_prepaidexpenses">Historicals!$650:$650</definedName>
    <definedName name="z_B1ICH30103_MO_CFS_proceedsfromexerciseofstockoptions">Historicals!$680:$680</definedName>
    <definedName name="z_B1ICH30103_MO_CFS_Proceedsfromvariablelifeinsurancecontract">Historicals!$666:$666</definedName>
    <definedName name="z_B1ICH30103_MO_CFS_realizedlossonderivativefinancialinstruments">Historicals!$657:$657</definedName>
    <definedName name="z_B1ICH30103_MO_CFS_repaymentofcreditfacility">Historicals!$682:$682</definedName>
    <definedName name="z_B1ICH30103_MO_CFS_repaymentsoncreditfacility">Historicals!$677:$677</definedName>
    <definedName name="z_B1ICH30103_MO_CFS_salesofavailableforsalesecurities">Historicals!$665:$665</definedName>
    <definedName name="z_B1ICH30103_MO_CFS_stockbasedcompensation">Historicals!$639:$639</definedName>
    <definedName name="z_B1ICH30103_MO_CFS_taximpactofstockoptionsexercised">Historicals!$641:$641</definedName>
    <definedName name="z_B1ICH30103_MO_CFS_Treasurystockpurchases">Historicals!$691:$691</definedName>
    <definedName name="z_B1ICH30103_MO_CFSum_Acquisitions">Historicals!$501:$501</definedName>
    <definedName name="z_B1ICH30103_MO_CFSum_Capex">Historicals!$499:$499</definedName>
    <definedName name="z_B1ICH30103_MO_CFSum_CashFlowPerDilutedShare">Historicals!$496:$496</definedName>
    <definedName name="z_B1ICH30103_MO_CFSum_CashFlowPerDilutedShare_1">Historicals!$497:$497</definedName>
    <definedName name="z_B1ICH30103_MO_CFSum_ChangeinWorkingCapital">Historicals!$494:$494</definedName>
    <definedName name="z_B1ICH30103_MO_CFSum_ConsensusEstimatesCapex">Historicals!$500:$500</definedName>
    <definedName name="z_B1ICH30103_MO_CFSum_consensusestimatescashflowperdilutedshare">Historicals!$498:$498</definedName>
    <definedName name="z_B1ICH30103_MO_CFSum_Divestiture">Historicals!$502:$502</definedName>
    <definedName name="z_B1ICH30103_MO_CFSum_DividendPaid">Historicals!$503:$503</definedName>
    <definedName name="z_B1ICH30103_MO_CFSum_DividendPerShare">Historicals!$504:$504</definedName>
    <definedName name="z_B1ICH30103_MO_CFSum_EstimatedSharePriceforIssuanceBuybacks">Historicals!$508:$508</definedName>
    <definedName name="z_B1ICH30103_MO_CFSum_FCF">Historicals!$510:$510</definedName>
    <definedName name="z_B1ICH30103_MO_CFSum_FCF_1">Historicals!$511:$511</definedName>
    <definedName name="z_B1ICH30103_MO_CFSum_FCF_2">Historicals!$512:$512</definedName>
    <definedName name="z_B1ICH30103_MO_CFSum_FCF_4">Historicals!$514:$514</definedName>
    <definedName name="z_B1ICH30103_MO_CFSum_FCFPostDiv_1">Historicals!$515:$515</definedName>
    <definedName name="z_B1ICH30103_MO_CFSum_FCFPostDiv_2">Historicals!$516:$516</definedName>
    <definedName name="z_B1ICH30103_MO_CFSum_FCFPostDivDebtBuyback">Historicals!$513:$513</definedName>
    <definedName name="z_B1ICH30103_MO_CFSum_FCFPostDivDebtBuyback_1">Historicals!$517:$517</definedName>
    <definedName name="z_B1ICH30103_MO_CFSum_NetDebtIssuanceRepayment">Historicals!$506:$506</definedName>
    <definedName name="z_B1ICH30103_MO_CFSum_NetShareIssuanceBuybacks">Historicals!$507:$507</definedName>
    <definedName name="z_B1ICH30103_MO_CFSum_OperatingCashFlowafterWC">Historicals!$495:$495</definedName>
    <definedName name="z_B1ICH30103_MO_CFSum_OperatingCashFlowbeforeWC">Historicals!$493:$493</definedName>
    <definedName name="z_B1ICH30103_MO_Checks_SNA_AdjustedNumbersFYSumofQs">Historicals!$808:$808</definedName>
    <definedName name="z_B1ICH30103_MO_Checks_SNA_BalanceSheetisnotRepeated">Historicals!$804:$804</definedName>
    <definedName name="z_B1ICH30103_MO_Checks_SNA_CapexisUpdated">Historicals!$806:$806</definedName>
    <definedName name="z_B1ICH30103_MO_Checks_SNA_CashFlowisnotRepeated">Historicals!$801:$801</definedName>
    <definedName name="z_B1ICH30103_MO_Checks_SNA_CashFlowSummarySignsareCorrect">Historicals!$809:$809</definedName>
    <definedName name="z_B1ICH30103_MO_Checks_SNA_CashisPositive">Historicals!$798:$798</definedName>
    <definedName name="z_B1ICH30103_MO_Checks_SNA_CFFsubtotalFYSumofQs">Historicals!$815:$815</definedName>
    <definedName name="z_B1ICH30103_MO_Checks_SNA_CFIsubtotalFYSumofQs">Historicals!$814:$814</definedName>
    <definedName name="z_B1ICH30103_MO_Checks_SNA_CFOBeforeWCsubtotalFYSumofQs">Historicals!$812:$812</definedName>
    <definedName name="z_B1ICH30103_MO_Checks_SNA_CFOsubtotalFYSumofQs">Historicals!$813:$813</definedName>
    <definedName name="z_B1ICH30103_MO_Checks_SNA_CFSummaryFYSumofQs">Historicals!$816:$816</definedName>
    <definedName name="z_B1ICH30103_MO_Checks_SNA_DebtisPositive">Historicals!$799:$799</definedName>
    <definedName name="z_B1ICH30103_MO_Checks_SNA_EndingCFEndingCumulativeCF">Historicals!$805:$805</definedName>
    <definedName name="z_B1ICH30103_MO_Checks_SNA_IncomeStatementisnotRepeated">Historicals!$803:$803</definedName>
    <definedName name="z_B1ICH30103_MO_Checks_SNA_MarginisUpdated">Historicals!$807:$807</definedName>
    <definedName name="z_B1ICH30103_MO_Checks_SNA_RISAdjustedNIFYSumofQs">Historicals!$811:$811</definedName>
    <definedName name="z_B1ICH30103_MO_Checks_SNA_RISNIFYSumofQs">Historicals!$810:$810</definedName>
    <definedName name="z_B1ICH30103_MO_Checks_SNA_SegmentedRevenueRevenue">Historicals!$800:$800</definedName>
    <definedName name="z_B1ICH30103_MO_Checks_SNA_SSSisnotRepeated">Historicals!$802:$802</definedName>
    <definedName name="z_B1ICH30103_MO_DAF_AmortizationaspercentageofIntangiblesBoP">Historicals!$733:$733</definedName>
    <definedName name="z_B1ICH30103_MO_DAF_Amortizationofintangibles">Historicals!$727:$727</definedName>
    <definedName name="z_B1ICH30103_MO_DAF_Capexofintangibles">Historicals!$728:$728</definedName>
    <definedName name="z_B1ICH30103_MO_DAF_CapexofPPE">Historicals!$722:$722</definedName>
    <definedName name="z_B1ICH30103_MO_DAF_CapexofPPEandIntangibles">Historicals!$738:$738</definedName>
    <definedName name="z_B1ICH30103_MO_DAF_DAofPPEandIntangibles">Historicals!$737:$737</definedName>
    <definedName name="z_B1ICH30103_MO_DAF_DepreciationaspercentageofPPEBoP">Historicals!$732:$732</definedName>
    <definedName name="z_B1ICH30103_MO_DAF_Depreciationoffixedassets">Historicals!$721:$721</definedName>
    <definedName name="z_B1ICH30103_MO_DAF_Impliedlifeoffixedassets">Historicals!$734:$734</definedName>
    <definedName name="z_B1ICH30103_MO_DAF_Impliedlifeofintangibles">Historicals!$735:$735</definedName>
    <definedName name="z_B1ICH30103_MO_DAF_IntangiblesBoP">Historicals!$726:$726</definedName>
    <definedName name="z_B1ICH30103_MO_DAF_IntangiblesEoP">Historicals!$730:$730</definedName>
    <definedName name="z_B1ICH30103_MO_DAF_Othernetadditionstointangibles">Historicals!$729:$729</definedName>
    <definedName name="z_B1ICH30103_MO_DAF_OthernetadditionstoPPE">Historicals!$723:$723</definedName>
    <definedName name="z_B1ICH30103_MO_DAF_Percentageofcapexallocatedtointangibleassets">Historicals!$739:$739</definedName>
    <definedName name="z_B1ICH30103_MO_DAF_PPEBoP">Historicals!$720:$720</definedName>
    <definedName name="z_B1ICH30103_MO_DAF_PPEEoP">Historicals!$724:$724</definedName>
    <definedName name="z_B1ICH30103_MO_GA_Averagecheckgrowth">Historicals!$84:$84</definedName>
    <definedName name="z_B1ICH30103_MO_GA_Averagecheckgrowth_1">Historicals!$18:$18</definedName>
    <definedName name="z_B1ICH30103_MO_GA_Averagecompanyownedrestaurantgrowth">"Deleted"</definedName>
    <definedName name="z_B1ICH30103_MO_GA_AverageFRCrestaurantgrowth">"Deleted"</definedName>
    <definedName name="z_B1ICH30103_MO_GA_AverageNorthItaliarestaurantgrowth">"Deleted"</definedName>
    <definedName name="z_B1ICH30103_MO_GA_AveragenumberofCheesecakerestaurantsgrowth">"Deleted"</definedName>
    <definedName name="z_B1ICH30103_MO_GA_Averageotherrestaurantgrowth">"Deleted"</definedName>
    <definedName name="z_B1ICH30103_MO_GA_CasualDiningindustrycomparablesalegrowth">Historicals!$258:$258</definedName>
    <definedName name="z_B1ICH30103_MO_GA_Customertrafficgrowth">Historicals!$85:$85</definedName>
    <definedName name="z_B1ICH30103_MO_GA_Customertrafficgrowth_1">Historicals!$19:$19</definedName>
    <definedName name="z_B1ICH30103_MO_GA_Externalbakerysalesgrowth">Historicals!$10:$10</definedName>
    <definedName name="z_B1ICH30103_MO_GA_InternationallicensingrevenuegrowthEstimated">Historicals!$11:$11</definedName>
    <definedName name="z_B1ICH30103_MO_GA_Menumixgrowth">Historicals!$83:$83</definedName>
    <definedName name="z_B1ICH30103_MO_GA_Menumixgrowth_1">Historicals!$17:$17</definedName>
    <definedName name="z_B1ICH30103_MO_GA_Menupricinggrowth">Historicals!$82:$82</definedName>
    <definedName name="z_B1ICH30103_MO_GA_Menupricinggrowth_1">Historicals!$16:$16</definedName>
    <definedName name="z_B1ICH30103_MO_GA_NorthItaliaComparablerestaurantsalesgrowth">Historicals!$21:$21</definedName>
    <definedName name="z_B1ICH30103_MO_GA_NorthItaliarestaurantsrevenuegrowth">Historicals!$8:$8</definedName>
    <definedName name="z_B1ICH30103_MO_GA_OtherFRCrestaurantsrevenuegrowth">Historicals!$9:$9</definedName>
    <definedName name="z_B1ICH30103_MO_GA_OtherrestaurantsrevenuegrowthEstimated">Historicals!$12:$12</definedName>
    <definedName name="z_B1ICH30103_MO_GA_TheCheesecakeFactoryComparablerestaurantsalesgrowthperperiod">Historicals!$20:$20</definedName>
    <definedName name="z_B1ICH30103_MO_Header_ColumnHeader">Historicals!$5:$5</definedName>
    <definedName name="z_B1ICH30103_MO_Header_CompanySubTitle">Historicals!$2:$2</definedName>
    <definedName name="z_B1ICH30103_MO_Header_CompanyTitle">Historicals!$1:$1</definedName>
    <definedName name="z_B1ICH30103_MO_Header_FPDays">Historicals!$3:$3</definedName>
    <definedName name="z_B1ICH30103_MO_Header_QEndDate">Historicals!$4:$4</definedName>
    <definedName name="z_B1ICH30103_MO_IS_Acquisitionrelatedcontingentconsideration">Historicals!$344:$344</definedName>
    <definedName name="z_B1ICH30103_MO_IS_Acquisitionrelatedcosts">Historicals!$343:$343</definedName>
    <definedName name="z_B1ICH30103_MO_IS_costofsales">Historicals!$337:$337</definedName>
    <definedName name="z_B1ICH30103_MO_IS_depreciationandamortizationexpenses">Historicals!$341:$341</definedName>
    <definedName name="z_B1ICH30103_MO_IS_generalandadministrativeexpenses">Historicals!$340:$340</definedName>
    <definedName name="z_B1ICH30103_MO_IS_impairmentofassetsandleaseterminations">Historicals!$342:$342</definedName>
    <definedName name="z_B1ICH30103_MO_IS_incomebeforeincometaxes">Historicals!$350:$350</definedName>
    <definedName name="z_B1ICH30103_MO_IS_incomefromoperations">Historicals!$347:$347</definedName>
    <definedName name="z_B1ICH30103_MO_IS_incometaxprovision">Historicals!$351:$351</definedName>
    <definedName name="z_B1ICH30103_MO_IS_Interestandotherexpense">Historicals!$349:$349</definedName>
    <definedName name="z_B1ICH30103_MO_IS_ISCheck">Historicals!$358:$358</definedName>
    <definedName name="z_B1ICH30103_MO_IS_laborexpenses">Historicals!$338:$338</definedName>
    <definedName name="z_B1ICH30103_MO_IS_Lossoninvestmentinunconsolidatedaffiliates">Historicals!$348:$348</definedName>
    <definedName name="z_B1ICH30103_MO_IS_netincome">Historicals!$352:$352</definedName>
    <definedName name="z_B1ICH30103_MO_IS_Otheroperatingcostsandexpenses">Historicals!$339:$339</definedName>
    <definedName name="z_B1ICH30103_MO_IS_preopeningcosts">Historicals!$345:$345</definedName>
    <definedName name="z_B1ICH30103_MO_IS_revenues">Historicals!$336:$336</definedName>
    <definedName name="z_B1ICH30103_MO_IS_totalcostsandexpenses">Historicals!$346:$346</definedName>
    <definedName name="z_B1ICH30103_MO_IS_UndistributedearningsallocatedtoSeriesApreferredstock">Historicals!$355:$355</definedName>
    <definedName name="z_B1ICH30103_MO_MA__19">"Deleted"</definedName>
    <definedName name="z_B1ICH30103_MO_MA__23">Historicals!$318:$318</definedName>
    <definedName name="z_B1ICH30103_MO_MA__28">Historicals!$323:$323</definedName>
    <definedName name="z_B1ICH30103_MO_MA_AddbackDAMargin">Historicals!$329:$329</definedName>
    <definedName name="z_B1ICH30103_MO_MA_AddbackSBCMargin">Historicals!$330:$330</definedName>
    <definedName name="z_B1ICH30103_MO_MA_AdjustedEBITDAMargin">Historicals!$332:$332</definedName>
    <definedName name="z_B1ICH30103_MO_MA_AdjustedEBITMargin">Historicals!$326:$326</definedName>
    <definedName name="z_B1ICH30103_MO_MA_AverageFXRate">Historicals!$553:$553</definedName>
    <definedName name="z_B1ICH30103_MO_MA_COGSMargin">"Deleted"</definedName>
    <definedName name="z_B1ICH30103_MO_MA_COGSMarginIncludingSBC">"Deleted"</definedName>
    <definedName name="z_B1ICH30103_MO_MA_consensusestimatesadjustedebitdamargin">Historicals!$333:$333</definedName>
    <definedName name="z_B1ICH30103_MO_MA_ConsensusEstimatesAdjustedEBITMargin">Historicals!$327:$327</definedName>
    <definedName name="z_B1ICH30103_MO_MA_CostsofSales">Historicals!$313:$313</definedName>
    <definedName name="z_B1ICH30103_MO_MA_CostsofSalesMarginImprovement">Historicals!$319:$319</definedName>
    <definedName name="z_B1ICH30103_MO_MA_EBITDAMargin">Historicals!$331:$331</definedName>
    <definedName name="z_B1ICH30103_MO_MA_EBITMargin">Historicals!$325:$325</definedName>
    <definedName name="z_B1ICH30103_MO_MA_EoPFXRate">Historicals!$554:$554</definedName>
    <definedName name="z_B1ICH30103_MO_MA_GrossMarginIncludingSBC">"Deleted"</definedName>
    <definedName name="z_B1ICH30103_MO_MA_LaborExpensesExcludingSBC">"Deleted"</definedName>
    <definedName name="z_B1ICH30103_MO_MA_LaborExpensesIncludingSBC">Historicals!$314:$314</definedName>
    <definedName name="z_B1ICH30103_MO_MA_LaborExpensesMarginImprovement">Historicals!$320:$320</definedName>
    <definedName name="z_B1ICH30103_MO_MA_OtherOperatingCostsandExpensesExcludingSBC">"Deleted"</definedName>
    <definedName name="z_B1ICH30103_MO_MA_OtherOperatingCostsandExpensesIncludingSBC">Historicals!$315:$315</definedName>
    <definedName name="z_B1ICH30103_MO_MA_OtherOperatingCostsandExpensesMarginImprovement">Historicals!$321:$321</definedName>
    <definedName name="z_B1ICH30103_MO_MA_RestaurantLevelMargin">"Deleted"</definedName>
    <definedName name="z_B1ICH30103_MO_MA_RestaurantLevelOperatingCostsMarginIncludingDASBC">Historicals!$316:$316</definedName>
    <definedName name="z_B1ICH30103_MO_MA_RestaurantLevelOperatingProfitMarginExcludingDASBC">"Deleted"</definedName>
    <definedName name="z_B1ICH30103_MO_MA_RestaurantLevelOperatingProfitMarginImprovement">Historicals!$322:$322</definedName>
    <definedName name="z_B1ICH30103_MO_MA_RestaurantLevelOperatingProfitMarginIncludingDASBC">Historicals!$317:$317</definedName>
    <definedName name="z_B1ICH30103_MO_MA_SGAadjforSBCMargin">"Deleted"</definedName>
    <definedName name="z_B1ICH30103_MO_MA_SGAExcludingSBCMargin">"Deleted"</definedName>
    <definedName name="z_B1ICH30103_MO_MA_SGAIncludingSBCMargin">Historicals!$324:$324</definedName>
    <definedName name="z_B1ICH30103_MO_MA_StockEoP">Historicals!$552:$552</definedName>
    <definedName name="z_B1ICH30103_MO_MA_StockPriceTradingCurAvg">Historicals!$555:$555</definedName>
    <definedName name="z_B1ICH30103_MO_OS__102">"Deleted"</definedName>
    <definedName name="z_B1ICH30103_MO_OS__106">"Deleted"</definedName>
    <definedName name="z_B1ICH30103_MO_OS__108">Historicals!$101:$101</definedName>
    <definedName name="z_B1ICH30103_MO_OS__113">"Deleted"</definedName>
    <definedName name="z_B1ICH30103_MO_OS_Accountspayable">Historicals!$709:$709</definedName>
    <definedName name="z_B1ICH30103_MO_OS_AccountspayableYYChange">Historicals!$715:$715</definedName>
    <definedName name="z_B1ICH30103_MO_OS_Accountsreceivable">"Deleted"</definedName>
    <definedName name="z_B1ICH30103_MO_OS_AccountsreceivableYYChange">"Deleted"</definedName>
    <definedName name="z_B1ICH30103_MO_OS_Amortizationofintangibles">Historicals!$50:$50</definedName>
    <definedName name="z_B1ICH30103_MO_OS_Averagecheckpercustomer">Historicals!$254:$254</definedName>
    <definedName name="z_B1ICH30103_MO_OS_Averagecostsforfurnishingsfixturesandequipmentpersqft">"Deleted"</definedName>
    <definedName name="z_B1ICH30103_MO_OS_AverageFoxRestaurantConceptsrestaurants">"Deleted"</definedName>
    <definedName name="z_B1ICH30103_MO_OS_AverageNorthItaliarestaurants">Historicals!$108:$108</definedName>
    <definedName name="z_B1ICH30103_MO_OS_AveragenumberofCheesecakerestaurants">Historicals!$59:$59</definedName>
    <definedName name="z_B1ICH30103_MO_OS_Averagenumberofcompanyownedrestaurants">Historicals!$240:$240</definedName>
    <definedName name="z_B1ICH30103_MO_OS_Averagenumberofotherrestaurants">Historicals!$186:$186</definedName>
    <definedName name="z_B1ICH30103_MO_OS_Averagenumberofotherrestaurants_1">Historicals!$152:$152</definedName>
    <definedName name="z_B1ICH30103_MO_OS_Averagepreopeningcosts">"Deleted"</definedName>
    <definedName name="z_B1ICH30103_MO_OS_averagerevenuepercheesecakerestaurant">"Deleted"</definedName>
    <definedName name="z_B1ICH30103_MO_OS_Averagerevenueperotherrestaurant">"Deleted"</definedName>
    <definedName name="z_B1ICH30103_MO_OS_AveragesalesperCheesecakefactoryrestaurant">Historicals!$252:$252</definedName>
    <definedName name="z_B1ICH30103_MO_OS_AveragesalesperCheesecakeFactoryrestaurantoperatingweek">"Deleted"</definedName>
    <definedName name="z_B1ICH30103_MO_OS_AveragesalesperNorthItaliarestaurantoperatingweek">"Deleted"</definedName>
    <definedName name="z_B1ICH30103_MO_OS_Averagesalesperproductivesquarefoot">Historicals!$253:$253</definedName>
    <definedName name="z_B1ICH30103_MO_OS_Avgoffranchisees">Historicals!$211:$211</definedName>
    <definedName name="z_B1ICH30103_MO_OS_Bahrain">Historicals!$197:$197</definedName>
    <definedName name="z_B1ICH30103_MO_OS_Beijing">Historicals!$200:$200</definedName>
    <definedName name="z_B1ICH30103_MO_OS_BoPTotalStockOptionsOutstanding">Historicals!$455:$455</definedName>
    <definedName name="z_B1ICH30103_MO_OS_BoPWeightedAverageExercisePrice">Historicals!$467:$467</definedName>
    <definedName name="z_B1ICH30103_MO_OS_CanalystCoverPageFullyDilutedSharesOutstanding">Historicals!$490:$490</definedName>
    <definedName name="z_B1ICH30103_MO_OS_CanalystEoPFullyDilutedSharesOutstanding">Historicals!$485:$485</definedName>
    <definedName name="z_B1ICH30103_MO_OS_CF1318monthnewrestaurantoperatingweeksCalculated">Historicals!$72:$72</definedName>
    <definedName name="z_B1ICH30103_MO_OS_CFLTMnewrestaurantoperatingweeksCalculated">Historicals!$73:$73</definedName>
    <definedName name="z_B1ICH30103_MO_OS_CFrestaurantgrowth">Historicals!$58:$58</definedName>
    <definedName name="z_B1ICH30103_MO_OS_Changeinnumberofotherrestaurants">Historicals!$183:$183</definedName>
    <definedName name="z_B1ICH30103_MO_OS_changeinnumberofrestaurants">"Deleted"</definedName>
    <definedName name="z_B1ICH30103_MO_OS_cheesecakefactoryrestaurantsrevenuegrowth">Historicals!$7:$7</definedName>
    <definedName name="z_B1ICH30103_MO_OS_CheesecakeFactoryrestaurantsrevenuegrowth_1">Historicals!$100:$100</definedName>
    <definedName name="z_B1ICH30103_MO_OS_cheesecakeyychangeinavgrestcount">"Deleted"</definedName>
    <definedName name="z_B1ICH30103_MO_OS_cheesecakeyychangeinavgrevperrestaurant">"Deleted"</definedName>
    <definedName name="z_B1ICH30103_MO_OS_Chengdu">Historicals!$202:$202</definedName>
    <definedName name="z_B1ICH30103_MO_OS_Chinalicenseerestaurants">Historicals!$207:$207</definedName>
    <definedName name="z_B1ICH30103_MO_OS_Chinesemainland">Historicals!$203:$203</definedName>
    <definedName name="z_B1ICH30103_MO_OS_Commonareamaintenanceandtaxes">Historicals!$268:$268</definedName>
    <definedName name="z_B1ICH30103_MO_OS_CommonstockissuedEoP">Historicals!$432:$432</definedName>
    <definedName name="z_B1ICH30103_MO_OS_CommonstockoutstandingEoP">Historicals!$434:$434</definedName>
    <definedName name="z_B1ICH30103_MO_OS_CommonStockOutstandingexclRSAsRSUsEoP">Historicals!$436:$436</definedName>
    <definedName name="z_B1ICH30103_MO_OS_CompanyOwnedAUV">Historicals!$280:$280</definedName>
    <definedName name="z_B1ICH30103_MO_OS_Companyownedrestaurantsclosed">Historicals!$237:$237</definedName>
    <definedName name="z_B1ICH30103_MO_OS_Companyownedrestaurantsopened">Historicals!$236:$236</definedName>
    <definedName name="z_B1ICH30103_MO_OS_CompanyOwnedStoreSales">Historicals!$275:$275</definedName>
    <definedName name="z_B1ICH30103_MO_OS_Comparablerestaurantsreturnoninvestedcapital">Historicals!$256:$256</definedName>
    <definedName name="z_B1ICH30103_MO_OS_CompTheCheesecakeFactoryStores">Historicals!$61:$61</definedName>
    <definedName name="z_B1ICH30103_MO_OS_Contingentrent">Historicals!$267:$267</definedName>
    <definedName name="z_B1ICH30103_MO_OS_CostofSales">Historicals!$36:$36</definedName>
    <definedName name="z_B1ICH30103_MO_OS_Coverpagecommonstockoutstanding">Historicals!$487:$487</definedName>
    <definedName name="z_B1ICH30103_MO_OS_CumulativeBoPTotalStockOptionsOutstanding">Historicals!$449:$449</definedName>
    <definedName name="z_B1ICH30103_MO_OS_CumulativeBoPWeightedAverageExercisePrice">Historicals!$461:$461</definedName>
    <definedName name="z_B1ICH30103_MO_OS_CumulativeEoPTotalStockOptionsOutstanding">Historicals!$453:$453</definedName>
    <definedName name="z_B1ICH30103_MO_OS_CumulativeEoPWeightedAverageExercisePrice">Historicals!$465:$465</definedName>
    <definedName name="z_B1ICH30103_MO_OS_CumulativeExercisedAverageExercisePrice">Historicals!$463:$463</definedName>
    <definedName name="z_B1ICH30103_MO_OS_CumulativeExercisedStockOptions">Historicals!$451:$451</definedName>
    <definedName name="z_B1ICH30103_MO_OS_CumulativeForfeitedorCanceledAverageExercisePrice">Historicals!$464:$464</definedName>
    <definedName name="z_B1ICH30103_MO_OS_CumulativeForfeitedorCanceledStockOptions">Historicals!$452:$452</definedName>
    <definedName name="z_B1ICH30103_MO_OS_CumulativeGrantedAverageExercisePrice">Historicals!$462:$462</definedName>
    <definedName name="z_B1ICH30103_MO_OS_CumulativeGrantedStockOptions">Historicals!$450:$450</definedName>
    <definedName name="z_B1ICH30103_MO_OS_Dateofcoverpagesharecount">Historicals!$488:$488</definedName>
    <definedName name="z_B1ICH30103_MO_OS_DepreciationandAmortizationexpenses">Historicals!$40:$40</definedName>
    <definedName name="z_B1ICH30103_MO_OS_DepreciationofPPE">Historicals!$49:$49</definedName>
    <definedName name="z_B1ICH30103_MO_OS_Dilutedsharecounttobasicsharecountratio">Historicals!$445:$445</definedName>
    <definedName name="z_B1ICH30103_MO_OS_Dilutiveshares">Historicals!$444:$444</definedName>
    <definedName name="z_B1ICH30103_MO_OS_DilutiveSharesfromExercisedOptionsTreasuryMethod">Historicals!$472:$472</definedName>
    <definedName name="z_B1ICH30103_MO_OS_EndofPeriodStockPrice">Historicals!$430:$430</definedName>
    <definedName name="z_B1ICH30103_MO_OS_EoPESPPObligations">Historicals!$480:$480</definedName>
    <definedName name="z_B1ICH30103_MO_OS_EoPOthers">Historicals!$481:$481</definedName>
    <definedName name="z_B1ICH30103_MO_OS_EoPPotentiallyDilutiveSecurities">Historicals!$483:$483</definedName>
    <definedName name="z_B1ICH30103_MO_OS_EoPTotalStockOptionsExercisable">Historicals!$474:$474</definedName>
    <definedName name="z_B1ICH30103_MO_OS_EoPTotalStockOptionsOutstanding">Historicals!$459:$459</definedName>
    <definedName name="z_B1ICH30103_MO_OS_EoPUnvestedRSAandRSUPrice">Historicals!$478:$478</definedName>
    <definedName name="z_B1ICH30103_MO_OS_EoPUnvestedRSAsandRSUs">Historicals!$477:$477</definedName>
    <definedName name="z_B1ICH30103_MO_OS_EoPWeightedAverageExercisableOptionExercisePrice">Historicals!$475:$475</definedName>
    <definedName name="z_B1ICH30103_MO_OS_EoPWeightedAverageExercisePrice">Historicals!$471:$471</definedName>
    <definedName name="z_B1ICH30103_MO_OS_ExercisedAverageExercisePrice">Historicals!$469:$469</definedName>
    <definedName name="z_B1ICH30103_MO_OS_ExercisedStockOptions">Historicals!$457:$457</definedName>
    <definedName name="z_B1ICH30103_MO_OS_Externalbakerysales">Historicals!$29:$29</definedName>
    <definedName name="z_B1ICH30103_MO_OS_FlowerChildrestaurantsBOP">Historicals!$176:$176</definedName>
    <definedName name="z_B1ICH30103_MO_OS_FlowerChildrestaurantsclosed">Historicals!$178:$178</definedName>
    <definedName name="z_B1ICH30103_MO_OS_FlowerChildrestaurantsEoP">Historicals!$179:$179</definedName>
    <definedName name="z_B1ICH30103_MO_OS_FlowerChildrestaurantsopened">Historicals!$177:$177</definedName>
    <definedName name="z_B1ICH30103_MO_OS_ForfeitedorCanceledAverageExercisePrice">Historicals!$470:$470</definedName>
    <definedName name="z_B1ICH30103_MO_OS_ForfeitedorCanceledStockOptions">Historicals!$458:$458</definedName>
    <definedName name="z_B1ICH30103_MO_OS_FoxRestaurantConceptsclosed">Historicals!$150:$150</definedName>
    <definedName name="z_B1ICH30103_MO_OS_FoxRestaurantConceptsopened">Historicals!$149:$149</definedName>
    <definedName name="z_B1ICH30103_MO_OS_FoxRestaurantConceptsrestaurantsBoP">Historicals!$148:$148</definedName>
    <definedName name="z_B1ICH30103_MO_OS_FoxRestaurantConceptsrestaurantsEoP">Historicals!$151:$151</definedName>
    <definedName name="z_B1ICH30103_MO_OS_FoxRestaurantConceptsrevenue">"Deleted"</definedName>
    <definedName name="z_B1ICH30103_MO_OS_FoxRestaurantConceptsRevenue_1">"Deleted"</definedName>
    <definedName name="z_B1ICH30103_MO_OS_FranchiseAUV">Historicals!$281:$281</definedName>
    <definedName name="z_B1ICH30103_MO_OS_FranchiseSystemSales">Historicals!$276:$276</definedName>
    <definedName name="z_B1ICH30103_MO_OS_FRCrestaurantgrowth">Historicals!$153:$153</definedName>
    <definedName name="z_B1ICH30103_MO_OS_GeneralandAdministrativeExpenses">Historicals!$39:$39</definedName>
    <definedName name="z_B1ICH30103_MO_OS_Giftcardliabilities">Historicals!$710:$710</definedName>
    <definedName name="z_B1ICH30103_MO_OS_GiftcardliabilitiesYYChange">Historicals!$716:$716</definedName>
    <definedName name="z_B1ICH30103_MO_OS_GrandLuxCaferestaurantsBoP">Historicals!$161:$161</definedName>
    <definedName name="z_B1ICH30103_MO_OS_GrandLuxCaferestaurantsEoP">Historicals!$164:$164</definedName>
    <definedName name="z_B1ICH30103_MO_OS_GrandLuxComparablerestaurantsalesgrowthperperiod">Historicals!$22:$22</definedName>
    <definedName name="z_B1ICH30103_MO_OS_GrantedAverageExercisePrice">Historicals!$468:$468</definedName>
    <definedName name="z_B1ICH30103_MO_OS_GrantedStockOptions">Historicals!$456:$456</definedName>
    <definedName name="z_B1ICH30103_MO_OS_HongKong">Historicals!$204:$204</definedName>
    <definedName name="z_B1ICH30103_MO_OS_InternationalFranchiseesSalesEstimated">Historicals!$217:$217</definedName>
    <definedName name="z_B1ICH30103_MO_OS_InternationallicensingrevenuesEstimated">Historicals!$30:$30</definedName>
    <definedName name="z_B1ICH30103_MO_OS_Inventories">Historicals!$708:$708</definedName>
    <definedName name="z_B1ICH30103_MO_OS_InventoriesYYChange">Historicals!$714:$714</definedName>
    <definedName name="z_B1ICH30103_MO_OS_KingdomofSaudiArabia">Historicals!$192:$192</definedName>
    <definedName name="z_B1ICH30103_MO_OS_Kuwait">Historicals!$193:$193</definedName>
    <definedName name="z_B1ICH30103_MO_OS_LaborExpenses">Historicals!$37:$37</definedName>
    <definedName name="z_B1ICH30103_MO_OS_LastWorkingDay">Historicals!$429:$429</definedName>
    <definedName name="z_B1ICH30103_MO_OS_Lebanon">Historicals!$194:$194</definedName>
    <definedName name="z_B1ICH30103_MO_OS_LTMAverageCheckImpactonCompanyOwnedSSSG">Historicals!$306:$306</definedName>
    <definedName name="z_B1ICH30103_MO_OS_LTMCompanyOwnedAUV">Historicals!$293:$293</definedName>
    <definedName name="z_B1ICH30103_MO_OS_LTMCompanyOwnedSSSG">Historicals!$308:$308</definedName>
    <definedName name="z_B1ICH30103_MO_OS_LTMCompanyOwnedStoreRevenue">Historicals!$288:$288</definedName>
    <definedName name="z_B1ICH30103_MO_OS_LTMCompanyOwnedStoreSales">Historicals!$284:$284</definedName>
    <definedName name="z_B1ICH30103_MO_OS_LTMFranchiseAUV">Historicals!$294:$294</definedName>
    <definedName name="z_B1ICH30103_MO_OS_LTMFranchiseRevenue">Historicals!$289:$289</definedName>
    <definedName name="z_B1ICH30103_MO_OS_LTMFranchiseRevenueasaofLTMFranchiseSystemSales">Historicals!$297:$297</definedName>
    <definedName name="z_B1ICH30103_MO_OS_LTMFranchiseSystemSales">Historicals!$285:$285</definedName>
    <definedName name="z_B1ICH30103_MO_OS_LTMLaborExpense">Historicals!$300:$300</definedName>
    <definedName name="z_B1ICH30103_MO_OS_LTMOccupancyandOtherOPEX">Historicals!$301:$301</definedName>
    <definedName name="z_B1ICH30103_MO_OS_LTMOtherRevenue">Historicals!$290:$290</definedName>
    <definedName name="z_B1ICH30103_MO_OS_LTMProductCosts">Historicals!$299:$299</definedName>
    <definedName name="z_B1ICH30103_MO_OS_LTMRestLevelExpenseMargin">Historicals!$302:$302</definedName>
    <definedName name="z_B1ICH30103_MO_OS_LTMRestLevelProfitMargin">Historicals!$303:$303</definedName>
    <definedName name="z_B1ICH30103_MO_OS_LTMSystemwideAUV">Historicals!$295:$295</definedName>
    <definedName name="z_B1ICH30103_MO_OS_LTMSystemwideSales">Historicals!$286:$286</definedName>
    <definedName name="z_B1ICH30103_MO_OS_LTMSystemwideSalesGrowth">Historicals!$310:$310</definedName>
    <definedName name="z_B1ICH30103_MO_OS_LTMTotalRevenue">Historicals!$291:$291</definedName>
    <definedName name="z_B1ICH30103_MO_OS_LTMTrafficImpactonCompanyOwnedSSSG">Historicals!$307:$307</definedName>
    <definedName name="z_B1ICH30103_MO_OS_Macau">Historicals!$205:$205</definedName>
    <definedName name="z_B1ICH30103_MO_OS_Mexicolicenseerestaurants">Historicals!$199:$199</definedName>
    <definedName name="z_B1ICH30103_MO_OS_MiddleEastLicenseerestaurants">Historicals!$198:$198</definedName>
    <definedName name="z_B1ICH30103_MO_OS_NetChangeincompanyownedrestaurants">Historicals!$238:$238</definedName>
    <definedName name="z_B1ICH30103_MO_OS_NetchangeinNorthItaliarestaurants">"Deleted"</definedName>
    <definedName name="z_B1ICH30103_MO_OS_NetChangeinsystemwiderestaurants">Historicals!$243:$243</definedName>
    <definedName name="z_B1ICH30103_MO_OS_NetChangeinTotalFranchisees">Historicals!$210:$210</definedName>
    <definedName name="z_B1ICH30103_MO_OS_Newrestaurantreturnoninvestedcapital">"Deleted"</definedName>
    <definedName name="z_B1ICH30103_MO_OS_NewTheCheesecakeFactoryStoreEfficiency">"Deleted"</definedName>
    <definedName name="z_B1ICH30103_MO_OS_NewTheCheesecakeFactoryStores">Historicals!$64:$64</definedName>
    <definedName name="z_B1ICH30103_MO_OS_NI1318monthnewrestaurantoperatingweeksCalculated">Historicals!$121:$121</definedName>
    <definedName name="z_B1ICH30103_MO_OS_NILTMnewrestaurantoperatingweeksCalculated">Historicals!$122:$122</definedName>
    <definedName name="z_B1ICH30103_MO_OS_NIrestaurantgrowth">Historicals!$107:$107</definedName>
    <definedName name="z_B1ICH30103_MO_OS_NorthItalia1318monthnewstoregrowth">Historicals!$142:$142</definedName>
    <definedName name="z_B1ICH30103_MO_OS_NorthItaliaclosedrestaurantimpactoncompbase">Historicals!$134:$134</definedName>
    <definedName name="z_B1ICH30103_MO_OS_NorthItaliaclosedrestaurantoperatingweeks">"Deleted"</definedName>
    <definedName name="z_B1ICH30103_MO_OS_NorthItaliaComparablerestaurantsalesgrowth">Historicals!$131:$131</definedName>
    <definedName name="z_B1ICH30103_MO_OS_NorthItaliaComparablerestaurantsalesgrowth_1">Historicals!$140:$140</definedName>
    <definedName name="z_B1ICH30103_MO_OS_NorthItaliacomprestaurantoperatingweeks">Historicals!$120:$120</definedName>
    <definedName name="z_B1ICH30103_MO_OS_NorthItaliacomprestaurantprioryearsalesbaseperoperatingweek">Historicals!$126:$126</definedName>
    <definedName name="z_B1ICH30103_MO_OS_NorthItaliacomprestaurants">Historicals!$110:$110</definedName>
    <definedName name="z_B1ICH30103_MO_OS_NorthItaliacomprestaurantsalesperoperatingweek">Historicals!$127:$127</definedName>
    <definedName name="z_B1ICH30103_MO_OS_NorthItaliacomprestaurantsAverage">Historicals!$111:$111</definedName>
    <definedName name="z_B1ICH30103_MO_OS_NorthItaliaImpactofbasechange">Historicals!$141:$141</definedName>
    <definedName name="z_B1ICH30103_MO_OS_NorthItalianetclosedproductivity">Historicals!$133:$133</definedName>
    <definedName name="z_B1ICH30103_MO_OS_NorthItalianewrestaurantoperatingweeks">Historicals!$123:$123</definedName>
    <definedName name="z_B1ICH30103_MO_OS_NorthItalianewrestaurantproductivity">Historicals!$132:$132</definedName>
    <definedName name="z_B1ICH30103_MO_OS_NorthItalianewrestaurants">Historicals!$113:$113</definedName>
    <definedName name="z_B1ICH30103_MO_OS_NorthItalianewrestaurantsalesperoperatingweek">Historicals!$128:$128</definedName>
    <definedName name="z_B1ICH30103_MO_OS_NorthItalianewrestaurantsAverage">Historicals!$114:$114</definedName>
    <definedName name="z_B1ICH30103_MO_OS_NorthItaliaNewstoregrowth">Historicals!$143:$143</definedName>
    <definedName name="z_B1ICH30103_MO_OS_NorthItalianoncomparablesalesgrowth">Historicals!$144:$144</definedName>
    <definedName name="z_B1ICH30103_MO_OS_NorthItaliarestaurantoperatingweeks">"Deleted"</definedName>
    <definedName name="z_B1ICH30103_MO_OS_NorthItaliarestaurantsBoP">Historicals!$103:$103</definedName>
    <definedName name="z_B1ICH30103_MO_OS_NorthItaliarestaurantsclosed">Historicals!$105:$105</definedName>
    <definedName name="z_B1ICH30103_MO_OS_NorthItaliarestaurantsEoP">Historicals!$106:$106</definedName>
    <definedName name="z_B1ICH30103_MO_OS_NorthItaliarestaurantsopened">Historicals!$104:$104</definedName>
    <definedName name="z_B1ICH30103_MO_OS_NorthItaliarestaurantsoperatingincome">Historicals!$221:$221</definedName>
    <definedName name="z_B1ICH30103_MO_OS_NorthItaliarestaurantsoperatingmargin">Historicals!$229:$229</definedName>
    <definedName name="z_B1ICH30103_MO_OS_NorthItaliarestaurantsrevenuegrowth">Historicals!$145:$145</definedName>
    <definedName name="z_B1ICH30103_MO_OS_NorthItaliarevenue">Historicals!$27:$27</definedName>
    <definedName name="z_B1ICH30103_MO_OS_NorthItaliaRevenue_1">"Deleted"</definedName>
    <definedName name="z_B1ICH30103_MO_OS_NorthItaliarevenue_2">Historicals!$138:$138</definedName>
    <definedName name="z_B1ICH30103_MO_OS_NorthItaliaRevenueearnedfromclosedstoreimpact">"Deleted"</definedName>
    <definedName name="z_B1ICH30103_MO_OS_NorthItaliaRevenuegrowthimpactfromcompstores">"Deleted"</definedName>
    <definedName name="z_B1ICH30103_MO_OS_NorthItaliasalesfromclosedrestaurants">"Deleted"</definedName>
    <definedName name="z_B1ICH30103_MO_OS_NorthItaliasalesfromcomprestaurants">Historicals!$136:$136</definedName>
    <definedName name="z_B1ICH30103_MO_OS_NorthItaliasalesfromnewrestaurants">Historicals!$137:$137</definedName>
    <definedName name="z_B1ICH30103_MO_OS_NorthItaliasalespercomprestaurant">Historicals!$116:$116</definedName>
    <definedName name="z_B1ICH30103_MO_OS_NorthItaliasalespernewrestaurant">Historicals!$117:$117</definedName>
    <definedName name="z_B1ICH30103_MO_OS_NorthItaliasalesperrestaurant">Historicals!$118:$118</definedName>
    <definedName name="z_B1ICH30103_MO_OS_NorthItaliatotaloperatingweeks">Historicals!$124:$124</definedName>
    <definedName name="z_B1ICH30103_MO_OS_NorthItaliatotalsalesperoperatingweek">Historicals!$129:$129</definedName>
    <definedName name="z_B1ICH30103_MO_OS_NorthItaliatotalsalesperoperatingweekgrowth">"Deleted"</definedName>
    <definedName name="z_B1ICH30103_MO_OS_Numberofrestaurantsclosed_1">Historicals!$163:$163</definedName>
    <definedName name="z_B1ICH30103_MO_OS_Numberofrestaurantsclosed_2">Historicals!$168:$168</definedName>
    <definedName name="z_B1ICH30103_MO_OS_Numberofrestaurantsclosed_3">Historicals!$173:$173</definedName>
    <definedName name="z_B1ICH30103_MO_OS_Numberofrestaurantsclosed_4">Historicals!$56:$56</definedName>
    <definedName name="z_B1ICH30103_MO_OS_Numberofrestaurantsopened_1">Historicals!$162:$162</definedName>
    <definedName name="z_B1ICH30103_MO_OS_Numberofrestaurantsopened_2">Historicals!$167:$167</definedName>
    <definedName name="z_B1ICH30103_MO_OS_Numberofrestaurantsopened_3">Historicals!$172:$172</definedName>
    <definedName name="z_B1ICH30103_MO_OS_Numberofrestaurantsopened_4">Historicals!$182:$182</definedName>
    <definedName name="z_B1ICH30103_MO_OS_Numberofrestaurantsopened_5">Historicals!$55:$55</definedName>
    <definedName name="z_B1ICH30103_MO_OS_Offpremisesales">"Deleted"</definedName>
    <definedName name="z_B1ICH30103_MO_OS_Operatingleaseexpense">Historicals!$261:$261</definedName>
    <definedName name="z_B1ICH30103_MO_OS_Otheraccruedexpenses">Historicals!$711:$711</definedName>
    <definedName name="z_B1ICH30103_MO_OS_OtheraccruedexpensesYYChange">Historicals!$717:$717</definedName>
    <definedName name="z_B1ICH30103_MO_OS_OtherFRCoperatingincome">Historicals!$222:$222</definedName>
    <definedName name="z_B1ICH30103_MO_OS_OtherFRCoperatingmargin">Historicals!$230:$230</definedName>
    <definedName name="z_B1ICH30103_MO_OS_OtherFRCrevenue">Historicals!$28:$28</definedName>
    <definedName name="z_B1ICH30103_MO_OS_OtherFRCrevenue_1">Historicals!$158:$158</definedName>
    <definedName name="z_B1ICH30103_MO_OS_OtherOperatingCostsandExpenses">Historicals!$38:$38</definedName>
    <definedName name="z_B1ICH30103_MO_OS_Otheroperatingincome">Historicals!$224:$224</definedName>
    <definedName name="z_B1ICH30103_MO_OS_Otheroperatingincome_1">Historicals!$223:$223</definedName>
    <definedName name="z_B1ICH30103_MO_OS_Otheroperatingmargin">Historicals!$231:$231</definedName>
    <definedName name="z_B1ICH30103_MO_OS_Otherreceivables">"Deleted"</definedName>
    <definedName name="z_B1ICH30103_MO_OS_OtherreceivablesYYChange">"Deleted"</definedName>
    <definedName name="z_B1ICH30103_MO_OS_Otherrestaurantgrowth">Historicals!$185:$185</definedName>
    <definedName name="z_B1ICH30103_MO_OS_Otherrestaurants">Historicals!$181:$181</definedName>
    <definedName name="z_B1ICH30103_MO_OS_Otherrestaurants_1">Historicals!$184:$184</definedName>
    <definedName name="z_B1ICH30103_MO_OS_OtherrestaurantsrevenueEstimated">Historicals!$31:$31</definedName>
    <definedName name="z_B1ICH30103_MO_OS_Otherrevenue">Historicals!$32:$32</definedName>
    <definedName name="z_B1ICH30103_MO_OS_Otherrevenuegrowth">Historicals!$13:$13</definedName>
    <definedName name="z_B1ICH30103_MO_OS_OtherYYChangeinAvgRestCount">"Deleted"</definedName>
    <definedName name="z_B1ICH30103_MO_OS_OtherYYChangeinAvgRevPerRestaurant">"Deleted"</definedName>
    <definedName name="z_B1ICH30103_MO_OS_Percentageofrestaurantsfranchised">Historicals!$215:$215</definedName>
    <definedName name="z_B1ICH30103_MO_OS_PreopeningCosts">Historicals!$41:$41</definedName>
    <definedName name="z_B1ICH30103_MO_OS_Productivityoffranchiseesvscompanyownedstoresestimated">Historicals!$214:$214</definedName>
    <definedName name="z_B1ICH30103_MO_OS_Qatar">Historicals!$195:$195</definedName>
    <definedName name="z_B1ICH30103_MO_OS_QQbasicshareexpansionEoP">Historicals!$441:$441</definedName>
    <definedName name="z_B1ICH30103_MO_OS_QQbasicshareexpansionfromdilutivesecurities">Historicals!$437:$437</definedName>
    <definedName name="z_B1ICH30103_MO_OS_QQbasicshareexpansionfromshareissuancebuyback">Historicals!$439:$439</definedName>
    <definedName name="z_B1ICH30103_MO_OS_Restaurantoperatingweeks">"Deleted"</definedName>
    <definedName name="z_B1ICH30103_MO_OS_RockSugarSoutheastAsianKitchenrestaurantsBOP">Historicals!$166:$166</definedName>
    <definedName name="z_B1ICH30103_MO_OS_RockSugarSoutheastAsianKitchenrestaurantsEoP">Historicals!$169:$169</definedName>
    <definedName name="z_B1ICH30103_MO_OS_RSAsRSUsEoP">Historicals!$435:$435</definedName>
    <definedName name="z_B1ICH30103_MO_OS_SalesforgonefromTheCheesecakeFactoryClosureCalculated">"Deleted"</definedName>
    <definedName name="z_B1ICH30103_MO_OS_Salesfromalcoholicbeverages">Historicals!$249:$249</definedName>
    <definedName name="z_B1ICH30103_MO_OS_Salesfromdesserts">Historicals!$250:$250</definedName>
    <definedName name="z_B1ICH30103_MO_OS_SalesfromNewTheCheesecakeFactoryStoresCalculated">"Deleted"</definedName>
    <definedName name="z_B1ICH30103_MO_OS_Salesfromoffpremisebusiness">"Deleted"</definedName>
    <definedName name="z_B1ICH30103_MO_OS_Salesfromtakeout">Historicals!$248:$248</definedName>
    <definedName name="z_B1ICH30103_MO_OS_SalesfromTheCheesecakeFactoryCompStoresCalculated">"Deleted"</definedName>
    <definedName name="z_B1ICH30103_MO_OS_SalesperavgotherrestaurantCalculated">Historicals!$188:$188</definedName>
    <definedName name="z_B1ICH30103_MO_OS_Salesperavgotherrestaurantgrowth">Historicals!$189:$189</definedName>
    <definedName name="z_B1ICH30103_MO_OS_SalesPerCompFoxRestaurantConceptsCalculated">"Deleted"</definedName>
    <definedName name="z_B1ICH30103_MO_OS_SalesPerCompNorthItaliaCalculated">"Deleted"</definedName>
    <definedName name="z_B1ICH30103_MO_OS_SalesPerCompTheCheesecakeFactoryStoreCalculated">"Deleted"</definedName>
    <definedName name="z_B1ICH30103_MO_OS_SalesPerNewTheCheesecakeFactoryStoreCalculated">"Deleted"</definedName>
    <definedName name="z_B1ICH30103_MO_OS_SalesPerNorthItaliaCalculated">Historicals!$155:$155</definedName>
    <definedName name="z_B1ICH30103_MO_OS_Shanghai">Historicals!$201:$201</definedName>
    <definedName name="z_B1ICH30103_MO_OS_Shorttermleaseexpense">Historicals!$263:$263</definedName>
    <definedName name="z_B1ICH30103_MO_OS_SocialMonkAsianKitchenBoP">Historicals!$171:$171</definedName>
    <definedName name="z_B1ICH30103_MO_OS_SocialMonkAsianKitchenEoP">Historicals!$174:$174</definedName>
    <definedName name="z_B1ICH30103_MO_OS_SpecialadministrativeregionofHongKong">Historicals!$206:$206</definedName>
    <definedName name="z_B1ICH30103_MO_OS_Straightlinedminimumbaserent">Historicals!$266:$266</definedName>
    <definedName name="z_B1ICH30103_MO_OS_SystemwideAUV">Historicals!$282:$282</definedName>
    <definedName name="z_B1ICH30103_MO_OS_SystemwideSales">Historicals!$277:$277</definedName>
    <definedName name="z_B1ICH30103_MO_OS_Thailandlicenseerestaurants">Historicals!$208:$208</definedName>
    <definedName name="z_B1ICH30103_MO_OS_TheCheesecakeFactory1318monthnewstoregrowth">Historicals!$97:$97</definedName>
    <definedName name="z_B1ICH30103_MO_OS_TheCheesecakeFactoryclosedrestaurantimpactoncompbase">Historicals!$89:$89</definedName>
    <definedName name="z_B1ICH30103_MO_OS_TheCheesecakeFactoryclosedrestaurantoperatingweeks">"Deleted"</definedName>
    <definedName name="z_B1ICH30103_MO_OS_TheCheesecakeFactoryComparablerestaurantsalesgrowthperperiod">Historicals!$86:$86</definedName>
    <definedName name="z_B1ICH30103_MO_OS_TheCheesecakeFactoryComparablerestaurantsalesgrowthperperiod_1">Historicals!$95:$95</definedName>
    <definedName name="z_B1ICH30103_MO_OS_TheCheesecakeFactorycomprestaurantoperatingweeks">Historicals!$71:$71</definedName>
    <definedName name="z_B1ICH30103_MO_OS_TheCheesecakeFactorycomprestaurantprioryearsalesbaseperoperatingweek">Historicals!$77:$77</definedName>
    <definedName name="z_B1ICH30103_MO_OS_TheCheesecakeFactorycomprestaurantsalesperoperatingweek">Historicals!$78:$78</definedName>
    <definedName name="z_B1ICH30103_MO_OS_TheCheesecakeFactorycomprestaurantsAverageCalculated">Historicals!$62:$62</definedName>
    <definedName name="z_B1ICH30103_MO_OS_TheCheesecakeFactoryImpactofbasechange">Historicals!$96:$96</definedName>
    <definedName name="z_B1ICH30103_MO_OS_TheCheesecakeFactorynetclosedproductivity">Historicals!$88:$88</definedName>
    <definedName name="z_B1ICH30103_MO_OS_TheCheesecakeFactorynewrestaurantoperatingweeks">Historicals!$74:$74</definedName>
    <definedName name="z_B1ICH30103_MO_OS_TheCheesecakeFactorynewrestaurantproductivity">Historicals!$87:$87</definedName>
    <definedName name="z_B1ICH30103_MO_OS_TheCheesecakeFactorynewrestaurantsalesperoperatingweek">Historicals!$79:$79</definedName>
    <definedName name="z_B1ICH30103_MO_OS_TheCheesecakeFactorynewrestaurantsAverageCalculated">Historicals!$65:$65</definedName>
    <definedName name="z_B1ICH30103_MO_OS_TheCheesecakeFactoryNewstoregrowth">Historicals!$98:$98</definedName>
    <definedName name="z_B1ICH30103_MO_OS_TheCheesecakeFactorynoncomparablesalesgrowth">Historicals!$99:$99</definedName>
    <definedName name="z_B1ICH30103_MO_OS_TheCheesecakeFactoryrestaurantsBoP">Historicals!$54:$54</definedName>
    <definedName name="z_B1ICH30103_MO_OS_TheCheesecakeFactoryrestaurantsEoP">Historicals!$57:$57</definedName>
    <definedName name="z_B1ICH30103_MO_OS_TheCheesecakeFactoryrestaurantsoperatingincome">Historicals!$220:$220</definedName>
    <definedName name="z_B1ICH30103_MO_OS_TheCheesecakeFactoryrestaurantsoperatingmargin">Historicals!$228:$228</definedName>
    <definedName name="z_B1ICH30103_MO_OS_thecheesecakefactoryrestaurantsrevenue">Historicals!$26:$26</definedName>
    <definedName name="z_B1ICH30103_MO_OS_TheCheesecakeFactoryRevenue">"Deleted"</definedName>
    <definedName name="z_B1ICH30103_MO_OS_TheCheesecakeFactoryrevenue_1">Historicals!$93:$93</definedName>
    <definedName name="z_B1ICH30103_MO_OS_TheCheesecakeFactoryRevenueearnedfromclosedstoreimpact">"Deleted"</definedName>
    <definedName name="z_B1ICH30103_MO_OS_TheCheesecakeFactoryRevenuegrowthimpactfromcompstores">"Deleted"</definedName>
    <definedName name="z_B1ICH30103_MO_OS_TheCheesecakeFactorySalesfrom53rdweekImpactCalculated">"Deleted"</definedName>
    <definedName name="z_B1ICH30103_MO_OS_TheCheesecakeFactorysalesfromclosedrestaurants">"Deleted"</definedName>
    <definedName name="z_B1ICH30103_MO_OS_TheCheesecakeFactorysalesfromcomprestaurants">Historicals!$91:$91</definedName>
    <definedName name="z_B1ICH30103_MO_OS_TheCheesecakeFactorysalesfromnewrestaurants">Historicals!$92:$92</definedName>
    <definedName name="z_B1ICH30103_MO_OS_TheCheesecakeFactorysalespercomprestaurant">Historicals!$67:$67</definedName>
    <definedName name="z_B1ICH30103_MO_OS_TheCheesecakeFactorysalespernewrestaurant">Historicals!$68:$68</definedName>
    <definedName name="z_B1ICH30103_MO_OS_TheCheesecakeFactorysalesperrestaurant">Historicals!$69:$69</definedName>
    <definedName name="z_B1ICH30103_MO_OS_TheCheesecakeFactorytotaloperatingweeks">Historicals!$75:$75</definedName>
    <definedName name="z_B1ICH30103_MO_OS_TheCheesecakeFactorytotalsalesperoperatingweek">Historicals!$80:$80</definedName>
    <definedName name="z_B1ICH30103_MO_OS_TheCheesecakeFactorytotalsalesperoperatingweekgrowth">"Deleted"</definedName>
    <definedName name="z_B1ICH30103_MO_OS_TotalAccountReceivable">Historicals!$707:$707</definedName>
    <definedName name="z_B1ICH30103_MO_OS_TotalAccountReceivableYYChange">Historicals!$713:$713</definedName>
    <definedName name="z_B1ICH30103_MO_OS_TotalBOPcompanyownedrestaurants">Historicals!$235:$235</definedName>
    <definedName name="z_B1ICH30103_MO_OS_TotalComparablerestaurantsalesgrowthperperiod">Historicals!$23:$23</definedName>
    <definedName name="z_B1ICH30103_MO_OS_TotalCostsandExpenses">Historicals!$42:$42</definedName>
    <definedName name="z_B1ICH30103_MO_OS_TotalDA">Historicals!$51:$51</definedName>
    <definedName name="z_B1ICH30103_MO_OS_TotaldilutedcommonstockoutstandingEoP">Historicals!$447:$447</definedName>
    <definedName name="z_B1ICH30103_MO_OS_TotalEmployees">Historicals!$272:$272</definedName>
    <definedName name="z_B1ICH30103_MO_OS_TotalEOPcompanyownedrestaurants">Historicals!$239:$239</definedName>
    <definedName name="z_B1ICH30103_MO_OS_Totalfranchisees">Historicals!$209:$209</definedName>
    <definedName name="z_B1ICH30103_MO_OS_Totalleaseexpense">Historicals!$264:$264</definedName>
    <definedName name="z_B1ICH30103_MO_OS_Totaloperatingincome">Historicals!$226:$226</definedName>
    <definedName name="z_B1ICH30103_MO_OS_Totaloperatingincome_1">Historicals!$232:$232</definedName>
    <definedName name="z_B1ICH30103_MO_OS_Totalrentexpense">Historicals!$269:$269</definedName>
    <definedName name="z_B1ICH30103_MO_OS_totalrestaurants">"Deleted"</definedName>
    <definedName name="z_B1ICH30103_MO_OS_totalrevenue">Historicals!$33:$33</definedName>
    <definedName name="z_B1ICH30103_MO_OS_TotalRevenueGrowth">Historicals!$14:$14</definedName>
    <definedName name="z_B1ICH30103_MO_OS_TotalSystemwideRestaurantsAverage">Historicals!$245:$245</definedName>
    <definedName name="z_B1ICH30103_MO_OS_TotalSystemwideRestaurantsBoP">Historicals!$242:$242</definedName>
    <definedName name="z_B1ICH30103_MO_OS_TotalSystemwideRestaurantsEoP">Historicals!$244:$244</definedName>
    <definedName name="z_B1ICH30103_MO_OS_TreasurystockEoP">Historicals!$433:$433</definedName>
    <definedName name="z_B1ICH30103_MO_OS_Unallocatedcorporateexpenses">Historicals!$225:$225</definedName>
    <definedName name="z_B1ICH30103_MO_OS_UnitedArabEmirates">Historicals!$196:$196</definedName>
    <definedName name="z_B1ICH30103_MO_OS_Variableleaseexpense">Historicals!$262:$262</definedName>
    <definedName name="z_B1ICH30103_MO_OS_YYbasicshareexpansionEoP">Historicals!$442:$442</definedName>
    <definedName name="z_B1ICH30103_MO_OS_YYbasicshareexpansionfromdilutivesecurities">Historicals!$438:$438</definedName>
    <definedName name="z_B1ICH30103_MO_OS_YYbasicshareexpansionfromshareissuancebuyback">Historicals!$440:$440</definedName>
    <definedName name="z_B1ICH30103_MO_OS_YYLTMRestLevelProfitMarginImprovement">Historicals!$304:$304</definedName>
    <definedName name="z_B1ICH30103_MO_OS_YYOffpremisesalesgrowth">"Deleted"</definedName>
    <definedName name="z_B1ICH30103_MO_OS_YYSalesperNorthItaliastoregrowth">"Deleted"</definedName>
    <definedName name="z_B1ICH30103_MO_OS_YYSalesperNorthItaliastoregrowth_1">Historicals!$156:$156</definedName>
    <definedName name="z_B1ICH30103_MO_OS_YYSystemwideSalesgrowth">Historicals!$278:$278</definedName>
    <definedName name="z_B1ICH30103_MO_RIS__37">Historicals!$384:$384</definedName>
    <definedName name="z_B1ICH30103_MO_RIS_AdjustedEarningsPerShareWAD">Historicals!$421:$421</definedName>
    <definedName name="z_B1ICH30103_MO_RIS_AdjustedEBITDANoAdjustments">Historicals!$395:$395</definedName>
    <definedName name="z_B1ICH30103_MO_RIS_AdjustedEBITNoAdjustments">Historicals!$389:$389</definedName>
    <definedName name="z_B1ICH30103_MO_RIS_AdjustedNetIncome">Historicals!$414:$414</definedName>
    <definedName name="z_B1ICH30103_MO_RIS_AdjustedSharesOutstandingWAD">Historicals!$426:$426</definedName>
    <definedName name="z_B1ICH30103_MO_RIS_AdjustmentsforConvertibleSecurities">Historicals!$410:$410</definedName>
    <definedName name="z_B1ICH30103_MO_RIS_consensusestimatesadjustedearningspersharewad">Historicals!$422:$422</definedName>
    <definedName name="z_B1ICH30103_MO_RIS_ConsensusEstimatesAdjustedEBIT_1">Historicals!$390:$390</definedName>
    <definedName name="z_B1ICH30103_MO_RIS_consensusestimatesadjustedebitda">Historicals!$396:$396</definedName>
    <definedName name="z_B1ICH30103_MO_RIS_consensusestimatesnetrevenue">Historicals!$383:$383</definedName>
    <definedName name="z_B1ICH30103_MO_RIS_Currenttax">Historicals!$403:$403</definedName>
    <definedName name="z_B1ICH30103_MO_RIS_Currenttaxrate">Historicals!$416:$416</definedName>
    <definedName name="z_B1ICH30103_MO_RIS_DA">Historicals!$392:$392</definedName>
    <definedName name="z_B1ICH30103_MO_RIS_DA_1">Historicals!$387:$387</definedName>
    <definedName name="z_B1ICH30103_MO_RIS_Deferredtax">Historicals!$404:$404</definedName>
    <definedName name="z_B1ICH30103_MO_RIS_Deferredtaxrate">Historicals!$417:$417</definedName>
    <definedName name="z_B1ICH30103_MO_RIS_DilutedNetIncometoCommonShareholders">Historicals!$411:$411</definedName>
    <definedName name="z_B1ICH30103_MO_RIS_DiscontinuedOperations">Historicals!$406:$406</definedName>
    <definedName name="z_B1ICH30103_MO_RIS_EarningsPerShareWAB">Historicals!$419:$419</definedName>
    <definedName name="z_B1ICH30103_MO_RIS_EarningsPerShareWAD">Historicals!$420:$420</definedName>
    <definedName name="z_B1ICH30103_MO_RIS_EBIT">Historicals!$388:$388</definedName>
    <definedName name="z_B1ICH30103_MO_RIS_EBITDA">Historicals!$394:$394</definedName>
    <definedName name="z_B1ICH30103_MO_RIS_EBT">Historicals!$401:$401</definedName>
    <definedName name="z_B1ICH30103_MO_RIS_Franchiseotherrevenue">Historicals!$381:$381</definedName>
    <definedName name="z_B1ICH30103_MO_RIS_Interestexpense">Historicals!$398:$398</definedName>
    <definedName name="z_B1ICH30103_MO_RIS_NetIncomefromContinuedOperation">Historicals!$405:$405</definedName>
    <definedName name="z_B1ICH30103_MO_RIS_NetIncometoCommonShareholders">Historicals!$409:$409</definedName>
    <definedName name="z_B1ICH30103_MO_RIS_NetIncometoNCI">Historicals!$407:$407</definedName>
    <definedName name="z_B1ICH30103_MO_RIS_NetRevenue">Historicals!$382:$382</definedName>
    <definedName name="z_B1ICH30103_MO_RIS_NonGAAPAdjustments">Historicals!$412:$412</definedName>
    <definedName name="z_B1ICH30103_MO_RIS_NonGAAPAdjustmentsforDilutiveSecurities">Historicals!$413:$413</definedName>
    <definedName name="z_B1ICH30103_MO_RIS_Onetimeitem">Historicals!$400:$400</definedName>
    <definedName name="z_B1ICH30103_MO_RIS_Otheritems">Historicals!$399:$399</definedName>
    <definedName name="z_B1ICH30103_MO_RIS_OtherOperatingCostsExpensesadjSBC">"Deleted"</definedName>
    <definedName name="z_B1ICH30103_MO_RIS_Preferredstockdividends">Historicals!$408:$408</definedName>
    <definedName name="z_B1ICH30103_MO_RIS_Restaurantleveloperatingexpenses">Historicals!$385:$385</definedName>
    <definedName name="z_B1ICH30103_MO_RIS_Restaurantlevelrevenue">Historicals!$380:$380</definedName>
    <definedName name="z_B1ICH30103_MO_RIS_RestaurantoperatingexpensesadjforSBC">"Deleted"</definedName>
    <definedName name="z_B1ICH30103_MO_RIS_SBC">Historicals!$393:$393</definedName>
    <definedName name="z_B1ICH30103_MO_RIS_SGA_1">Historicals!$386:$386</definedName>
    <definedName name="z_B1ICH30103_MO_RIS_SGAadjforSBC">"Deleted"</definedName>
    <definedName name="z_B1ICH30103_MO_RIS_SharesOutstandingWAB">Historicals!$424:$424</definedName>
    <definedName name="z_B1ICH30103_MO_RIS_SharesOutstandingWAD">Historicals!$425:$425</definedName>
    <definedName name="z_B1ICH30103_MO_Section_AN_AdjustedNumbers">Historicals!$360:$360</definedName>
    <definedName name="z_B1ICH30103_MO_Section_BS_BalanceSheet">Historicals!$741:$741</definedName>
    <definedName name="z_B1ICH30103_MO_Section_BS_ModelChecks">Historicals!$795:$795</definedName>
    <definedName name="z_B1ICH30103_MO_Section_BSS_BalanceSheetSummary">Historicals!$519:$519</definedName>
    <definedName name="z_B1ICH30103_MO_Section_CCFS_CumulativeCashFlowStatement">Historicals!$562:$562</definedName>
    <definedName name="z_B1ICH30103_MO_Section_CFS_CashFlowStatement">Historicals!$633:$633</definedName>
    <definedName name="z_B1ICH30103_MO_Section_CFSum_CashFlowSummary">Historicals!$492:$492</definedName>
    <definedName name="z_B1ICH30103_MO_Section_DAF_DAForecasting">Historicals!$719:$719</definedName>
    <definedName name="z_B1ICH30103_MO_Section_GA_GrowthAnalysis">Historicals!$6:$6</definedName>
    <definedName name="z_B1ICH30103_MO_Section_IS_IncomeStatement">Historicals!$335:$335</definedName>
    <definedName name="z_B1ICH30103_MO_Section_MA_MarginAnalysis">Historicals!$312:$312</definedName>
    <definedName name="z_B1ICH30103_MO_Section_OS_KeyMetricsCheesecakeFactoryStatisticsFS">Historicals!$247:$247</definedName>
    <definedName name="z_B1ICH30103_MO_Section_OS_KeyMetricsEmployeeCountFS">Historicals!$271:$271</definedName>
    <definedName name="z_B1ICH30103_MO_Section_OS_KeyMetricsInternationalFranchiseesMDA">Historicals!$191:$191</definedName>
    <definedName name="z_B1ICH30103_MO_Section_OS_KeyMetricsLeaseCostandRentExpenseFS">Historicals!$260:$260</definedName>
    <definedName name="z_B1ICH30103_MO_Section_OS_KeyMetricsLTMMetrics">Historicals!$274:$274</definedName>
    <definedName name="z_B1ICH30103_MO_Section_OS_KeyMetricsNewRestaurantStatisticsFS">"Deleted"</definedName>
    <definedName name="z_B1ICH30103_MO_Section_OS_KeyMetricsOtherPR">Historicals!$160:$160</definedName>
    <definedName name="z_B1ICH30103_MO_Section_OS_KeyMetricsTotalCompanyRestaurantsMDA">Historicals!$234:$234</definedName>
    <definedName name="z_B1ICH30103_MO_Section_OS_OperatingStatsCostsBreakdownMDA">Historicals!$35:$35</definedName>
    <definedName name="z_B1ICH30103_MO_Section_OS_OperatingStatsFoxRestaurantConceptBrandsFS">Historicals!$147:$147</definedName>
    <definedName name="z_B1ICH30103_MO_Section_OS_OperatingStatsNorthItaliaFS">Historicals!$102:$102</definedName>
    <definedName name="z_B1ICH30103_MO_Section_OS_OperatingStatsStoreDataPR">Historicals!$53:$53</definedName>
    <definedName name="z_B1ICH30103_MO_Section_OS_SegmentedResultsOperatingIncomeBreakdownFS">Historicals!$219:$219</definedName>
    <definedName name="z_B1ICH30103_MO_Section_OS_SegmentedResultsRevenueBreakdownFS">Historicals!$25:$25</definedName>
    <definedName name="z_B1ICH30103_MO_Section_OS_ShareCountAnalysis">Historicals!$428:$428</definedName>
    <definedName name="z_B1ICH30103_MO_Section_OS_WorkingCapitalForecasting">Historicals!$706:$706</definedName>
    <definedName name="z_B1ICH30103_MO_Section_RIS_RevisedIncomeStatement">Historicals!$379:$379</definedName>
    <definedName name="z_B1ICH30103_MO_Section_SNA_Canalyst">Historicals!$943:$943</definedName>
    <definedName name="z_B1ICH30103_MO_Section_TB_Tables">Historicals!$818:$818</definedName>
    <definedName name="z_B1ICH30103_MO_Section_VA_Valuation">Historicals!$538:$538</definedName>
    <definedName name="z_B1ICH30103_MO_Unstructured_SNA_AdjustedEarningsPerShareWAD">Historicals!$837:$837</definedName>
    <definedName name="z_B1ICH30103_MO_Unstructured_SNA_AdjustedEBITDANoAdjustments">Historicals!$835:$835</definedName>
    <definedName name="z_B1ICH30103_MO_Unstructured_SNA_AdjustedEBITNoAdjustments">Historicals!$836:$836</definedName>
    <definedName name="z_B1ICH30103_MO_Unstructured_SNA_AnnualGuidanceTable">Historicals!$872:$872</definedName>
    <definedName name="z_B1ICH30103_MO_Unstructured_SNA_ApplicablePeriod">Historicals!$869:$869</definedName>
    <definedName name="z_B1ICH30103_MO_Unstructured_SNA_ApplicablePeriod_1">Historicals!$875:$875</definedName>
    <definedName name="z_B1ICH30103_MO_Unstructured_SNA_ApplyTradeCurrencyScaling">Historicals!$930:$930</definedName>
    <definedName name="z_B1ICH30103_MO_Unstructured_SNA_Avg">Historicals!$830:$830</definedName>
    <definedName name="z_B1ICH30103_MO_Unstructured_SNA_Bloomberg">Historicals!$894:$894</definedName>
    <definedName name="z_B1ICH30103_MO_Unstructured_SNA_Bloomberg_1">Historicals!$901:$901</definedName>
    <definedName name="z_B1ICH30103_MO_Unstructured_SNA_Bloomberg_2">Historicals!$908:$908</definedName>
    <definedName name="z_B1ICH30103_MO_Unstructured_SNA_Bloomberg_3">Historicals!$915:$915</definedName>
    <definedName name="z_B1ICH30103_MO_Unstructured_SNA_CAKEOQ">Historicals!$825:$825</definedName>
    <definedName name="z_B1ICH30103_MO_Unstructured_SNA_CAKEUS">Historicals!$822:$822</definedName>
    <definedName name="z_B1ICH30103_MO_Unstructured_SNA_CAKEUS_1">Historicals!$824:$824</definedName>
    <definedName name="z_B1ICH30103_MO_Unstructured_SNA_CAKEUS_2">Historicals!$821:$821</definedName>
    <definedName name="z_B1ICH30103_MO_Unstructured_SNA_CapitalIQ">Historicals!$895:$895</definedName>
    <definedName name="z_B1ICH30103_MO_Unstructured_SNA_CapitalIQ_1">Historicals!$902:$902</definedName>
    <definedName name="z_B1ICH30103_MO_Unstructured_SNA_CapitalIQ_2">Historicals!$909:$909</definedName>
    <definedName name="z_B1ICH30103_MO_Unstructured_SNA_CapitalIQ_3">Historicals!$916:$916</definedName>
    <definedName name="z_B1ICH30103_MO_Unstructured_SNA_ConsensusEstimatesAdjustedEarningsPerShareWAD">Historicals!$884:$884</definedName>
    <definedName name="z_B1ICH30103_MO_Unstructured_SNA_ConsensusEstimatesAdjustedEBIT_1">Historicals!$883:$883</definedName>
    <definedName name="z_B1ICH30103_MO_Unstructured_SNA_ConsensusEstimatesAdjustedEBITDA">Historicals!$882:$882</definedName>
    <definedName name="z_B1ICH30103_MO_Unstructured_SNA_ConsensusEstimatesCapex">Historicals!$886:$886</definedName>
    <definedName name="z_B1ICH30103_MO_Unstructured_SNA_ConsensusEstimatesCashFlowPerDilutedShare">Historicals!$885:$885</definedName>
    <definedName name="z_B1ICH30103_MO_Unstructured_SNA_ConsensusEstimatesTotalRevenue">Historicals!$881:$881</definedName>
    <definedName name="z_B1ICH30103_MO_Unstructured_SNA_ConsensusEstimateTable">Historicals!$878:$878</definedName>
    <definedName name="z_B1ICH30103_MO_Unstructured_SNA_CurrentFiscalYear">Historicals!$938:$938</definedName>
    <definedName name="z_B1ICH30103_MO_Unstructured_SNA_DataSourceIndex">Historicals!$941:$941</definedName>
    <definedName name="z_B1ICH30103_MO_Unstructured_SNA_EoP">Historicals!$831:$831</definedName>
    <definedName name="z_B1ICH30103_MO_Unstructured_SNA_EVEBITDAAvg">Historicals!$838:$838</definedName>
    <definedName name="z_B1ICH30103_MO_Unstructured_SNA_FactSet">Historicals!$896:$896</definedName>
    <definedName name="z_B1ICH30103_MO_Unstructured_SNA_FactSet_1">Historicals!$903:$903</definedName>
    <definedName name="z_B1ICH30103_MO_Unstructured_SNA_FactSet_2">Historicals!$910:$910</definedName>
    <definedName name="z_B1ICH30103_MO_Unstructured_SNA_FactSet_3">Historicals!$917:$917</definedName>
    <definedName name="z_B1ICH30103_MO_Unstructured_SNA_FirstForecastFiscalYear">Historicals!$939:$939</definedName>
    <definedName name="z_B1ICH30103_MO_Unstructured_SNA_FiscalPeriodStartDate">Historicals!$890:$890</definedName>
    <definedName name="z_B1ICH30103_MO_Unstructured_SNA_FXAverageRealTimeOffSource">Historicals!$913:$913</definedName>
    <definedName name="z_B1ICH30103_MO_Unstructured_SNA_FXEoP">Historicals!$922:$922</definedName>
    <definedName name="z_B1ICH30103_MO_Unstructured_SNA_FYorFQ">Historicals!$879:$879</definedName>
    <definedName name="z_B1ICH30103_MO_Unstructured_SNA_GeneralTable">Historicals!$925:$925</definedName>
    <definedName name="z_B1ICH30103_MO_Unstructured_SNA_High">Historicals!$828:$828</definedName>
    <definedName name="z_B1ICH30103_MO_Unstructured_SNA_IsHistoricalPeriod">Historicals!$891:$891</definedName>
    <definedName name="z_B1ICH30103_MO_Unstructured_SNA_IsLatest">Historicals!$874:$874</definedName>
    <definedName name="z_B1ICH30103_MO_Unstructured_SNA_KeyOutputs">Historicals!$833:$833</definedName>
    <definedName name="z_B1ICH30103_MO_Unstructured_SNA_KPICount">Historicals!$940:$940</definedName>
    <definedName name="z_B1ICH30103_MO_Unstructured_SNA_KPIData">Historicals!$842:$842</definedName>
    <definedName name="z_B1ICH30103_MO_Unstructured_SNA_LastPrice">Historicals!$926:$926</definedName>
    <definedName name="z_B1ICH30103_MO_Unstructured_SNA_LastPriceDate">Historicals!$927:$927</definedName>
    <definedName name="z_B1ICH30103_MO_Unstructured_SNA_LastPriceFormula">Historicals!$929:$929</definedName>
    <definedName name="z_B1ICH30103_MO_Unstructured_SNA_LastWorkingDayInPeriod">Historicals!$920:$920</definedName>
    <definedName name="z_B1ICH30103_MO_Unstructured_SNA_Low">Historicals!$829:$829</definedName>
    <definedName name="z_B1ICH30103_MO_Unstructured_SNA_ModelSheetCurrencyHardcoded">Historicals!$933:$933</definedName>
    <definedName name="z_B1ICH30103_MO_Unstructured_SNA_MOKPIAUVSystemWideLTM">Historicals!$853:$853</definedName>
    <definedName name="z_B1ICH30103_MO_Unstructured_SNA_MOKPIFranchiseRoyaltyAndFeeRateLTM">"Deleted"</definedName>
    <definedName name="z_B1ICH30103_MO_Unstructured_SNA_MOKPIFranchiseStorePerc">Historicals!$858:$858</definedName>
    <definedName name="z_B1ICH30103_MO_Unstructured_SNA_MOKPIFranchiseTotalRateLTM">Historicals!$854:$854</definedName>
    <definedName name="z_B1ICH30103_MO_Unstructured_SNA_MOKPILaborExpenseMarginLTM">Historicals!$861:$861</definedName>
    <definedName name="z_B1ICH30103_MO_Unstructured_SNA_MOKPINetNewStores">Historicals!$857:$857</definedName>
    <definedName name="z_B1ICH30103_MO_Unstructured_SNA_MOKPIOccupancyExpenseMarginLTM">"Deleted"</definedName>
    <definedName name="z_B1ICH30103_MO_Unstructured_SNA_MOKPIOnlineSalesGrowth">"Deleted"</definedName>
    <definedName name="z_B1ICH30103_MO_Unstructured_SNA_MOKPIOnlineSalesPerc">"Deleted"</definedName>
    <definedName name="z_B1ICH30103_MO_Unstructured_SNA_MOKPIProductCostMarginLTM">Historicals!$860:$860</definedName>
    <definedName name="z_B1ICH30103_MO_Unstructured_SNA_MOKPIRestLevelProfitMarginImprovementLTM">Historicals!$862:$862</definedName>
    <definedName name="z_B1ICH30103_MO_Unstructured_SNA_MOKPIRestLevelProfitMarginLTM">Historicals!$855:$855</definedName>
    <definedName name="z_B1ICH30103_MO_Unstructured_SNA_MOKPIREVFranchiseLTM">Historicals!$859:$859</definedName>
    <definedName name="z_B1ICH30103_MO_Unstructured_SNA_MOKPIREVOnline">"Deleted"</definedName>
    <definedName name="z_B1ICH30103_MO_Unstructured_SNA_MOKPISalesSystemWideLTM">Historicals!$852:$852</definedName>
    <definedName name="z_B1ICH30103_MO_Unstructured_SNA_MOKPISSSGAverageCheckLTM">Historicals!$863:$863</definedName>
    <definedName name="z_B1ICH30103_MO_Unstructured_SNA_MOKPISSSGCompanyOwnedLTM">Historicals!$856:$856</definedName>
    <definedName name="z_B1ICH30103_MO_Unstructured_SNA_MOKPISSSGFranchisedLTM">"Deleted"</definedName>
    <definedName name="z_B1ICH30103_MO_Unstructured_SNA_MOKPISSSGLTM">"Deleted"</definedName>
    <definedName name="z_B1ICH30103_MO_Unstructured_SNA_MOKPISSSGTrafficLTM">Historicals!$864:$864</definedName>
    <definedName name="z_B1ICH30103_MO_Unstructured_SNA_MOKPIStores_2">Historicals!$851:$851</definedName>
    <definedName name="z_B1ICH30103_MO_Unstructured_SNA_MOKPIStoresCompanyOwned">Historicals!$849:$849</definedName>
    <definedName name="z_B1ICH30103_MO_Unstructured_SNA_MOKPIStoresFranchised">Historicals!$850:$850</definedName>
    <definedName name="z_B1ICH30103_MO_Unstructured_SNA_MOKPISystemWideSalesGrowthExFXLTM">"Deleted"</definedName>
    <definedName name="z_B1ICH30103_MO_Unstructured_SNA_MOMAEBITDAAdj">Historicals!$847:$847</definedName>
    <definedName name="z_B1ICH30103_MO_Unstructured_SNA_MOOSEmployeeCount">Historicals!$848:$848</definedName>
    <definedName name="z_B1ICH30103_MO_Unstructured_SNA_MORISEBITDAAdj">Historicals!$846:$846</definedName>
    <definedName name="z_B1ICH30103_MO_Unstructured_SNA_MORISEPSWADAdj">Historicals!$845:$845</definedName>
    <definedName name="z_B1ICH30103_MO_Unstructured_SNA_MORISNINONGAAPDiluted">Historicals!$844:$844</definedName>
    <definedName name="z_B1ICH30103_MO_Unstructured_SNA_MORISREV">Historicals!$843:$843</definedName>
    <definedName name="z_B1ICH30103_MO_Unstructured_SNA_MostRecentFiscalPeriodMRFP">Historicals!$937:$937</definedName>
    <definedName name="z_B1ICH30103_MO_Unstructured_SNA_MostRecentFX">Historicals!$934:$934</definedName>
    <definedName name="z_B1ICH30103_MO_Unstructured_SNA_MostRecentFXHardcoded">Historicals!$935:$935</definedName>
    <definedName name="z_B1ICH30103_MO_Unstructured_SNA_MRFPColumnNumber">Historicals!$936:$936</definedName>
    <definedName name="z_B1ICH30103_MO_Unstructured_SNA_NASDAQCAKE">Historicals!$823:$823</definedName>
    <definedName name="z_B1ICH30103_MO_Unstructured_SNA_PEAvg">Historicals!$839:$839</definedName>
    <definedName name="z_B1ICH30103_MO_Unstructured_SNA_Period">Historicals!$880:$880</definedName>
    <definedName name="z_B1ICH30103_MO_Unstructured_SNA_QuarterlyGuidanceTable">Historicals!$867:$867</definedName>
    <definedName name="z_B1ICH30103_MO_Unstructured_SNA_RealTimeOffSource">Historicals!$893:$893</definedName>
    <definedName name="z_B1ICH30103_MO_Unstructured_SNA_RealTimeOffSource_1">Historicals!$900:$900</definedName>
    <definedName name="z_B1ICH30103_MO_Unstructured_SNA_RealTimeOffSource_2">Historicals!$907:$907</definedName>
    <definedName name="z_B1ICH30103_MO_Unstructured_SNA_RealTimeOffSource_3">Historicals!$914:$914</definedName>
    <definedName name="z_B1ICH30103_MO_Unstructured_SNA_RealTimeStockPrice">Historicals!$928:$928</definedName>
    <definedName name="z_B1ICH30103_MO_Unstructured_SNA_Refinitiv">Historicals!$897:$897</definedName>
    <definedName name="z_B1ICH30103_MO_Unstructured_SNA_Refinitiv_1">Historicals!$904:$904</definedName>
    <definedName name="z_B1ICH30103_MO_Unstructured_SNA_Refinitiv_2">Historicals!$911:$911</definedName>
    <definedName name="z_B1ICH30103_MO_Unstructured_SNA_Refinitiv_3">Historicals!$918:$918</definedName>
    <definedName name="z_B1ICH30103_MO_Unstructured_SNA_ReportingDate">Historicals!$868:$868</definedName>
    <definedName name="z_B1ICH30103_MO_Unstructured_SNA_ReportingDate_1">Historicals!$873:$873</definedName>
    <definedName name="z_B1ICH30103_MO_Unstructured_SNA_StockAverageRealTimeOffSource">Historicals!$906:$906</definedName>
    <definedName name="z_B1ICH30103_MO_Unstructured_SNA_StockHighRealTimeOffSource">Historicals!$892:$892</definedName>
    <definedName name="z_B1ICH30103_MO_Unstructured_SNA_StockLowRealTimeOffSource">Historicals!$899:$899</definedName>
    <definedName name="z_B1ICH30103_MO_Unstructured_SNA_StockPriceEoP">Historicals!$921:$921</definedName>
    <definedName name="z_B1ICH30103_MO_Unstructured_SNA_StockPriceTable">Historicals!$889:$889</definedName>
    <definedName name="z_B1ICH30103_MO_Unstructured_SNA_TickerSymbol">Historicals!$820:$820</definedName>
    <definedName name="z_B1ICH30103_MO_Unstructured_SNA_TotalRevenue">Historicals!$834:$834</definedName>
    <definedName name="z_B1ICH30103_MO_Unstructured_SNA_TradeCurrency">Historicals!$931:$931</definedName>
    <definedName name="z_B1ICH30103_MO_Unstructured_SNA_TradeCurrencyHardcoded">Historicals!$932:$932</definedName>
    <definedName name="z_B1ICH30103_MO_Unstructured_SNA_ValuationToggleTable">Historicals!$827:$827</definedName>
    <definedName name="z_B1ICH30103_MO_VA_EnterpriseValueAverage">Historicals!$541:$541</definedName>
    <definedName name="z_B1ICH30103_MO_VA_EnterpriseValueAvg">"Deleted"</definedName>
    <definedName name="z_B1ICH30103_MO_VA_enterprisevaluecomponents">Historicals!$557:$557</definedName>
    <definedName name="z_B1ICH30103_MO_VA_EnterpriseValueHigh">"Deleted"</definedName>
    <definedName name="z_B1ICH30103_MO_VA_EnterpriseValueLow">"Deleted"</definedName>
    <definedName name="z_B1ICH30103_MO_VA_EVEBITDAAverage">Historicals!$544:$544</definedName>
    <definedName name="z_B1ICH30103_MO_VA_FCFYieldtoAverageEnterpriseValue">Historicals!$547:$547</definedName>
    <definedName name="z_B1ICH30103_MO_VA_FCFYieldtoAverageMarketCap">Historicals!$546:$546</definedName>
    <definedName name="z_B1ICH30103_MO_VA_MarketCapAverage">Historicals!$540:$540</definedName>
    <definedName name="z_B1ICH30103_MO_VA_MarketCapAvg">"Deleted"</definedName>
    <definedName name="z_B1ICH30103_MO_VA_MarketCapHigh">"Deleted"</definedName>
    <definedName name="z_B1ICH30103_MO_VA_MarketCapLow">"Deleted"</definedName>
    <definedName name="z_B1ICH30103_MO_VA_NoncontrollingInterest">Historicals!$558:$558</definedName>
    <definedName name="z_B1ICH30103_MO_VA_OtherEVComponents">Historicals!$560:$560</definedName>
    <definedName name="z_B1ICH30103_MO_VA_PCFAverage">Historicals!$545:$545</definedName>
    <definedName name="z_B1ICH30103_MO_VA_PEAverage">Historicals!$543:$543</definedName>
    <definedName name="z_B1ICH30103_MO_VA_PreferredShares">Historicals!$559:$559</definedName>
    <definedName name="z_B1ICH30103_MO_VA_StockAvg">Historicals!$551:$551</definedName>
    <definedName name="z_B1ICH30103_MO_VA_StockHigh">Historicals!$549:$549</definedName>
    <definedName name="z_B1ICH30103_MO_VA_StockLow">Historicals!$550:$550</definedName>
    <definedName name="z_B1ICH30103_MO_VA_StockPriceAverage">Historicals!$539:$539</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3" l="1"/>
  <c r="BG17" i="16"/>
  <c r="BF17" i="16"/>
  <c r="BE17" i="16"/>
  <c r="BD17" i="16"/>
  <c r="BC17" i="16"/>
  <c r="BB17" i="16"/>
  <c r="BA17" i="16"/>
  <c r="AZ17" i="16"/>
  <c r="AY17" i="16"/>
  <c r="AX17" i="16"/>
  <c r="AW17" i="16"/>
  <c r="AV17" i="16"/>
  <c r="AU17" i="16"/>
  <c r="AT17" i="16"/>
  <c r="AS17" i="16"/>
  <c r="AR17" i="16"/>
  <c r="AQ17" i="16"/>
  <c r="AP17" i="16"/>
  <c r="AO17" i="16"/>
  <c r="AN17" i="16"/>
  <c r="AM17" i="16"/>
  <c r="AL17" i="16"/>
  <c r="AK17" i="16"/>
  <c r="AJ17" i="16"/>
  <c r="AI17" i="16"/>
  <c r="AH17" i="16"/>
  <c r="AG17" i="16"/>
  <c r="AF17" i="16"/>
  <c r="AE17" i="16"/>
  <c r="AD17" i="16"/>
  <c r="AC17" i="16"/>
  <c r="AB17" i="16"/>
  <c r="AA17" i="16"/>
  <c r="Z17" i="16"/>
  <c r="Y17" i="16"/>
  <c r="X17" i="16"/>
  <c r="W17" i="16"/>
  <c r="V17" i="16"/>
  <c r="U17" i="16"/>
  <c r="T17" i="16"/>
  <c r="S17" i="16"/>
  <c r="R17" i="16"/>
  <c r="Q17" i="16"/>
  <c r="P17" i="16"/>
  <c r="O17" i="16"/>
  <c r="N17" i="16"/>
  <c r="F18" i="13"/>
  <c r="D25" i="14"/>
  <c r="G37" i="13"/>
  <c r="K36" i="18"/>
  <c r="H65" i="18"/>
  <c r="F13" i="18" a="1"/>
  <c r="F13" i="18"/>
  <c r="I65" i="18"/>
  <c r="J65" i="18"/>
  <c r="K65" i="18"/>
  <c r="G65" i="18"/>
  <c r="G45" i="13"/>
  <c r="H76" i="18"/>
  <c r="I76" i="18"/>
  <c r="J76" i="18"/>
  <c r="K76" i="18"/>
  <c r="G76" i="18"/>
  <c r="H71" i="18"/>
  <c r="I71" i="18"/>
  <c r="J71" i="18"/>
  <c r="K71" i="18"/>
  <c r="G71" i="18"/>
  <c r="K60" i="18"/>
  <c r="H60" i="18"/>
  <c r="J4" i="14"/>
  <c r="H9" i="15"/>
  <c r="F9" i="15"/>
  <c r="T25" i="17"/>
  <c r="U25" i="17"/>
  <c r="AD25" i="17"/>
  <c r="AJ25" i="17"/>
  <c r="AK25" i="17"/>
  <c r="F26" i="17"/>
  <c r="G26" i="17"/>
  <c r="H26" i="17"/>
  <c r="I25" i="17"/>
  <c r="I26" i="17"/>
  <c r="J25" i="17"/>
  <c r="J26" i="17"/>
  <c r="K25" i="17"/>
  <c r="K26" i="17"/>
  <c r="L25" i="17"/>
  <c r="L26" i="17"/>
  <c r="M26" i="17"/>
  <c r="N25" i="17"/>
  <c r="N26" i="17"/>
  <c r="O25" i="17"/>
  <c r="O26" i="17"/>
  <c r="P25" i="17"/>
  <c r="P26" i="17"/>
  <c r="Q25" i="17"/>
  <c r="Q26" i="17"/>
  <c r="R26" i="17"/>
  <c r="S25" i="17"/>
  <c r="S26" i="17"/>
  <c r="T26" i="17"/>
  <c r="U26" i="17"/>
  <c r="V25" i="17"/>
  <c r="V26" i="17"/>
  <c r="W26" i="17"/>
  <c r="X25" i="17"/>
  <c r="X26" i="17"/>
  <c r="Y25" i="17"/>
  <c r="Y26" i="17"/>
  <c r="Z25" i="17"/>
  <c r="Z26" i="17"/>
  <c r="AA25" i="17"/>
  <c r="AA26" i="17"/>
  <c r="AB26" i="17"/>
  <c r="AC25" i="17"/>
  <c r="AC26" i="17"/>
  <c r="AD26" i="17"/>
  <c r="AE25" i="17"/>
  <c r="AE26" i="17"/>
  <c r="AF25" i="17"/>
  <c r="AF26" i="17"/>
  <c r="AG26" i="17"/>
  <c r="AH25" i="17"/>
  <c r="AH26" i="17"/>
  <c r="AI25" i="17"/>
  <c r="AI26" i="17"/>
  <c r="AJ26" i="17"/>
  <c r="AK26" i="17"/>
  <c r="AL26" i="17"/>
  <c r="AM25" i="17"/>
  <c r="AM26" i="17"/>
  <c r="AN25" i="17"/>
  <c r="AN26" i="17"/>
  <c r="AO25" i="17"/>
  <c r="AO26" i="17"/>
  <c r="AP25" i="17"/>
  <c r="AP26" i="17"/>
  <c r="AQ26" i="17"/>
  <c r="AR25" i="17"/>
  <c r="AR26" i="17"/>
  <c r="AS25" i="17"/>
  <c r="AS26" i="17"/>
  <c r="AT25" i="17"/>
  <c r="AT26" i="17"/>
  <c r="AU25" i="17"/>
  <c r="AU26" i="17"/>
  <c r="AV26" i="17"/>
  <c r="AW25" i="17"/>
  <c r="AW26" i="17"/>
  <c r="AX26" i="17"/>
  <c r="E26" i="17"/>
  <c r="F55" i="18"/>
  <c r="F53" i="18"/>
  <c r="F54" i="18"/>
  <c r="AH15" i="16"/>
  <c r="AJ15" i="16"/>
  <c r="AS15" i="16"/>
  <c r="AX15" i="16"/>
  <c r="N15" i="16"/>
  <c r="O15" i="16"/>
  <c r="P15" i="16"/>
  <c r="Q15" i="16"/>
  <c r="R15" i="16"/>
  <c r="W15" i="16"/>
  <c r="X15" i="16"/>
  <c r="I18" i="17"/>
  <c r="T7" i="16"/>
  <c r="V7" i="16"/>
  <c r="Y7" i="16"/>
  <c r="AE7" i="16"/>
  <c r="AJ7" i="16"/>
  <c r="AO7" i="16"/>
  <c r="AU7" i="16"/>
  <c r="AZ7" i="16"/>
  <c r="BB7" i="16"/>
  <c r="BE7" i="16"/>
  <c r="S49" i="11"/>
  <c r="S7" i="16"/>
  <c r="T49" i="11"/>
  <c r="U49" i="11"/>
  <c r="U7" i="16"/>
  <c r="V49" i="11"/>
  <c r="W49" i="11"/>
  <c r="W7" i="16"/>
  <c r="X49" i="11"/>
  <c r="X7" i="16"/>
  <c r="Y49" i="11"/>
  <c r="Z49" i="11"/>
  <c r="Z7" i="16"/>
  <c r="AA49" i="11"/>
  <c r="AA7" i="16"/>
  <c r="AB49" i="11"/>
  <c r="AB7" i="16"/>
  <c r="AC49" i="11"/>
  <c r="AC7" i="16"/>
  <c r="AD49" i="11"/>
  <c r="AD7" i="16"/>
  <c r="AE49" i="11"/>
  <c r="AF49" i="11"/>
  <c r="AF7" i="16"/>
  <c r="AG49" i="11"/>
  <c r="AG7" i="16"/>
  <c r="AH49" i="11"/>
  <c r="AH7" i="16"/>
  <c r="AI49" i="11"/>
  <c r="AI7" i="16"/>
  <c r="AJ49" i="11"/>
  <c r="AK49" i="11"/>
  <c r="AK7" i="16"/>
  <c r="AL49" i="11"/>
  <c r="AL7" i="16"/>
  <c r="AM49" i="11"/>
  <c r="AM7" i="16"/>
  <c r="AN49" i="11"/>
  <c r="AN7" i="16"/>
  <c r="AO49" i="11"/>
  <c r="AP49" i="11"/>
  <c r="AP7" i="16"/>
  <c r="AQ49" i="11"/>
  <c r="AQ7" i="16"/>
  <c r="AR49" i="11"/>
  <c r="AR7" i="16"/>
  <c r="AS49" i="11"/>
  <c r="AS7" i="16"/>
  <c r="AT49" i="11"/>
  <c r="AT7" i="16"/>
  <c r="AU49" i="11"/>
  <c r="AV49" i="11"/>
  <c r="AV7" i="16"/>
  <c r="AW49" i="11"/>
  <c r="AW7" i="16"/>
  <c r="AX49" i="11"/>
  <c r="AX7" i="16"/>
  <c r="AY49" i="11"/>
  <c r="AY7" i="16"/>
  <c r="AZ49" i="11"/>
  <c r="BA49" i="11"/>
  <c r="BA7" i="16"/>
  <c r="BB49" i="11"/>
  <c r="BC49" i="11"/>
  <c r="BC7" i="16"/>
  <c r="BD49" i="11"/>
  <c r="BD7" i="16"/>
  <c r="BE49" i="11"/>
  <c r="BF49" i="11"/>
  <c r="BF7" i="16"/>
  <c r="BG49" i="11"/>
  <c r="BG7" i="16"/>
  <c r="S51" i="11"/>
  <c r="T51" i="11"/>
  <c r="U51" i="11"/>
  <c r="V51" i="11"/>
  <c r="W51" i="11"/>
  <c r="X51" i="11"/>
  <c r="Y51" i="11"/>
  <c r="Z51" i="11"/>
  <c r="AA51" i="11"/>
  <c r="AB51" i="11"/>
  <c r="AC51" i="11"/>
  <c r="AD51" i="11"/>
  <c r="AE51" i="11"/>
  <c r="AF51" i="11"/>
  <c r="AG51" i="11"/>
  <c r="AH51" i="11"/>
  <c r="AI51" i="11"/>
  <c r="AJ51" i="11"/>
  <c r="AK51" i="11"/>
  <c r="AL51" i="11"/>
  <c r="AM51" i="11"/>
  <c r="AN51" i="11"/>
  <c r="AO51" i="11"/>
  <c r="AP51" i="11"/>
  <c r="AQ51" i="11"/>
  <c r="AR51" i="11"/>
  <c r="AS51" i="11"/>
  <c r="AT51" i="11"/>
  <c r="AU51" i="11"/>
  <c r="AV51" i="11"/>
  <c r="AW51" i="11"/>
  <c r="AX51" i="11"/>
  <c r="AY51" i="11"/>
  <c r="AZ51" i="11"/>
  <c r="BA51" i="11"/>
  <c r="BB51" i="11"/>
  <c r="BC51" i="11"/>
  <c r="BD51" i="11"/>
  <c r="BE51" i="11"/>
  <c r="BF51" i="11"/>
  <c r="BG51" i="11"/>
  <c r="S52" i="11"/>
  <c r="S15" i="16"/>
  <c r="T52" i="11"/>
  <c r="T15" i="16"/>
  <c r="U52" i="11"/>
  <c r="U15" i="16"/>
  <c r="V52" i="11"/>
  <c r="V15" i="16"/>
  <c r="W52" i="11"/>
  <c r="X52" i="11"/>
  <c r="Y52" i="11"/>
  <c r="Y15" i="16"/>
  <c r="Z52" i="11"/>
  <c r="Z15" i="16"/>
  <c r="AA52" i="11"/>
  <c r="AA15" i="16"/>
  <c r="AB52" i="11"/>
  <c r="AB15" i="16"/>
  <c r="AC52" i="11"/>
  <c r="AC15" i="16"/>
  <c r="AD52" i="11"/>
  <c r="AE52" i="11"/>
  <c r="AF52" i="11"/>
  <c r="AG52" i="11"/>
  <c r="AH52" i="11"/>
  <c r="AI52" i="11"/>
  <c r="AI15" i="16"/>
  <c r="AJ52" i="11"/>
  <c r="AK52" i="11"/>
  <c r="AK15" i="16"/>
  <c r="AL52" i="11"/>
  <c r="AL15" i="16"/>
  <c r="AM52" i="11"/>
  <c r="AM15" i="16"/>
  <c r="AN52" i="11"/>
  <c r="AN15" i="16"/>
  <c r="AO52" i="11"/>
  <c r="AO15" i="16"/>
  <c r="AP52" i="11"/>
  <c r="AP15" i="16"/>
  <c r="AQ52" i="11"/>
  <c r="AQ15" i="16"/>
  <c r="AR52" i="11"/>
  <c r="AR15" i="16"/>
  <c r="AS52" i="11"/>
  <c r="AT52" i="11"/>
  <c r="AT15" i="16"/>
  <c r="AU52" i="11"/>
  <c r="AU15" i="16"/>
  <c r="AV52" i="11"/>
  <c r="AV15" i="16"/>
  <c r="AW52" i="11"/>
  <c r="AW15" i="16"/>
  <c r="AX52" i="11"/>
  <c r="AY52" i="11"/>
  <c r="AY15" i="16"/>
  <c r="AZ52" i="11"/>
  <c r="AZ15" i="16"/>
  <c r="BA52" i="11"/>
  <c r="BA15" i="16"/>
  <c r="BB52" i="11"/>
  <c r="BB15" i="16"/>
  <c r="BC52" i="11"/>
  <c r="BC15" i="16"/>
  <c r="BD52" i="11"/>
  <c r="BD15" i="16"/>
  <c r="BE52" i="11"/>
  <c r="BE15" i="16"/>
  <c r="BF52" i="11"/>
  <c r="BF15" i="16"/>
  <c r="BG52" i="11"/>
  <c r="BG15" i="16"/>
  <c r="S10" i="16"/>
  <c r="T10" i="16"/>
  <c r="U10" i="16"/>
  <c r="V10" i="16"/>
  <c r="W10" i="16"/>
  <c r="X10" i="16"/>
  <c r="Y10" i="16"/>
  <c r="Z10" i="16"/>
  <c r="AA10" i="16"/>
  <c r="AB10" i="16"/>
  <c r="AC10" i="16"/>
  <c r="AD10" i="16"/>
  <c r="AE10" i="16"/>
  <c r="AF10" i="16"/>
  <c r="AG10" i="16"/>
  <c r="AH10" i="16"/>
  <c r="AI10" i="16"/>
  <c r="AJ10" i="16"/>
  <c r="AK10" i="16"/>
  <c r="AL10" i="16"/>
  <c r="AM10" i="16"/>
  <c r="AN10" i="16"/>
  <c r="AO10" i="16"/>
  <c r="AP10" i="16"/>
  <c r="AQ10" i="16"/>
  <c r="AR10" i="16"/>
  <c r="AS10" i="16"/>
  <c r="AT10" i="16"/>
  <c r="AU10" i="16"/>
  <c r="AV10" i="16"/>
  <c r="AW10" i="16"/>
  <c r="AX10" i="16"/>
  <c r="AY10" i="16"/>
  <c r="AZ10" i="16"/>
  <c r="BA10" i="16"/>
  <c r="BB10" i="16"/>
  <c r="BC10" i="16"/>
  <c r="BD10" i="16"/>
  <c r="BE10" i="16"/>
  <c r="BF10" i="16"/>
  <c r="BG10" i="16"/>
  <c r="D15" i="18"/>
  <c r="D14" i="18"/>
  <c r="D13" i="18"/>
  <c r="K78" i="18"/>
  <c r="J78" i="18"/>
  <c r="I78" i="18"/>
  <c r="H78" i="18"/>
  <c r="G78" i="18"/>
  <c r="F78" i="18"/>
  <c r="F77" i="18"/>
  <c r="F76" i="18"/>
  <c r="K73" i="18"/>
  <c r="J73" i="18"/>
  <c r="I73" i="18"/>
  <c r="H73" i="18"/>
  <c r="G73" i="18"/>
  <c r="F73" i="18"/>
  <c r="F72" i="18"/>
  <c r="F71" i="18"/>
  <c r="H67" i="18"/>
  <c r="I67" i="18"/>
  <c r="J67" i="18"/>
  <c r="K67" i="18"/>
  <c r="G67" i="18"/>
  <c r="BB17" i="12"/>
  <c r="Q37" i="12"/>
  <c r="R37" i="12"/>
  <c r="S37" i="12"/>
  <c r="T37" i="12"/>
  <c r="U37" i="12"/>
  <c r="V37" i="12"/>
  <c r="W37" i="12"/>
  <c r="X37" i="12"/>
  <c r="Y37" i="12"/>
  <c r="Z37" i="12"/>
  <c r="AA37" i="12"/>
  <c r="AB37" i="12"/>
  <c r="AC37" i="12"/>
  <c r="AD37" i="12"/>
  <c r="AE37" i="12"/>
  <c r="AF37" i="12"/>
  <c r="AG37" i="12"/>
  <c r="AH37" i="12"/>
  <c r="AI37" i="12"/>
  <c r="AJ37" i="12"/>
  <c r="AK37" i="12"/>
  <c r="AL37" i="12"/>
  <c r="AM37" i="12"/>
  <c r="AN37" i="12"/>
  <c r="AO37" i="12"/>
  <c r="AP37" i="12"/>
  <c r="AQ37" i="12"/>
  <c r="AR37" i="12"/>
  <c r="AS37" i="12"/>
  <c r="AT37" i="12"/>
  <c r="AU37" i="12"/>
  <c r="AV37" i="12"/>
  <c r="AW37" i="12"/>
  <c r="AX37" i="12"/>
  <c r="AY37" i="12"/>
  <c r="AZ37" i="12"/>
  <c r="L37" i="12"/>
  <c r="F67" i="18"/>
  <c r="F66" i="18"/>
  <c r="F65" i="18"/>
  <c r="AW18" i="17"/>
  <c r="D9" i="15"/>
  <c r="E9" i="15"/>
  <c r="G9" i="15"/>
  <c r="T36" i="1"/>
  <c r="U36" i="1"/>
  <c r="U37" i="1"/>
  <c r="V36" i="1"/>
  <c r="W36" i="1"/>
  <c r="X36" i="1"/>
  <c r="Y36" i="1"/>
  <c r="Z36" i="1"/>
  <c r="AA36" i="1"/>
  <c r="AB36" i="1"/>
  <c r="AC36" i="1"/>
  <c r="AC37" i="1"/>
  <c r="AD36" i="1"/>
  <c r="AE36" i="1"/>
  <c r="AF36" i="1"/>
  <c r="AF37" i="1"/>
  <c r="AG36" i="1"/>
  <c r="AG37" i="1"/>
  <c r="AH36" i="1"/>
  <c r="AH37" i="1"/>
  <c r="AI36" i="1"/>
  <c r="AI37" i="1"/>
  <c r="AJ36" i="1"/>
  <c r="AK36" i="1"/>
  <c r="AL36" i="1"/>
  <c r="AM36" i="1"/>
  <c r="AN36" i="1"/>
  <c r="AO36" i="1"/>
  <c r="AP36" i="1"/>
  <c r="AQ36" i="1"/>
  <c r="AR36" i="1"/>
  <c r="AS36" i="1"/>
  <c r="AS37" i="1"/>
  <c r="AT36" i="1"/>
  <c r="AU36" i="1"/>
  <c r="AU37" i="1"/>
  <c r="AV36" i="1"/>
  <c r="AV37" i="1"/>
  <c r="AW36" i="1"/>
  <c r="AW37" i="1"/>
  <c r="AX36" i="1"/>
  <c r="AX37" i="1"/>
  <c r="AY36" i="1"/>
  <c r="AY37" i="1"/>
  <c r="AZ36" i="1"/>
  <c r="BA36" i="1"/>
  <c r="BA37" i="1"/>
  <c r="BB36" i="1"/>
  <c r="BB37" i="1"/>
  <c r="BC36" i="1"/>
  <c r="BC37" i="1"/>
  <c r="BD36" i="1"/>
  <c r="BE36" i="1"/>
  <c r="BF36" i="1"/>
  <c r="BG36" i="1"/>
  <c r="T37" i="1"/>
  <c r="AE37" i="1"/>
  <c r="AQ37" i="1"/>
  <c r="AR37" i="1"/>
  <c r="AZ37" i="1"/>
  <c r="X37" i="1"/>
  <c r="AB37" i="1"/>
  <c r="AD37" i="1"/>
  <c r="AN37" i="1"/>
  <c r="AT37" i="1"/>
  <c r="BE37" i="1"/>
  <c r="BF37" i="1"/>
  <c r="S36" i="1"/>
  <c r="J12" i="14"/>
  <c r="I16" i="14"/>
  <c r="H62" i="18"/>
  <c r="I62" i="18"/>
  <c r="J62" i="18"/>
  <c r="K62" i="18"/>
  <c r="G62" i="18"/>
  <c r="I60" i="18"/>
  <c r="J60" i="18"/>
  <c r="G60" i="18"/>
  <c r="D14" i="14"/>
  <c r="D33" i="14"/>
  <c r="D4" i="19"/>
  <c r="F50" i="18"/>
  <c r="F49" i="18"/>
  <c r="F48" i="18"/>
  <c r="G43" i="18"/>
  <c r="H43" i="18"/>
  <c r="I43" i="18"/>
  <c r="J43" i="18"/>
  <c r="K43" i="18"/>
  <c r="F45" i="18"/>
  <c r="F44" i="18"/>
  <c r="F43" i="18"/>
  <c r="C13" i="19"/>
  <c r="D13" i="19"/>
  <c r="E13" i="19"/>
  <c r="F13" i="19"/>
  <c r="G13" i="19"/>
  <c r="H13" i="19"/>
  <c r="I13" i="19"/>
  <c r="J13" i="19"/>
  <c r="C14" i="19"/>
  <c r="D14" i="19"/>
  <c r="E14" i="19"/>
  <c r="F14" i="19"/>
  <c r="H14" i="19"/>
  <c r="I14" i="19"/>
  <c r="J14" i="19"/>
  <c r="C15" i="19"/>
  <c r="D15" i="19"/>
  <c r="E15" i="19"/>
  <c r="F15" i="19"/>
  <c r="H15" i="19"/>
  <c r="I15" i="19"/>
  <c r="J15" i="19"/>
  <c r="C16" i="19"/>
  <c r="D16" i="19"/>
  <c r="E16" i="19"/>
  <c r="F16" i="19"/>
  <c r="H16" i="19"/>
  <c r="I16" i="19"/>
  <c r="J16" i="19"/>
  <c r="G6" i="19"/>
  <c r="G14" i="19"/>
  <c r="G7" i="19"/>
  <c r="G8" i="19"/>
  <c r="G9" i="19"/>
  <c r="G10" i="19"/>
  <c r="G11" i="19"/>
  <c r="G15" i="19"/>
  <c r="G4" i="19"/>
  <c r="F38" i="18"/>
  <c r="F37" i="18"/>
  <c r="F8" i="18" a="1"/>
  <c r="F8" i="18"/>
  <c r="F36" i="18"/>
  <c r="H36" i="18"/>
  <c r="F31" i="18"/>
  <c r="G31" i="18"/>
  <c r="H31" i="18"/>
  <c r="I31" i="18"/>
  <c r="J31" i="18"/>
  <c r="K31" i="18"/>
  <c r="F30" i="18"/>
  <c r="G30" i="18"/>
  <c r="H30" i="18"/>
  <c r="I30" i="18"/>
  <c r="J30" i="18"/>
  <c r="K30" i="18"/>
  <c r="F29" i="18"/>
  <c r="G29" i="18"/>
  <c r="H29" i="18"/>
  <c r="I29" i="18"/>
  <c r="J29" i="18"/>
  <c r="K29" i="18"/>
  <c r="V37" i="1"/>
  <c r="W37" i="1"/>
  <c r="Y37" i="1"/>
  <c r="Z37" i="1"/>
  <c r="AA37" i="1"/>
  <c r="AJ37" i="1"/>
  <c r="AK37" i="1"/>
  <c r="AL37" i="1"/>
  <c r="AM37" i="1"/>
  <c r="AO37" i="1"/>
  <c r="AP37" i="1"/>
  <c r="BD37" i="1"/>
  <c r="BG37" i="1"/>
  <c r="F26" i="18"/>
  <c r="G26" i="18"/>
  <c r="H26" i="18"/>
  <c r="I26" i="18"/>
  <c r="J26" i="18"/>
  <c r="K26" i="18"/>
  <c r="S37" i="1"/>
  <c r="F62" i="18"/>
  <c r="F61" i="18"/>
  <c r="F60" i="18"/>
  <c r="BH18" i="3"/>
  <c r="BG18" i="3"/>
  <c r="BF18" i="3"/>
  <c r="BE18" i="3"/>
  <c r="BD18" i="3"/>
  <c r="BD9" i="3"/>
  <c r="F21" i="18"/>
  <c r="BB25" i="12"/>
  <c r="BB26" i="12"/>
  <c r="BC25" i="12"/>
  <c r="BC26" i="12"/>
  <c r="BD25" i="12"/>
  <c r="BD26" i="12"/>
  <c r="BE25" i="12"/>
  <c r="BA25" i="12"/>
  <c r="BB22" i="12"/>
  <c r="BC22" i="12"/>
  <c r="BD22" i="12"/>
  <c r="BE22" i="12"/>
  <c r="BA22" i="12"/>
  <c r="BA26" i="12"/>
  <c r="BC17" i="12"/>
  <c r="BD17" i="12"/>
  <c r="BE17" i="12"/>
  <c r="BA17" i="12"/>
  <c r="BG21" i="1"/>
  <c r="N26" i="16"/>
  <c r="O26" i="16"/>
  <c r="P26" i="16"/>
  <c r="Q26" i="16"/>
  <c r="R26" i="16"/>
  <c r="S26" i="16"/>
  <c r="T26" i="16"/>
  <c r="U26" i="16"/>
  <c r="V26" i="16"/>
  <c r="W26" i="16"/>
  <c r="X26" i="16"/>
  <c r="Y26" i="16"/>
  <c r="Z26" i="16"/>
  <c r="AA26" i="16"/>
  <c r="AB26" i="16"/>
  <c r="AC26" i="16"/>
  <c r="AD26" i="16"/>
  <c r="AE26" i="16"/>
  <c r="AF26" i="16"/>
  <c r="AG26" i="16"/>
  <c r="AH26" i="16"/>
  <c r="AI26" i="16"/>
  <c r="AJ26" i="16"/>
  <c r="AK26" i="16"/>
  <c r="AL26" i="16"/>
  <c r="AM26" i="16"/>
  <c r="AN26" i="16"/>
  <c r="AO26" i="16"/>
  <c r="AP26" i="16"/>
  <c r="AQ26" i="16"/>
  <c r="AR26" i="16"/>
  <c r="AS26" i="16"/>
  <c r="AT26" i="16"/>
  <c r="AU26" i="16"/>
  <c r="AV26" i="16"/>
  <c r="AW26" i="16"/>
  <c r="AX26" i="16"/>
  <c r="AY26" i="16"/>
  <c r="AZ26" i="16"/>
  <c r="BA26" i="16"/>
  <c r="BB26" i="16"/>
  <c r="BC26" i="16"/>
  <c r="BD26" i="16"/>
  <c r="BE26" i="16"/>
  <c r="BF26" i="16"/>
  <c r="BG26" i="16"/>
  <c r="N20" i="16"/>
  <c r="N25" i="16"/>
  <c r="O20" i="16"/>
  <c r="O25" i="16"/>
  <c r="P20" i="16"/>
  <c r="P25" i="16"/>
  <c r="Q20" i="16"/>
  <c r="Q25" i="16"/>
  <c r="R20" i="16"/>
  <c r="R25" i="16"/>
  <c r="S20" i="16"/>
  <c r="S25" i="16"/>
  <c r="T20" i="16"/>
  <c r="T25" i="16"/>
  <c r="U20" i="16"/>
  <c r="U25" i="16"/>
  <c r="V20" i="16"/>
  <c r="V25" i="16"/>
  <c r="W20" i="16"/>
  <c r="W25" i="16"/>
  <c r="X20" i="16"/>
  <c r="X25" i="16"/>
  <c r="Y20" i="16"/>
  <c r="Y25" i="16"/>
  <c r="Z20" i="16"/>
  <c r="Z25" i="16"/>
  <c r="AA20" i="16"/>
  <c r="AA25" i="16"/>
  <c r="AB20" i="16"/>
  <c r="AB25" i="16"/>
  <c r="AC20" i="16"/>
  <c r="AC25" i="16"/>
  <c r="AD20" i="16"/>
  <c r="AD25" i="16"/>
  <c r="AE20" i="16"/>
  <c r="AE25" i="16"/>
  <c r="AF20" i="16"/>
  <c r="AF25" i="16"/>
  <c r="AG20" i="16"/>
  <c r="AG25" i="16"/>
  <c r="AH20" i="16"/>
  <c r="AH25" i="16"/>
  <c r="AI20" i="16"/>
  <c r="AI25" i="16"/>
  <c r="AJ20" i="16"/>
  <c r="AJ25" i="16"/>
  <c r="AK20" i="16"/>
  <c r="AK25" i="16"/>
  <c r="AM20" i="16"/>
  <c r="AM25" i="16"/>
  <c r="AN20" i="16"/>
  <c r="AN25" i="16"/>
  <c r="AO20" i="16"/>
  <c r="AO25" i="16"/>
  <c r="AP20" i="16"/>
  <c r="AP25" i="16"/>
  <c r="AR20" i="16"/>
  <c r="AR25" i="16"/>
  <c r="AS20" i="16"/>
  <c r="AS25" i="16"/>
  <c r="AT20" i="16"/>
  <c r="AT25" i="16"/>
  <c r="AU20" i="16"/>
  <c r="AU25" i="16"/>
  <c r="AW20" i="16"/>
  <c r="AW25" i="16"/>
  <c r="AX20" i="16"/>
  <c r="AX25" i="16"/>
  <c r="AY20" i="16"/>
  <c r="AY25" i="16"/>
  <c r="AZ20" i="16"/>
  <c r="AZ25" i="16"/>
  <c r="BB20" i="16"/>
  <c r="BB25" i="16"/>
  <c r="BC20" i="16"/>
  <c r="BC25" i="16"/>
  <c r="BD20" i="16"/>
  <c r="BD25" i="16"/>
  <c r="BE20" i="16"/>
  <c r="BE25" i="16"/>
  <c r="BG20" i="16"/>
  <c r="BG25" i="16"/>
  <c r="N19" i="16"/>
  <c r="O19" i="16"/>
  <c r="P19" i="16"/>
  <c r="Q19" i="16"/>
  <c r="R19" i="16"/>
  <c r="S19" i="16"/>
  <c r="T19" i="16"/>
  <c r="U19" i="16"/>
  <c r="V19" i="16"/>
  <c r="W19" i="16"/>
  <c r="X19" i="16"/>
  <c r="Y19" i="16"/>
  <c r="Z19" i="16"/>
  <c r="AA19" i="16"/>
  <c r="AB19" i="16"/>
  <c r="AC19" i="16"/>
  <c r="AD19" i="16"/>
  <c r="AE19" i="16"/>
  <c r="AF19" i="16"/>
  <c r="AG19" i="16"/>
  <c r="AH19" i="16"/>
  <c r="AI19" i="16"/>
  <c r="AJ19" i="16"/>
  <c r="AK19" i="16"/>
  <c r="AL19" i="16"/>
  <c r="AM19" i="16"/>
  <c r="AN19" i="16"/>
  <c r="AO19" i="16"/>
  <c r="AP19" i="16"/>
  <c r="AR19" i="16"/>
  <c r="AS19" i="16"/>
  <c r="AT19" i="16"/>
  <c r="AU19" i="16"/>
  <c r="AW19" i="16"/>
  <c r="AX19" i="16"/>
  <c r="AY19" i="16"/>
  <c r="AZ19" i="16"/>
  <c r="BA19" i="16"/>
  <c r="BB19" i="16"/>
  <c r="BC19" i="16"/>
  <c r="BD19" i="16"/>
  <c r="BE19" i="16"/>
  <c r="BG19" i="16"/>
  <c r="K18" i="16"/>
  <c r="L18" i="16"/>
  <c r="M18" i="16"/>
  <c r="N18" i="16"/>
  <c r="O18" i="16"/>
  <c r="P18" i="16"/>
  <c r="Q18" i="16"/>
  <c r="R18" i="16"/>
  <c r="S18" i="16"/>
  <c r="T18" i="16"/>
  <c r="U18" i="16"/>
  <c r="V18" i="16"/>
  <c r="W18" i="16"/>
  <c r="X18" i="16"/>
  <c r="Y18" i="16"/>
  <c r="Z18" i="16"/>
  <c r="AA18" i="16"/>
  <c r="AB18" i="16"/>
  <c r="AC18" i="16"/>
  <c r="AD18" i="16"/>
  <c r="AE18" i="16"/>
  <c r="AF18" i="16"/>
  <c r="AG18" i="16"/>
  <c r="AH18" i="16"/>
  <c r="AI18" i="16"/>
  <c r="AJ18" i="16"/>
  <c r="AK18" i="16"/>
  <c r="AM18" i="16"/>
  <c r="AN18" i="16"/>
  <c r="AO18" i="16"/>
  <c r="AP18" i="16"/>
  <c r="AR18" i="16"/>
  <c r="AS18" i="16"/>
  <c r="AT18" i="16"/>
  <c r="AU18" i="16"/>
  <c r="AW18" i="16"/>
  <c r="AX18" i="16"/>
  <c r="AY18" i="16"/>
  <c r="AZ18" i="16"/>
  <c r="BA18" i="16"/>
  <c r="BB18" i="16"/>
  <c r="BC18" i="16"/>
  <c r="BD18" i="16"/>
  <c r="BE18" i="16"/>
  <c r="BG18" i="16"/>
  <c r="K16" i="16"/>
  <c r="L16" i="16"/>
  <c r="M16" i="16"/>
  <c r="N16" i="16"/>
  <c r="O16" i="16"/>
  <c r="P16" i="16"/>
  <c r="Q16" i="16"/>
  <c r="R16" i="16"/>
  <c r="S16" i="16"/>
  <c r="T16" i="16"/>
  <c r="U16" i="16"/>
  <c r="V16" i="16"/>
  <c r="W16" i="16"/>
  <c r="X16" i="16"/>
  <c r="Y16" i="16"/>
  <c r="Z16" i="16"/>
  <c r="AA16" i="16"/>
  <c r="AB16" i="16"/>
  <c r="AC16" i="16"/>
  <c r="AD16" i="16"/>
  <c r="AE16" i="16"/>
  <c r="AF16" i="16"/>
  <c r="AG16" i="16"/>
  <c r="AH16" i="16"/>
  <c r="AI16" i="16"/>
  <c r="AJ16" i="16"/>
  <c r="AK16" i="16"/>
  <c r="AM16" i="16"/>
  <c r="AN16" i="16"/>
  <c r="AO16" i="16"/>
  <c r="AP16" i="16"/>
  <c r="AR16" i="16"/>
  <c r="AS16" i="16"/>
  <c r="AT16" i="16"/>
  <c r="AU16" i="16"/>
  <c r="AW16" i="16"/>
  <c r="AX16" i="16"/>
  <c r="AY16" i="16"/>
  <c r="AZ16" i="16"/>
  <c r="BB16" i="16"/>
  <c r="BC16" i="16"/>
  <c r="BD16" i="16"/>
  <c r="BE16" i="16"/>
  <c r="BG16" i="16"/>
  <c r="J16" i="16"/>
  <c r="J18" i="16"/>
  <c r="D405" i="2"/>
  <c r="I24" i="17"/>
  <c r="J24" i="17"/>
  <c r="K24" i="17"/>
  <c r="L24" i="17"/>
  <c r="N24" i="17"/>
  <c r="O24" i="17"/>
  <c r="P24" i="17"/>
  <c r="Q24" i="17"/>
  <c r="S24" i="17"/>
  <c r="T24" i="17"/>
  <c r="U24" i="17"/>
  <c r="V24" i="17"/>
  <c r="X24" i="17"/>
  <c r="Y24" i="17"/>
  <c r="Z24" i="17"/>
  <c r="AA24" i="17"/>
  <c r="AC24" i="17"/>
  <c r="AD24" i="17"/>
  <c r="AE24" i="17"/>
  <c r="AF24" i="17"/>
  <c r="AH24" i="17"/>
  <c r="AI24" i="17"/>
  <c r="AJ24" i="17"/>
  <c r="AK24" i="17"/>
  <c r="AM24" i="17"/>
  <c r="AN24" i="17"/>
  <c r="AO24" i="17"/>
  <c r="AP24" i="17"/>
  <c r="AR24" i="17"/>
  <c r="AS24" i="17"/>
  <c r="AT24" i="17"/>
  <c r="AU24" i="17"/>
  <c r="AW24" i="17"/>
  <c r="H23" i="17"/>
  <c r="H25" i="17"/>
  <c r="M23" i="17"/>
  <c r="M25" i="17"/>
  <c r="R23" i="17"/>
  <c r="R25" i="17"/>
  <c r="W23" i="17"/>
  <c r="AB23" i="17"/>
  <c r="AB25" i="17"/>
  <c r="AG23" i="17"/>
  <c r="AL23" i="17"/>
  <c r="AL25" i="17"/>
  <c r="AQ23" i="17"/>
  <c r="AQ25" i="17"/>
  <c r="AV23" i="17"/>
  <c r="AV25" i="17"/>
  <c r="H20" i="17"/>
  <c r="M20" i="17"/>
  <c r="R20" i="17"/>
  <c r="W20" i="17"/>
  <c r="AB20" i="17"/>
  <c r="AG20" i="17"/>
  <c r="AL20" i="17"/>
  <c r="AQ20" i="17"/>
  <c r="AV20"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AM18" i="17"/>
  <c r="AN18" i="17"/>
  <c r="AO18" i="17"/>
  <c r="AP18" i="17"/>
  <c r="AQ18" i="17"/>
  <c r="AR18" i="17"/>
  <c r="AS18" i="17"/>
  <c r="AT18" i="17"/>
  <c r="AU18" i="17"/>
  <c r="AV18" i="17"/>
  <c r="K7" i="16"/>
  <c r="L7" i="16"/>
  <c r="M7" i="16"/>
  <c r="J7" i="16"/>
  <c r="AM6" i="16"/>
  <c r="AN6" i="16"/>
  <c r="AO6" i="16"/>
  <c r="AP6" i="16"/>
  <c r="AQ6" i="16"/>
  <c r="AR6" i="16"/>
  <c r="AS6" i="16"/>
  <c r="AT6" i="16"/>
  <c r="AU6" i="16"/>
  <c r="AV6" i="16"/>
  <c r="AW6" i="16"/>
  <c r="AX6" i="16"/>
  <c r="AY6" i="16"/>
  <c r="AZ6" i="16"/>
  <c r="BA6" i="16"/>
  <c r="BB6" i="16"/>
  <c r="BC6" i="16"/>
  <c r="BD6" i="16"/>
  <c r="BE6" i="16"/>
  <c r="BF6" i="16"/>
  <c r="BG6" i="16"/>
  <c r="AL6" i="16"/>
  <c r="K5" i="16"/>
  <c r="L5" i="16"/>
  <c r="M5" i="16"/>
  <c r="N5" i="16"/>
  <c r="O5" i="16"/>
  <c r="P5" i="16"/>
  <c r="Q5" i="16"/>
  <c r="R5" i="16"/>
  <c r="S5" i="16"/>
  <c r="T5" i="16"/>
  <c r="T9" i="16"/>
  <c r="U5" i="16"/>
  <c r="V5" i="16"/>
  <c r="W5" i="16"/>
  <c r="X5" i="16"/>
  <c r="Y5" i="16"/>
  <c r="Z5" i="16"/>
  <c r="AA5" i="16"/>
  <c r="AA9" i="16"/>
  <c r="AB5" i="16"/>
  <c r="AB9" i="16"/>
  <c r="AC5" i="16"/>
  <c r="AC9" i="16"/>
  <c r="AD5" i="16"/>
  <c r="AD9" i="16"/>
  <c r="AE5" i="16"/>
  <c r="AF5" i="16"/>
  <c r="AG5" i="16"/>
  <c r="AH5" i="16"/>
  <c r="AI5" i="16"/>
  <c r="AI9" i="16"/>
  <c r="AJ5" i="16"/>
  <c r="AJ9" i="16"/>
  <c r="AK5" i="16"/>
  <c r="AM5" i="16"/>
  <c r="AM9" i="16"/>
  <c r="AN5" i="16"/>
  <c r="AO5" i="16"/>
  <c r="AO9" i="16"/>
  <c r="AP5" i="16"/>
  <c r="AR5" i="16"/>
  <c r="AR9" i="16"/>
  <c r="AS5" i="16"/>
  <c r="AS9" i="16"/>
  <c r="AT5" i="16"/>
  <c r="AT9" i="16"/>
  <c r="AU5" i="16"/>
  <c r="AW5" i="16"/>
  <c r="AX5" i="16"/>
  <c r="AY5" i="16"/>
  <c r="AY9" i="16"/>
  <c r="AZ5" i="16"/>
  <c r="BB5" i="16"/>
  <c r="BC5" i="16"/>
  <c r="BC9" i="16"/>
  <c r="BD5" i="16"/>
  <c r="BD9" i="16"/>
  <c r="BE5" i="16"/>
  <c r="BG5" i="16"/>
  <c r="BG9" i="16"/>
  <c r="J5" i="16"/>
  <c r="BF47" i="11"/>
  <c r="BA47" i="11"/>
  <c r="AV47" i="11"/>
  <c r="AQ47" i="11"/>
  <c r="AL47" i="11"/>
  <c r="AQ44" i="11"/>
  <c r="BF43" i="11"/>
  <c r="BE43" i="11"/>
  <c r="BD43" i="11"/>
  <c r="AP43" i="11"/>
  <c r="AK43" i="11"/>
  <c r="AF43" i="11"/>
  <c r="AE43" i="11"/>
  <c r="AD43" i="11"/>
  <c r="AB43" i="11"/>
  <c r="AA43" i="11"/>
  <c r="Z43" i="11"/>
  <c r="Y43" i="11"/>
  <c r="W43" i="11"/>
  <c r="V43" i="11"/>
  <c r="U43" i="11"/>
  <c r="T43" i="11"/>
  <c r="R43" i="11"/>
  <c r="Q43" i="11"/>
  <c r="P43" i="11"/>
  <c r="O43" i="11"/>
  <c r="M43" i="11"/>
  <c r="L43" i="11"/>
  <c r="K43" i="11"/>
  <c r="J43" i="11"/>
  <c r="BG42" i="11"/>
  <c r="BB42" i="11"/>
  <c r="AW42" i="11"/>
  <c r="AR42" i="11"/>
  <c r="AO42" i="11"/>
  <c r="AN42" i="11"/>
  <c r="AL42" i="11"/>
  <c r="AK42" i="11"/>
  <c r="AJ42" i="11"/>
  <c r="AI42" i="11"/>
  <c r="AG42" i="11"/>
  <c r="AF42" i="11"/>
  <c r="AE42" i="11"/>
  <c r="AD42" i="11"/>
  <c r="AB42" i="11"/>
  <c r="AA42" i="11"/>
  <c r="Z42" i="11"/>
  <c r="Y42" i="11"/>
  <c r="W42" i="11"/>
  <c r="V42" i="11"/>
  <c r="U42" i="11"/>
  <c r="T42" i="11"/>
  <c r="R42" i="11"/>
  <c r="Q42" i="11"/>
  <c r="P42" i="11"/>
  <c r="O42" i="11"/>
  <c r="N42" i="11"/>
  <c r="M42" i="11"/>
  <c r="L42" i="11"/>
  <c r="K42" i="11"/>
  <c r="J42" i="11"/>
  <c r="BF41" i="11"/>
  <c r="BE41" i="11"/>
  <c r="BD41" i="11"/>
  <c r="BA41" i="11"/>
  <c r="BA43" i="11"/>
  <c r="AZ41" i="11"/>
  <c r="AZ43" i="11"/>
  <c r="AY41" i="11"/>
  <c r="AY43" i="11"/>
  <c r="AV41" i="11"/>
  <c r="AV43" i="11"/>
  <c r="AU41" i="11"/>
  <c r="AU43" i="11"/>
  <c r="AT41" i="11"/>
  <c r="AT43" i="11"/>
  <c r="AQ41" i="11"/>
  <c r="AP41" i="11"/>
  <c r="AK41" i="11"/>
  <c r="AK44" i="11"/>
  <c r="AM39" i="11"/>
  <c r="AM37" i="11"/>
  <c r="AN36" i="11"/>
  <c r="AL36" i="11"/>
  <c r="AM34" i="11"/>
  <c r="AM33" i="11"/>
  <c r="AJ33" i="11"/>
  <c r="AI33" i="11"/>
  <c r="AH33" i="11"/>
  <c r="AG33" i="11"/>
  <c r="AM31" i="11"/>
  <c r="AL31" i="11"/>
  <c r="AL33" i="11"/>
  <c r="AK31" i="11"/>
  <c r="AJ31" i="11"/>
  <c r="AI31" i="11"/>
  <c r="AJ28" i="11"/>
  <c r="AC28" i="11"/>
  <c r="X28" i="11"/>
  <c r="S28" i="11"/>
  <c r="N28" i="11"/>
  <c r="AM27" i="11"/>
  <c r="AH27" i="11"/>
  <c r="AC27" i="11"/>
  <c r="AC42" i="11"/>
  <c r="X27" i="11"/>
  <c r="S27" i="11"/>
  <c r="S42" i="11"/>
  <c r="N27" i="11"/>
  <c r="AL26" i="11"/>
  <c r="AL28" i="11"/>
  <c r="AK26" i="11"/>
  <c r="AJ26" i="11"/>
  <c r="N26" i="11"/>
  <c r="N29" i="11"/>
  <c r="J26" i="11"/>
  <c r="J29" i="11"/>
  <c r="K26" i="11"/>
  <c r="K29" i="11"/>
  <c r="L26" i="11"/>
  <c r="L29" i="11"/>
  <c r="M26" i="11"/>
  <c r="M29" i="11"/>
  <c r="Y24" i="11"/>
  <c r="Z21" i="11"/>
  <c r="AC23" i="11"/>
  <c r="AC43" i="11"/>
  <c r="X23" i="11"/>
  <c r="X43" i="11"/>
  <c r="S23" i="11"/>
  <c r="S43" i="11"/>
  <c r="N23" i="11"/>
  <c r="N43" i="11"/>
  <c r="AM22" i="11"/>
  <c r="AM42" i="11"/>
  <c r="AH22" i="11"/>
  <c r="AH42" i="11"/>
  <c r="AC22" i="11"/>
  <c r="X22" i="11"/>
  <c r="X42" i="11"/>
  <c r="S22" i="11"/>
  <c r="N22" i="11"/>
  <c r="AL21" i="11"/>
  <c r="AL23" i="11"/>
  <c r="AJ21" i="11"/>
  <c r="AJ41" i="11"/>
  <c r="AC21" i="11"/>
  <c r="Y21" i="11"/>
  <c r="N21" i="11"/>
  <c r="N41" i="11"/>
  <c r="N44" i="11"/>
  <c r="J21" i="11"/>
  <c r="J41" i="11"/>
  <c r="J44" i="11"/>
  <c r="BF15" i="11"/>
  <c r="BF17" i="11"/>
  <c r="BA15" i="11"/>
  <c r="AV15" i="11"/>
  <c r="AQ15" i="11"/>
  <c r="AQ17" i="11"/>
  <c r="AL15" i="11"/>
  <c r="AL17" i="11"/>
  <c r="BF13" i="11"/>
  <c r="BG13" i="11"/>
  <c r="BG17" i="11"/>
  <c r="AU13" i="11"/>
  <c r="AU17" i="11"/>
  <c r="AT13" i="11"/>
  <c r="AT17" i="11"/>
  <c r="AQ13" i="11"/>
  <c r="AR13" i="11"/>
  <c r="AR17" i="11"/>
  <c r="AP13" i="11"/>
  <c r="AP17" i="11"/>
  <c r="BG12" i="11"/>
  <c r="BB12" i="11"/>
  <c r="BC9" i="11"/>
  <c r="AW12" i="11"/>
  <c r="AQ12" i="11"/>
  <c r="AR12" i="11"/>
  <c r="AL12" i="11"/>
  <c r="AM12" i="11"/>
  <c r="BF11" i="11"/>
  <c r="BD11" i="11"/>
  <c r="AT11" i="11"/>
  <c r="AP11" i="11"/>
  <c r="BG10" i="11"/>
  <c r="BB10" i="11"/>
  <c r="AW10" i="11"/>
  <c r="AR10" i="11"/>
  <c r="AM10" i="11"/>
  <c r="BF9" i="11"/>
  <c r="BE9" i="11"/>
  <c r="BE11" i="11"/>
  <c r="BD9" i="11"/>
  <c r="BD13" i="11"/>
  <c r="BD17" i="11"/>
  <c r="BB9" i="11"/>
  <c r="BA9" i="11"/>
  <c r="BA11" i="11"/>
  <c r="AZ9" i="11"/>
  <c r="AZ11" i="11"/>
  <c r="AY9" i="11"/>
  <c r="AY13" i="11"/>
  <c r="AY17" i="11"/>
  <c r="AX9" i="11"/>
  <c r="AX13" i="11"/>
  <c r="AX17" i="11"/>
  <c r="AV9" i="11"/>
  <c r="AV11" i="11"/>
  <c r="AU9" i="11"/>
  <c r="AU11" i="11"/>
  <c r="AT9" i="11"/>
  <c r="AQ9" i="11"/>
  <c r="AP9" i="11"/>
  <c r="AO9" i="11"/>
  <c r="AO11" i="11"/>
  <c r="AM9" i="11"/>
  <c r="AL9" i="11"/>
  <c r="AL13" i="11"/>
  <c r="AM13" i="11"/>
  <c r="AM17" i="11"/>
  <c r="BG32" i="5"/>
  <c r="BE32" i="5"/>
  <c r="BD32" i="5"/>
  <c r="BC32" i="5"/>
  <c r="BB32" i="5"/>
  <c r="AZ32" i="5"/>
  <c r="AY32" i="5"/>
  <c r="AX32" i="5"/>
  <c r="AW32" i="5"/>
  <c r="AU32" i="5"/>
  <c r="AT32" i="5"/>
  <c r="AS32" i="5"/>
  <c r="AR32" i="5"/>
  <c r="AP32" i="5"/>
  <c r="AO32" i="5"/>
  <c r="AN32" i="5"/>
  <c r="AM32" i="5"/>
  <c r="AK32" i="5"/>
  <c r="AJ32" i="5"/>
  <c r="AI32" i="5"/>
  <c r="AH32" i="5"/>
  <c r="AG32" i="5"/>
  <c r="AF32" i="5"/>
  <c r="AE32" i="5"/>
  <c r="AD32" i="5"/>
  <c r="AC32" i="5"/>
  <c r="AB32" i="5"/>
  <c r="AA32" i="5"/>
  <c r="Z32" i="5"/>
  <c r="Y32" i="5"/>
  <c r="X32" i="5"/>
  <c r="W32" i="5"/>
  <c r="V32" i="5"/>
  <c r="U32" i="5"/>
  <c r="T32" i="5"/>
  <c r="S32" i="5"/>
  <c r="R32" i="5"/>
  <c r="Q32" i="5"/>
  <c r="P32" i="5"/>
  <c r="O32" i="5"/>
  <c r="N32" i="5"/>
  <c r="J8" i="13"/>
  <c r="E10" i="13" s="1"/>
  <c r="E8" i="13"/>
  <c r="E26" i="13"/>
  <c r="E9" i="13"/>
  <c r="AY35" i="12"/>
  <c r="AX35" i="12"/>
  <c r="AW35" i="12"/>
  <c r="AV35" i="12"/>
  <c r="AT35" i="12"/>
  <c r="AS35" i="12"/>
  <c r="AR35" i="12"/>
  <c r="AQ35" i="12"/>
  <c r="AO35" i="12"/>
  <c r="AN35" i="12"/>
  <c r="AM35" i="12"/>
  <c r="AL35" i="12"/>
  <c r="AI35" i="12"/>
  <c r="AH35" i="12"/>
  <c r="AG35" i="12"/>
  <c r="AD35" i="12"/>
  <c r="AC35" i="12"/>
  <c r="AB35" i="12"/>
  <c r="Y35" i="12"/>
  <c r="X35" i="12"/>
  <c r="W35" i="12"/>
  <c r="T35" i="12"/>
  <c r="S35" i="12"/>
  <c r="R35" i="12"/>
  <c r="O35" i="12"/>
  <c r="N35" i="12"/>
  <c r="M35" i="12"/>
  <c r="J35" i="12"/>
  <c r="I35" i="12"/>
  <c r="H35" i="12"/>
  <c r="AY38" i="12"/>
  <c r="AX38" i="12"/>
  <c r="AW38" i="12"/>
  <c r="AV38" i="12"/>
  <c r="AT38" i="12"/>
  <c r="AS38" i="12"/>
  <c r="AR38" i="12"/>
  <c r="AQ38" i="12"/>
  <c r="AO38" i="12"/>
  <c r="AN38" i="12"/>
  <c r="AM38" i="12"/>
  <c r="AL38" i="12"/>
  <c r="AJ38" i="12"/>
  <c r="AI38" i="12"/>
  <c r="AH38" i="12"/>
  <c r="AG38" i="12"/>
  <c r="AE38" i="12"/>
  <c r="AD38" i="12"/>
  <c r="AC38" i="12"/>
  <c r="AB38" i="12"/>
  <c r="Z38" i="12"/>
  <c r="Y38" i="12"/>
  <c r="X38" i="12"/>
  <c r="W38" i="12"/>
  <c r="U38" i="12"/>
  <c r="T38" i="12"/>
  <c r="S38" i="12"/>
  <c r="R38" i="12"/>
  <c r="P38" i="12"/>
  <c r="O38" i="12"/>
  <c r="N38" i="12"/>
  <c r="M38" i="12"/>
  <c r="K38" i="12"/>
  <c r="J38" i="12"/>
  <c r="I38" i="12"/>
  <c r="H38" i="12"/>
  <c r="Q30" i="2"/>
  <c r="AY32" i="12"/>
  <c r="AX32" i="12"/>
  <c r="AW32" i="12"/>
  <c r="AT32" i="12"/>
  <c r="AS32" i="12"/>
  <c r="AR32" i="12"/>
  <c r="AO32" i="12"/>
  <c r="AN32" i="12"/>
  <c r="AM32" i="12"/>
  <c r="AI32" i="12"/>
  <c r="AH32" i="12"/>
  <c r="AD32" i="12"/>
  <c r="AC32" i="12"/>
  <c r="Y32" i="12"/>
  <c r="X32" i="12"/>
  <c r="T32" i="12"/>
  <c r="S32" i="12"/>
  <c r="O32" i="12"/>
  <c r="N32" i="12"/>
  <c r="J32" i="12"/>
  <c r="I32" i="12"/>
  <c r="H32" i="12"/>
  <c r="AY31" i="12"/>
  <c r="AX31" i="12"/>
  <c r="AW31" i="12"/>
  <c r="AV31" i="12"/>
  <c r="AT31" i="12"/>
  <c r="AS31" i="12"/>
  <c r="AR31" i="12"/>
  <c r="AQ31" i="12"/>
  <c r="AO31" i="12"/>
  <c r="AN31" i="12"/>
  <c r="AM31" i="12"/>
  <c r="AI31" i="12"/>
  <c r="AH31" i="12"/>
  <c r="AD31" i="12"/>
  <c r="AC31" i="12"/>
  <c r="Y31" i="12"/>
  <c r="X31" i="12"/>
  <c r="T31" i="12"/>
  <c r="S31" i="12"/>
  <c r="O31" i="12"/>
  <c r="N31" i="12"/>
  <c r="J31" i="12"/>
  <c r="I31" i="12"/>
  <c r="H31" i="12"/>
  <c r="AZ30" i="12"/>
  <c r="AZ35" i="12"/>
  <c r="AU30" i="12"/>
  <c r="AU35" i="12"/>
  <c r="AA26" i="12"/>
  <c r="V26" i="12"/>
  <c r="Q26" i="12"/>
  <c r="L26" i="12"/>
  <c r="AZ25" i="12"/>
  <c r="AU25" i="12"/>
  <c r="AP25" i="12"/>
  <c r="AK25" i="12"/>
  <c r="AF25" i="12"/>
  <c r="AZ22" i="12"/>
  <c r="AU22" i="12"/>
  <c r="AP22" i="12"/>
  <c r="AK22" i="12"/>
  <c r="AF22" i="12"/>
  <c r="AZ17" i="12"/>
  <c r="AU17" i="12"/>
  <c r="AP17" i="12"/>
  <c r="AK17" i="12"/>
  <c r="AF17" i="12"/>
  <c r="AA17" i="12"/>
  <c r="V17" i="12"/>
  <c r="Q17" i="12"/>
  <c r="L17" i="12"/>
  <c r="AV56" i="8"/>
  <c r="AU56" i="8"/>
  <c r="AT56" i="8"/>
  <c r="AS56" i="8"/>
  <c r="AR56" i="8"/>
  <c r="AQ56" i="8"/>
  <c r="AP56" i="8"/>
  <c r="AO56" i="8"/>
  <c r="AN56" i="8"/>
  <c r="AM56" i="8"/>
  <c r="AL56" i="8"/>
  <c r="AK56" i="8"/>
  <c r="AJ56" i="8"/>
  <c r="AI56" i="8"/>
  <c r="AH56" i="8"/>
  <c r="AG56" i="8"/>
  <c r="AF56" i="8"/>
  <c r="AE56" i="8"/>
  <c r="AD56" i="8"/>
  <c r="AC56" i="8"/>
  <c r="AB56" i="8"/>
  <c r="AA56" i="8"/>
  <c r="Z56" i="8"/>
  <c r="Y56" i="8"/>
  <c r="X56" i="8"/>
  <c r="W56" i="8"/>
  <c r="V56" i="8"/>
  <c r="U56" i="8"/>
  <c r="T56" i="8"/>
  <c r="S56" i="8"/>
  <c r="R56" i="8"/>
  <c r="Q56" i="8"/>
  <c r="P56" i="8"/>
  <c r="O56" i="8"/>
  <c r="N56" i="8"/>
  <c r="M56" i="8"/>
  <c r="L56" i="8"/>
  <c r="K56" i="8"/>
  <c r="J56" i="8"/>
  <c r="I56" i="8"/>
  <c r="H56" i="8"/>
  <c r="G56" i="8"/>
  <c r="F56" i="8"/>
  <c r="E56" i="8"/>
  <c r="D56" i="8"/>
  <c r="C56" i="8"/>
  <c r="AV55" i="8"/>
  <c r="AT55" i="8"/>
  <c r="AS55" i="8"/>
  <c r="AR55" i="8"/>
  <c r="AQ55" i="8"/>
  <c r="AO55" i="8"/>
  <c r="AN55" i="8"/>
  <c r="AM55" i="8"/>
  <c r="AL55" i="8"/>
  <c r="AJ55" i="8"/>
  <c r="AI55" i="8"/>
  <c r="AH55" i="8"/>
  <c r="AG55" i="8"/>
  <c r="AE55" i="8"/>
  <c r="AD55" i="8"/>
  <c r="AC55" i="8"/>
  <c r="AB55" i="8"/>
  <c r="Z55" i="8"/>
  <c r="Y55" i="8"/>
  <c r="X55" i="8"/>
  <c r="W55" i="8"/>
  <c r="U55" i="8"/>
  <c r="T55" i="8"/>
  <c r="S55" i="8"/>
  <c r="R55" i="8"/>
  <c r="P55" i="8"/>
  <c r="O55" i="8"/>
  <c r="N55" i="8"/>
  <c r="M55" i="8"/>
  <c r="K55" i="8"/>
  <c r="J55" i="8"/>
  <c r="I55" i="8"/>
  <c r="H55" i="8"/>
  <c r="F55" i="8"/>
  <c r="E55" i="8"/>
  <c r="D55" i="8"/>
  <c r="C55" i="8"/>
  <c r="AU54" i="8"/>
  <c r="AP54" i="8"/>
  <c r="AK54" i="8"/>
  <c r="AF54" i="8"/>
  <c r="AA54" i="8"/>
  <c r="V54" i="8"/>
  <c r="Q54" i="8"/>
  <c r="L54" i="8"/>
  <c r="G54" i="8"/>
  <c r="AU53" i="8"/>
  <c r="AP53" i="8"/>
  <c r="AK53" i="8"/>
  <c r="AF53" i="8"/>
  <c r="AA53" i="8"/>
  <c r="V53" i="8"/>
  <c r="Q53" i="8"/>
  <c r="L53" i="8"/>
  <c r="G53" i="8"/>
  <c r="AU52" i="8"/>
  <c r="AP52" i="8"/>
  <c r="AK52" i="8"/>
  <c r="AF52" i="8"/>
  <c r="AA52" i="8"/>
  <c r="V52" i="8"/>
  <c r="Q52" i="8"/>
  <c r="L52" i="8"/>
  <c r="G52" i="8"/>
  <c r="AU51" i="8"/>
  <c r="AP51" i="8"/>
  <c r="AK51" i="8"/>
  <c r="AF51" i="8"/>
  <c r="AA51" i="8"/>
  <c r="V51" i="8"/>
  <c r="Q51" i="8"/>
  <c r="L51" i="8"/>
  <c r="G51" i="8"/>
  <c r="AU50" i="8"/>
  <c r="AU55" i="8"/>
  <c r="AP50" i="8"/>
  <c r="AP55" i="8"/>
  <c r="AK50" i="8"/>
  <c r="AK55" i="8"/>
  <c r="AF50" i="8"/>
  <c r="AF55" i="8"/>
  <c r="AA50" i="8"/>
  <c r="AA55" i="8"/>
  <c r="V50" i="8"/>
  <c r="V55" i="8"/>
  <c r="Q50" i="8"/>
  <c r="Q55" i="8"/>
  <c r="L50" i="8"/>
  <c r="L55" i="8"/>
  <c r="G50" i="8"/>
  <c r="G55" i="8"/>
  <c r="AT46" i="8"/>
  <c r="AS46" i="8"/>
  <c r="AR46" i="8"/>
  <c r="AO46" i="8"/>
  <c r="AN46" i="8"/>
  <c r="AM46" i="8"/>
  <c r="AL46" i="8"/>
  <c r="AJ46" i="8"/>
  <c r="AI46" i="8"/>
  <c r="AH46" i="8"/>
  <c r="AG46" i="8"/>
  <c r="AE46" i="8"/>
  <c r="AD46" i="8"/>
  <c r="AC46" i="8"/>
  <c r="AB46" i="8"/>
  <c r="Z46" i="8"/>
  <c r="Y46" i="8"/>
  <c r="X46" i="8"/>
  <c r="W46" i="8"/>
  <c r="U46" i="8"/>
  <c r="T46" i="8"/>
  <c r="S46" i="8"/>
  <c r="R46" i="8"/>
  <c r="P46" i="8"/>
  <c r="O46" i="8"/>
  <c r="N46" i="8"/>
  <c r="M46" i="8"/>
  <c r="K46" i="8"/>
  <c r="J46" i="8"/>
  <c r="I46" i="8"/>
  <c r="H46" i="8"/>
  <c r="F46" i="8"/>
  <c r="E46" i="8"/>
  <c r="D46" i="8"/>
  <c r="C46" i="8"/>
  <c r="AV45" i="8"/>
  <c r="AV46" i="8"/>
  <c r="AQ45" i="8"/>
  <c r="AQ46" i="8"/>
  <c r="AF45" i="8"/>
  <c r="AU44" i="8"/>
  <c r="AP44" i="8"/>
  <c r="AK44" i="8"/>
  <c r="AF44" i="8"/>
  <c r="AA44" i="8"/>
  <c r="V44" i="8"/>
  <c r="Q44" i="8"/>
  <c r="L44" i="8"/>
  <c r="G44" i="8"/>
  <c r="AU43" i="8"/>
  <c r="AP43" i="8"/>
  <c r="AK43" i="8"/>
  <c r="AF43" i="8"/>
  <c r="AA43" i="8"/>
  <c r="AU42" i="8"/>
  <c r="AU46" i="8"/>
  <c r="AP42" i="8"/>
  <c r="AP46" i="8"/>
  <c r="AK42" i="8"/>
  <c r="AK46" i="8"/>
  <c r="AF42" i="8"/>
  <c r="AA42" i="8"/>
  <c r="V42" i="8"/>
  <c r="Q42" i="8"/>
  <c r="L42" i="8"/>
  <c r="G42" i="8"/>
  <c r="AF41" i="8"/>
  <c r="AA41" i="8"/>
  <c r="V41" i="8"/>
  <c r="Q41" i="8"/>
  <c r="L41" i="8"/>
  <c r="G41" i="8"/>
  <c r="AF40" i="8"/>
  <c r="AA40" i="8"/>
  <c r="V40" i="8"/>
  <c r="Q40" i="8"/>
  <c r="L40" i="8"/>
  <c r="G40" i="8"/>
  <c r="AF39" i="8"/>
  <c r="AF46" i="8"/>
  <c r="AA39" i="8"/>
  <c r="AA46" i="8"/>
  <c r="V39" i="8"/>
  <c r="V46" i="8"/>
  <c r="Q39" i="8"/>
  <c r="Q46" i="8"/>
  <c r="L39" i="8"/>
  <c r="G39" i="8"/>
  <c r="L38" i="8"/>
  <c r="L46" i="8"/>
  <c r="G38" i="8"/>
  <c r="G46" i="8"/>
  <c r="AV35" i="8"/>
  <c r="AV47" i="8"/>
  <c r="AT35" i="8"/>
  <c r="AT47" i="8"/>
  <c r="AS35" i="8"/>
  <c r="AS47" i="8"/>
  <c r="AR35" i="8"/>
  <c r="AR47" i="8"/>
  <c r="AQ35" i="8"/>
  <c r="AQ47" i="8"/>
  <c r="AO35" i="8"/>
  <c r="AO47" i="8"/>
  <c r="AN35" i="8"/>
  <c r="AN47" i="8"/>
  <c r="AM35" i="8"/>
  <c r="AM47" i="8"/>
  <c r="AL35" i="8"/>
  <c r="AL47" i="8"/>
  <c r="AJ35" i="8"/>
  <c r="AJ47" i="8"/>
  <c r="AI35" i="8"/>
  <c r="AI47" i="8"/>
  <c r="AH35" i="8"/>
  <c r="AH47" i="8"/>
  <c r="AG35" i="8"/>
  <c r="AG47" i="8"/>
  <c r="AE35" i="8"/>
  <c r="AE47" i="8"/>
  <c r="AD35" i="8"/>
  <c r="AD47" i="8"/>
  <c r="AC35" i="8"/>
  <c r="AC47" i="8"/>
  <c r="AB35" i="8"/>
  <c r="AB47" i="8"/>
  <c r="Z35" i="8"/>
  <c r="Z47" i="8"/>
  <c r="Y35" i="8"/>
  <c r="Y47" i="8"/>
  <c r="X35" i="8"/>
  <c r="X47" i="8"/>
  <c r="W35" i="8"/>
  <c r="W47" i="8"/>
  <c r="U35" i="8"/>
  <c r="U47" i="8"/>
  <c r="T35" i="8"/>
  <c r="T47" i="8"/>
  <c r="R35" i="8"/>
  <c r="R47" i="8"/>
  <c r="P35" i="8"/>
  <c r="P47" i="8"/>
  <c r="O35" i="8"/>
  <c r="O47" i="8"/>
  <c r="N35" i="8"/>
  <c r="N47" i="8"/>
  <c r="M35" i="8"/>
  <c r="M47" i="8"/>
  <c r="K35" i="8"/>
  <c r="K47" i="8"/>
  <c r="J35" i="8"/>
  <c r="J47" i="8"/>
  <c r="I35" i="8"/>
  <c r="I47" i="8"/>
  <c r="H35" i="8"/>
  <c r="H47" i="8"/>
  <c r="F35" i="8"/>
  <c r="F47" i="8"/>
  <c r="E35" i="8"/>
  <c r="E47" i="8"/>
  <c r="D35" i="8"/>
  <c r="D47" i="8"/>
  <c r="C35" i="8"/>
  <c r="C47" i="8"/>
  <c r="AU34" i="8"/>
  <c r="AP34" i="8"/>
  <c r="AK34" i="8"/>
  <c r="AF34" i="8"/>
  <c r="AA34" i="8"/>
  <c r="V34" i="8"/>
  <c r="Q34" i="8"/>
  <c r="L34" i="8"/>
  <c r="G34" i="8"/>
  <c r="AU33" i="8"/>
  <c r="AP33" i="8"/>
  <c r="AK33" i="8"/>
  <c r="AF33" i="8"/>
  <c r="AA33" i="8"/>
  <c r="AU32" i="8"/>
  <c r="AP32" i="8"/>
  <c r="AK32" i="8"/>
  <c r="AF32" i="8"/>
  <c r="AA32" i="8"/>
  <c r="V32" i="8"/>
  <c r="Q32" i="8"/>
  <c r="L32" i="8"/>
  <c r="G32" i="8"/>
  <c r="AU31" i="8"/>
  <c r="AP31" i="8"/>
  <c r="AK31" i="8"/>
  <c r="AF31" i="8"/>
  <c r="AA31" i="8"/>
  <c r="V31" i="8"/>
  <c r="S31" i="8"/>
  <c r="S35" i="8"/>
  <c r="S47" i="8"/>
  <c r="Q31" i="8"/>
  <c r="L31" i="8"/>
  <c r="G31" i="8"/>
  <c r="AU30" i="8"/>
  <c r="AU35" i="8"/>
  <c r="AU47" i="8"/>
  <c r="AP30" i="8"/>
  <c r="AP35" i="8"/>
  <c r="AP47" i="8"/>
  <c r="AK30" i="8"/>
  <c r="AK35" i="8"/>
  <c r="AK47" i="8"/>
  <c r="AF30" i="8"/>
  <c r="AF35" i="8"/>
  <c r="AF47" i="8"/>
  <c r="AA30" i="8"/>
  <c r="AA35" i="8"/>
  <c r="AA47" i="8"/>
  <c r="V30" i="8"/>
  <c r="V35" i="8"/>
  <c r="V47" i="8"/>
  <c r="Q30" i="8"/>
  <c r="Q35" i="8"/>
  <c r="Q47" i="8"/>
  <c r="L30" i="8"/>
  <c r="L35" i="8"/>
  <c r="L47" i="8"/>
  <c r="G30" i="8"/>
  <c r="G35" i="8"/>
  <c r="G47" i="8"/>
  <c r="AV26" i="8"/>
  <c r="AT26" i="8"/>
  <c r="AS26" i="8"/>
  <c r="AR26" i="8"/>
  <c r="AQ26" i="8"/>
  <c r="AO26" i="8"/>
  <c r="AN26" i="8"/>
  <c r="AM26" i="8"/>
  <c r="AL26" i="8"/>
  <c r="AJ26" i="8"/>
  <c r="AI26" i="8"/>
  <c r="AH26" i="8"/>
  <c r="AG26" i="8"/>
  <c r="AE26" i="8"/>
  <c r="AD26" i="8"/>
  <c r="AC26" i="8"/>
  <c r="AB26" i="8"/>
  <c r="Z26" i="8"/>
  <c r="Y26" i="8"/>
  <c r="X26" i="8"/>
  <c r="W26" i="8"/>
  <c r="U26" i="8"/>
  <c r="T26" i="8"/>
  <c r="S26" i="8"/>
  <c r="R26" i="8"/>
  <c r="P26" i="8"/>
  <c r="O26" i="8"/>
  <c r="N26" i="8"/>
  <c r="M26" i="8"/>
  <c r="K26" i="8"/>
  <c r="J26" i="8"/>
  <c r="I26" i="8"/>
  <c r="H26" i="8"/>
  <c r="F26" i="8"/>
  <c r="E26" i="8"/>
  <c r="D26" i="8"/>
  <c r="C26" i="8"/>
  <c r="AU25" i="8"/>
  <c r="AP25" i="8"/>
  <c r="AK25" i="8"/>
  <c r="AF25" i="8"/>
  <c r="AA25" i="8"/>
  <c r="V25" i="8"/>
  <c r="Q25" i="8"/>
  <c r="L25" i="8"/>
  <c r="G25" i="8"/>
  <c r="AU24" i="8"/>
  <c r="AP24" i="8"/>
  <c r="AK24" i="8"/>
  <c r="AF24" i="8"/>
  <c r="AA24" i="8"/>
  <c r="V24" i="8"/>
  <c r="AU23" i="8"/>
  <c r="AP23" i="8"/>
  <c r="AK23" i="8"/>
  <c r="AF23" i="8"/>
  <c r="AA23" i="8"/>
  <c r="V23" i="8"/>
  <c r="Q23" i="8"/>
  <c r="L23" i="8"/>
  <c r="G23" i="8"/>
  <c r="AU22" i="8"/>
  <c r="AP22" i="8"/>
  <c r="AK22" i="8"/>
  <c r="AF22" i="8"/>
  <c r="AA22" i="8"/>
  <c r="AU21" i="8"/>
  <c r="AP21" i="8"/>
  <c r="AK21" i="8"/>
  <c r="AF21" i="8"/>
  <c r="AA21" i="8"/>
  <c r="V21" i="8"/>
  <c r="Q21" i="8"/>
  <c r="L21" i="8"/>
  <c r="G21" i="8"/>
  <c r="AU20" i="8"/>
  <c r="AU26" i="8"/>
  <c r="AP20" i="8"/>
  <c r="AP26" i="8"/>
  <c r="AK20" i="8"/>
  <c r="AK26" i="8"/>
  <c r="AF20" i="8"/>
  <c r="AF26" i="8"/>
  <c r="AA20" i="8"/>
  <c r="AA26" i="8"/>
  <c r="V20" i="8"/>
  <c r="V26" i="8"/>
  <c r="Q20" i="8"/>
  <c r="Q26" i="8"/>
  <c r="L20" i="8"/>
  <c r="L26" i="8"/>
  <c r="G20" i="8"/>
  <c r="G26" i="8"/>
  <c r="AV17" i="8"/>
  <c r="AV27" i="8"/>
  <c r="AT17" i="8"/>
  <c r="AT27" i="8"/>
  <c r="AS17" i="8"/>
  <c r="AS27" i="8"/>
  <c r="AR17" i="8"/>
  <c r="AR27" i="8"/>
  <c r="AQ17" i="8"/>
  <c r="AQ27" i="8"/>
  <c r="AO17" i="8"/>
  <c r="AO27" i="8"/>
  <c r="AN17" i="8"/>
  <c r="AN27" i="8"/>
  <c r="AM17" i="8"/>
  <c r="AM27" i="8"/>
  <c r="AL17" i="8"/>
  <c r="AL27" i="8"/>
  <c r="AJ17" i="8"/>
  <c r="AJ27" i="8"/>
  <c r="AI17" i="8"/>
  <c r="AI27" i="8"/>
  <c r="AH17" i="8"/>
  <c r="AH27" i="8"/>
  <c r="AG17" i="8"/>
  <c r="AG27" i="8"/>
  <c r="AU16" i="8"/>
  <c r="AP16" i="8"/>
  <c r="AK16" i="8"/>
  <c r="Q16" i="8"/>
  <c r="L16" i="8"/>
  <c r="G16" i="8"/>
  <c r="AU15" i="8"/>
  <c r="AP15" i="8"/>
  <c r="AK15" i="8"/>
  <c r="AF15" i="8"/>
  <c r="AA15" i="8"/>
  <c r="V15" i="8"/>
  <c r="Q15" i="8"/>
  <c r="L15" i="8"/>
  <c r="G15" i="8"/>
  <c r="AU14" i="8"/>
  <c r="AP14" i="8"/>
  <c r="AK14" i="8"/>
  <c r="AF14" i="8"/>
  <c r="AA14" i="8"/>
  <c r="V14" i="8"/>
  <c r="Q14" i="8"/>
  <c r="L14" i="8"/>
  <c r="G14" i="8"/>
  <c r="AU13" i="8"/>
  <c r="AP13" i="8"/>
  <c r="AK13" i="8"/>
  <c r="AF13" i="8"/>
  <c r="AA13" i="8"/>
  <c r="V13" i="8"/>
  <c r="Q13" i="8"/>
  <c r="L13" i="8"/>
  <c r="G13" i="8"/>
  <c r="AU12" i="8"/>
  <c r="AP12" i="8"/>
  <c r="AK12" i="8"/>
  <c r="AF12" i="8"/>
  <c r="AE12" i="8"/>
  <c r="AE17" i="8"/>
  <c r="AE27" i="8"/>
  <c r="AD12" i="8"/>
  <c r="AD17" i="8"/>
  <c r="AD27" i="8"/>
  <c r="AC12" i="8"/>
  <c r="AC17" i="8"/>
  <c r="AC27" i="8"/>
  <c r="AB12" i="8"/>
  <c r="AB17" i="8"/>
  <c r="AB27" i="8"/>
  <c r="Z12" i="8"/>
  <c r="Z17" i="8"/>
  <c r="Z27" i="8"/>
  <c r="Y12" i="8"/>
  <c r="Y17" i="8"/>
  <c r="Y27" i="8"/>
  <c r="X12" i="8"/>
  <c r="X17" i="8"/>
  <c r="X27" i="8"/>
  <c r="W12" i="8"/>
  <c r="W17" i="8"/>
  <c r="W27" i="8"/>
  <c r="U12" i="8"/>
  <c r="U17" i="8"/>
  <c r="U27" i="8"/>
  <c r="T12" i="8"/>
  <c r="T17" i="8"/>
  <c r="T27" i="8"/>
  <c r="S12" i="8"/>
  <c r="S17" i="8"/>
  <c r="S27" i="8"/>
  <c r="R12" i="8"/>
  <c r="R17" i="8"/>
  <c r="R27" i="8"/>
  <c r="P12" i="8"/>
  <c r="P17" i="8"/>
  <c r="P27" i="8"/>
  <c r="O12" i="8"/>
  <c r="O17" i="8"/>
  <c r="O27" i="8"/>
  <c r="N12" i="8"/>
  <c r="N17" i="8"/>
  <c r="N27" i="8"/>
  <c r="M12" i="8"/>
  <c r="M17" i="8"/>
  <c r="M27" i="8"/>
  <c r="K12" i="8"/>
  <c r="K17" i="8"/>
  <c r="K27" i="8"/>
  <c r="J12" i="8"/>
  <c r="J17" i="8"/>
  <c r="J27" i="8"/>
  <c r="I12" i="8"/>
  <c r="I17" i="8"/>
  <c r="I27" i="8"/>
  <c r="H12" i="8"/>
  <c r="H17" i="8"/>
  <c r="H27" i="8"/>
  <c r="F12" i="8"/>
  <c r="F17" i="8"/>
  <c r="F27" i="8"/>
  <c r="E12" i="8"/>
  <c r="E17" i="8"/>
  <c r="E27" i="8"/>
  <c r="D12" i="8"/>
  <c r="D17" i="8"/>
  <c r="D27" i="8"/>
  <c r="C12" i="8"/>
  <c r="C17" i="8"/>
  <c r="C27" i="8"/>
  <c r="AK11" i="8"/>
  <c r="AA11" i="8"/>
  <c r="V11" i="8"/>
  <c r="Q11" i="8"/>
  <c r="L11" i="8"/>
  <c r="G11" i="8"/>
  <c r="AK10" i="8"/>
  <c r="AA10" i="8"/>
  <c r="AA12" i="8"/>
  <c r="V10" i="8"/>
  <c r="V12" i="8"/>
  <c r="Q10" i="8"/>
  <c r="Q12" i="8"/>
  <c r="L10" i="8"/>
  <c r="L12" i="8"/>
  <c r="G10" i="8"/>
  <c r="G12" i="8"/>
  <c r="AU9" i="8"/>
  <c r="AU17" i="8"/>
  <c r="AU27" i="8"/>
  <c r="AP9" i="8"/>
  <c r="AP17" i="8"/>
  <c r="AP27" i="8"/>
  <c r="AK9" i="8"/>
  <c r="AK17" i="8"/>
  <c r="AK27" i="8"/>
  <c r="AF9" i="8"/>
  <c r="AF17" i="8"/>
  <c r="AF27" i="8"/>
  <c r="AA9" i="8"/>
  <c r="AA17" i="8"/>
  <c r="AA27" i="8"/>
  <c r="V9" i="8"/>
  <c r="V17" i="8"/>
  <c r="V27" i="8"/>
  <c r="Q9" i="8"/>
  <c r="Q17" i="8"/>
  <c r="Q27" i="8"/>
  <c r="L9" i="8"/>
  <c r="L17" i="8"/>
  <c r="L27" i="8"/>
  <c r="G9" i="8"/>
  <c r="G17" i="8"/>
  <c r="G27" i="8"/>
  <c r="G9" i="9"/>
  <c r="L9" i="9"/>
  <c r="Q9" i="9"/>
  <c r="V9" i="9"/>
  <c r="AA9" i="9"/>
  <c r="AF9" i="9"/>
  <c r="AK9" i="9"/>
  <c r="AP9" i="9"/>
  <c r="AU9" i="9"/>
  <c r="AU74" i="9"/>
  <c r="AP74" i="9"/>
  <c r="AK74" i="9"/>
  <c r="AF74" i="9"/>
  <c r="AA74" i="9"/>
  <c r="V74" i="9"/>
  <c r="Q74" i="9"/>
  <c r="L74" i="9"/>
  <c r="G74" i="9"/>
  <c r="AU73" i="9"/>
  <c r="AP73" i="9"/>
  <c r="AK73" i="9"/>
  <c r="AF73" i="9"/>
  <c r="AA73" i="9"/>
  <c r="V73" i="9"/>
  <c r="Q73" i="9"/>
  <c r="L73" i="9"/>
  <c r="G73" i="9"/>
  <c r="AM71" i="9"/>
  <c r="AL71" i="9"/>
  <c r="AM70" i="9"/>
  <c r="AN70" i="9"/>
  <c r="AO70" i="9"/>
  <c r="AP70" i="9"/>
  <c r="AQ70" i="9"/>
  <c r="AK71" i="9"/>
  <c r="AH71" i="9"/>
  <c r="AG71" i="9"/>
  <c r="AH70" i="9"/>
  <c r="AI70" i="9"/>
  <c r="AJ70" i="9"/>
  <c r="AK70" i="9"/>
  <c r="AL70" i="9"/>
  <c r="AF71" i="9"/>
  <c r="AM68" i="9"/>
  <c r="AL68" i="9"/>
  <c r="AK68" i="9"/>
  <c r="AG68" i="9"/>
  <c r="AF68" i="9"/>
  <c r="AU67" i="9"/>
  <c r="AP67" i="9"/>
  <c r="AK67" i="9"/>
  <c r="AF67" i="9"/>
  <c r="AA67" i="9"/>
  <c r="V67" i="9"/>
  <c r="Q67" i="9"/>
  <c r="L67" i="9"/>
  <c r="G67" i="9"/>
  <c r="AV65" i="9"/>
  <c r="AT65" i="9"/>
  <c r="AS65" i="9"/>
  <c r="AR65" i="9"/>
  <c r="AQ65" i="9"/>
  <c r="AO65" i="9"/>
  <c r="AN65" i="9"/>
  <c r="AM65" i="9"/>
  <c r="AL65" i="9"/>
  <c r="AJ65" i="9"/>
  <c r="AI65" i="9"/>
  <c r="AH65" i="9"/>
  <c r="AG65" i="9"/>
  <c r="AE65" i="9"/>
  <c r="AD65" i="9"/>
  <c r="AC65" i="9"/>
  <c r="AB65" i="9"/>
  <c r="Z65" i="9"/>
  <c r="Y65" i="9"/>
  <c r="X65" i="9"/>
  <c r="W65" i="9"/>
  <c r="U65" i="9"/>
  <c r="T65" i="9"/>
  <c r="S65" i="9"/>
  <c r="R65" i="9"/>
  <c r="P65" i="9"/>
  <c r="O65" i="9"/>
  <c r="N65" i="9"/>
  <c r="M65" i="9"/>
  <c r="K65" i="9"/>
  <c r="J65" i="9"/>
  <c r="I65" i="9"/>
  <c r="H65" i="9"/>
  <c r="F65" i="9"/>
  <c r="E65" i="9"/>
  <c r="D65" i="9"/>
  <c r="C65" i="9"/>
  <c r="AU64" i="9"/>
  <c r="AP64" i="9"/>
  <c r="AK64" i="9"/>
  <c r="AF64" i="9"/>
  <c r="AA64" i="9"/>
  <c r="V64" i="9"/>
  <c r="Q64" i="9"/>
  <c r="L64" i="9"/>
  <c r="G64" i="9"/>
  <c r="AU63" i="9"/>
  <c r="AP63" i="9"/>
  <c r="AK63" i="9"/>
  <c r="AF63" i="9"/>
  <c r="AA63" i="9"/>
  <c r="V63" i="9"/>
  <c r="Q63" i="9"/>
  <c r="L63" i="9"/>
  <c r="G63" i="9"/>
  <c r="AU62" i="9"/>
  <c r="AP62" i="9"/>
  <c r="AK62" i="9"/>
  <c r="AU61" i="9"/>
  <c r="AP61" i="9"/>
  <c r="AK61" i="9"/>
  <c r="AU60" i="9"/>
  <c r="AP60" i="9"/>
  <c r="AK60" i="9"/>
  <c r="AU59" i="9"/>
  <c r="AP59" i="9"/>
  <c r="AK59" i="9"/>
  <c r="AU58" i="9"/>
  <c r="AP58" i="9"/>
  <c r="AK58" i="9"/>
  <c r="AU57" i="9"/>
  <c r="AP57" i="9"/>
  <c r="AK57" i="9"/>
  <c r="AF57" i="9"/>
  <c r="AU56" i="9"/>
  <c r="AP56" i="9"/>
  <c r="AK56" i="9"/>
  <c r="AF56" i="9"/>
  <c r="AU55" i="9"/>
  <c r="AP55" i="9"/>
  <c r="AK55" i="9"/>
  <c r="AF55" i="9"/>
  <c r="AA55" i="9"/>
  <c r="V55" i="9"/>
  <c r="Q55" i="9"/>
  <c r="L55" i="9"/>
  <c r="G55" i="9"/>
  <c r="AU54" i="9"/>
  <c r="AP54" i="9"/>
  <c r="AK54" i="9"/>
  <c r="AF54" i="9"/>
  <c r="AA54" i="9"/>
  <c r="V54" i="9"/>
  <c r="Q54" i="9"/>
  <c r="L54" i="9"/>
  <c r="G54" i="9"/>
  <c r="AU53" i="9"/>
  <c r="AP53" i="9"/>
  <c r="AK53" i="9"/>
  <c r="AF53" i="9"/>
  <c r="AA53" i="9"/>
  <c r="V53" i="9"/>
  <c r="Q53" i="9"/>
  <c r="L53" i="9"/>
  <c r="G53" i="9"/>
  <c r="AU52" i="9"/>
  <c r="AP52" i="9"/>
  <c r="AK52" i="9"/>
  <c r="AF52" i="9"/>
  <c r="AA52" i="9"/>
  <c r="V52" i="9"/>
  <c r="Q52" i="9"/>
  <c r="L52" i="9"/>
  <c r="G52" i="9"/>
  <c r="AU51" i="9"/>
  <c r="AP51" i="9"/>
  <c r="AK51" i="9"/>
  <c r="AU50" i="9"/>
  <c r="AP50" i="9"/>
  <c r="AK50" i="9"/>
  <c r="AU49" i="9"/>
  <c r="AP49" i="9"/>
  <c r="AK49" i="9"/>
  <c r="AF49" i="9"/>
  <c r="AA49" i="9"/>
  <c r="V49" i="9"/>
  <c r="Q49" i="9"/>
  <c r="L49" i="9"/>
  <c r="G49" i="9"/>
  <c r="AU48" i="9"/>
  <c r="AP48" i="9"/>
  <c r="AK48" i="9"/>
  <c r="AF48" i="9"/>
  <c r="AA48" i="9"/>
  <c r="V48" i="9"/>
  <c r="Q48" i="9"/>
  <c r="L48" i="9"/>
  <c r="G48" i="9"/>
  <c r="AU47" i="9"/>
  <c r="AP47" i="9"/>
  <c r="AK47" i="9"/>
  <c r="AF47" i="9"/>
  <c r="AA47" i="9"/>
  <c r="V47" i="9"/>
  <c r="Q47" i="9"/>
  <c r="L47" i="9"/>
  <c r="G47" i="9"/>
  <c r="AU46" i="9"/>
  <c r="AP46" i="9"/>
  <c r="AK46" i="9"/>
  <c r="AF46" i="9"/>
  <c r="AA46" i="9"/>
  <c r="V46" i="9"/>
  <c r="Q46" i="9"/>
  <c r="L46" i="9"/>
  <c r="G46" i="9"/>
  <c r="AU45" i="9"/>
  <c r="AP45" i="9"/>
  <c r="AK45" i="9"/>
  <c r="AF45" i="9"/>
  <c r="AV42" i="9"/>
  <c r="AT42" i="9"/>
  <c r="AS42" i="9"/>
  <c r="AR42" i="9"/>
  <c r="AQ42" i="9"/>
  <c r="AO42" i="9"/>
  <c r="AN42" i="9"/>
  <c r="AM42" i="9"/>
  <c r="AL42" i="9"/>
  <c r="AJ42" i="9"/>
  <c r="AI42" i="9"/>
  <c r="AH42" i="9"/>
  <c r="AG42" i="9"/>
  <c r="AE42" i="9"/>
  <c r="AD42" i="9"/>
  <c r="AC42" i="9"/>
  <c r="AB42" i="9"/>
  <c r="Z42" i="9"/>
  <c r="Y42" i="9"/>
  <c r="X42" i="9"/>
  <c r="W42" i="9"/>
  <c r="U42" i="9"/>
  <c r="T42" i="9"/>
  <c r="S42" i="9"/>
  <c r="R42" i="9"/>
  <c r="P42" i="9"/>
  <c r="O42" i="9"/>
  <c r="N42" i="9"/>
  <c r="M42" i="9"/>
  <c r="K42" i="9"/>
  <c r="J42" i="9"/>
  <c r="I42" i="9"/>
  <c r="H42" i="9"/>
  <c r="F42" i="9"/>
  <c r="E42" i="9"/>
  <c r="D42" i="9"/>
  <c r="C42" i="9"/>
  <c r="AU41" i="9"/>
  <c r="AP41" i="9"/>
  <c r="AK41" i="9"/>
  <c r="AU40" i="9"/>
  <c r="AP40" i="9"/>
  <c r="AK40" i="9"/>
  <c r="AF40" i="9"/>
  <c r="AA40" i="9"/>
  <c r="V40" i="9"/>
  <c r="Q40" i="9"/>
  <c r="L40" i="9"/>
  <c r="G40" i="9"/>
  <c r="AU39" i="9"/>
  <c r="AP39" i="9"/>
  <c r="AK39" i="9"/>
  <c r="AF39" i="9"/>
  <c r="AA39" i="9"/>
  <c r="V39" i="9"/>
  <c r="Q39" i="9"/>
  <c r="L39" i="9"/>
  <c r="G39" i="9"/>
  <c r="AU38" i="9"/>
  <c r="AP38" i="9"/>
  <c r="AK38" i="9"/>
  <c r="AF38" i="9"/>
  <c r="V38" i="9"/>
  <c r="AU37" i="9"/>
  <c r="AP37" i="9"/>
  <c r="AK37" i="9"/>
  <c r="AF37" i="9"/>
  <c r="AA37" i="9"/>
  <c r="V37" i="9"/>
  <c r="Q37" i="9"/>
  <c r="L37" i="9"/>
  <c r="G37" i="9"/>
  <c r="AU36" i="9"/>
  <c r="AP36" i="9"/>
  <c r="AK36" i="9"/>
  <c r="AF36" i="9"/>
  <c r="AA36" i="9"/>
  <c r="AU35" i="9"/>
  <c r="AP35" i="9"/>
  <c r="AK35" i="9"/>
  <c r="AF35" i="9"/>
  <c r="AA35" i="9"/>
  <c r="V35" i="9"/>
  <c r="Q35" i="9"/>
  <c r="L35" i="9"/>
  <c r="G35" i="9"/>
  <c r="AU34" i="9"/>
  <c r="AP34" i="9"/>
  <c r="AK34" i="9"/>
  <c r="AF34" i="9"/>
  <c r="AA34" i="9"/>
  <c r="V34" i="9"/>
  <c r="Q34" i="9"/>
  <c r="L34" i="9"/>
  <c r="G34" i="9"/>
  <c r="AU33" i="9"/>
  <c r="AP33" i="9"/>
  <c r="AK33" i="9"/>
  <c r="AF33" i="9"/>
  <c r="AA33" i="9"/>
  <c r="V33" i="9"/>
  <c r="Q33" i="9"/>
  <c r="L33" i="9"/>
  <c r="G33" i="9"/>
  <c r="AU29" i="9"/>
  <c r="AP29" i="9"/>
  <c r="AK29" i="9"/>
  <c r="AF29" i="9"/>
  <c r="AA29" i="9"/>
  <c r="V29" i="9"/>
  <c r="Q29" i="9"/>
  <c r="L29" i="9"/>
  <c r="G29" i="9"/>
  <c r="AU28" i="9"/>
  <c r="AP28" i="9"/>
  <c r="AK28" i="9"/>
  <c r="AF28" i="9"/>
  <c r="AA28" i="9"/>
  <c r="V28" i="9"/>
  <c r="Q28" i="9"/>
  <c r="L28" i="9"/>
  <c r="G28" i="9"/>
  <c r="AU27" i="9"/>
  <c r="AP27" i="9"/>
  <c r="AK27" i="9"/>
  <c r="AF27" i="9"/>
  <c r="AA27" i="9"/>
  <c r="V27" i="9"/>
  <c r="Q27" i="9"/>
  <c r="L27" i="9"/>
  <c r="G27" i="9"/>
  <c r="AU26" i="9"/>
  <c r="AP26" i="9"/>
  <c r="AK26" i="9"/>
  <c r="AF26" i="9"/>
  <c r="AA26" i="9"/>
  <c r="AU25" i="9"/>
  <c r="AP25" i="9"/>
  <c r="AK25" i="9"/>
  <c r="AF25" i="9"/>
  <c r="AA25" i="9"/>
  <c r="V25" i="9"/>
  <c r="Q25" i="9"/>
  <c r="L25" i="9"/>
  <c r="G25" i="9"/>
  <c r="AU24" i="9"/>
  <c r="AP24" i="9"/>
  <c r="AK24" i="9"/>
  <c r="AF24" i="9"/>
  <c r="AA24" i="9"/>
  <c r="V24" i="9"/>
  <c r="Q24" i="9"/>
  <c r="L24" i="9"/>
  <c r="G24" i="9"/>
  <c r="AU23" i="9"/>
  <c r="AP23" i="9"/>
  <c r="AK23" i="9"/>
  <c r="AF23" i="9"/>
  <c r="AA23" i="9"/>
  <c r="AU22" i="9"/>
  <c r="AP22" i="9"/>
  <c r="AK22" i="9"/>
  <c r="AF22" i="9"/>
  <c r="AA22" i="9"/>
  <c r="V22" i="9"/>
  <c r="Q22" i="9"/>
  <c r="L22" i="9"/>
  <c r="G22" i="9"/>
  <c r="AU21" i="9"/>
  <c r="AP21" i="9"/>
  <c r="AK21" i="9"/>
  <c r="AF21" i="9"/>
  <c r="AA21" i="9"/>
  <c r="V21" i="9"/>
  <c r="Q21" i="9"/>
  <c r="L21" i="9"/>
  <c r="G21" i="9"/>
  <c r="AU20" i="9"/>
  <c r="AP20" i="9"/>
  <c r="AK20" i="9"/>
  <c r="AF20" i="9"/>
  <c r="AA20" i="9"/>
  <c r="V20" i="9"/>
  <c r="Q20" i="9"/>
  <c r="L20" i="9"/>
  <c r="G20" i="9"/>
  <c r="AU19" i="9"/>
  <c r="AP19" i="9"/>
  <c r="AK19" i="9"/>
  <c r="AF19" i="9"/>
  <c r="AA19" i="9"/>
  <c r="AV18" i="9"/>
  <c r="AV30" i="9"/>
  <c r="AT18" i="9"/>
  <c r="AT30" i="9"/>
  <c r="AS18" i="9"/>
  <c r="AS30" i="9"/>
  <c r="AR18" i="9"/>
  <c r="AQ18" i="9"/>
  <c r="AQ30" i="9"/>
  <c r="AO18" i="9"/>
  <c r="AO30" i="9"/>
  <c r="AN18" i="9"/>
  <c r="AN30" i="9"/>
  <c r="AM18" i="9"/>
  <c r="AL18" i="9"/>
  <c r="AJ18" i="9"/>
  <c r="AI18" i="9"/>
  <c r="AI30" i="9"/>
  <c r="AH18" i="9"/>
  <c r="AG18" i="9"/>
  <c r="AG30" i="9"/>
  <c r="AE18" i="9"/>
  <c r="AE30" i="9"/>
  <c r="AD18" i="9"/>
  <c r="AD30" i="9"/>
  <c r="AC18" i="9"/>
  <c r="AB18" i="9"/>
  <c r="Z18" i="9"/>
  <c r="Y18" i="9"/>
  <c r="Y30" i="9"/>
  <c r="X18" i="9"/>
  <c r="X30" i="9"/>
  <c r="W18" i="9"/>
  <c r="W30" i="9"/>
  <c r="U18" i="9"/>
  <c r="U30" i="9"/>
  <c r="T18" i="9"/>
  <c r="S18" i="9"/>
  <c r="S30" i="9"/>
  <c r="R18" i="9"/>
  <c r="P18" i="9"/>
  <c r="O18" i="9"/>
  <c r="N18" i="9"/>
  <c r="N30" i="9"/>
  <c r="M18" i="9"/>
  <c r="M30" i="9"/>
  <c r="K18" i="9"/>
  <c r="K30" i="9"/>
  <c r="J18" i="9"/>
  <c r="J30" i="9"/>
  <c r="I18" i="9"/>
  <c r="I30" i="9"/>
  <c r="H18" i="9"/>
  <c r="F18" i="9"/>
  <c r="F30" i="9"/>
  <c r="E18" i="9"/>
  <c r="E30" i="9"/>
  <c r="D18" i="9"/>
  <c r="D30" i="9"/>
  <c r="C18" i="9"/>
  <c r="C30" i="9"/>
  <c r="AU17" i="9"/>
  <c r="AP17" i="9"/>
  <c r="AK17" i="9"/>
  <c r="AF17" i="9"/>
  <c r="AA17" i="9"/>
  <c r="V17" i="9"/>
  <c r="Q17" i="9"/>
  <c r="L17" i="9"/>
  <c r="G17" i="9"/>
  <c r="AU16" i="9"/>
  <c r="AP16" i="9"/>
  <c r="AK16" i="9"/>
  <c r="AF16" i="9"/>
  <c r="AA16" i="9"/>
  <c r="V16" i="9"/>
  <c r="Q16" i="9"/>
  <c r="L16" i="9"/>
  <c r="G16" i="9"/>
  <c r="AU15" i="9"/>
  <c r="AP15" i="9"/>
  <c r="AK15" i="9"/>
  <c r="AF15" i="9"/>
  <c r="AA15" i="9"/>
  <c r="V15" i="9"/>
  <c r="Q15" i="9"/>
  <c r="L15" i="9"/>
  <c r="G15" i="9"/>
  <c r="AU14" i="9"/>
  <c r="AP14" i="9"/>
  <c r="AK14" i="9"/>
  <c r="AF14" i="9"/>
  <c r="AA14" i="9"/>
  <c r="V14" i="9"/>
  <c r="AU13" i="9"/>
  <c r="AP13" i="9"/>
  <c r="AK13" i="9"/>
  <c r="AF13" i="9"/>
  <c r="AA13" i="9"/>
  <c r="V13" i="9"/>
  <c r="Q13" i="9"/>
  <c r="L13" i="9"/>
  <c r="G13" i="9"/>
  <c r="AU12" i="9"/>
  <c r="AP12" i="9"/>
  <c r="AK12" i="9"/>
  <c r="AF12" i="9"/>
  <c r="AA12" i="9"/>
  <c r="V12" i="9"/>
  <c r="Q12" i="9"/>
  <c r="L12" i="9"/>
  <c r="G12" i="9"/>
  <c r="AU11" i="9"/>
  <c r="AP11" i="9"/>
  <c r="AK11" i="9"/>
  <c r="AF11" i="9"/>
  <c r="AA11" i="9"/>
  <c r="V11" i="9"/>
  <c r="Q11" i="9"/>
  <c r="L11" i="9"/>
  <c r="G11" i="9"/>
  <c r="AU10" i="9"/>
  <c r="AP10" i="9"/>
  <c r="AP18" i="9"/>
  <c r="AK10" i="9"/>
  <c r="AF10" i="9"/>
  <c r="AA10" i="9"/>
  <c r="V10" i="9"/>
  <c r="Q10" i="9"/>
  <c r="L10" i="9"/>
  <c r="G10" i="9"/>
  <c r="BF21" i="5"/>
  <c r="BF16" i="16"/>
  <c r="BA21" i="5"/>
  <c r="BA16" i="16"/>
  <c r="AV21" i="5"/>
  <c r="AV16" i="16"/>
  <c r="AQ21" i="5"/>
  <c r="AQ16" i="16"/>
  <c r="AL21" i="5"/>
  <c r="AL16" i="16"/>
  <c r="BF25" i="5"/>
  <c r="BA25" i="5"/>
  <c r="AV25" i="5"/>
  <c r="AQ25" i="5"/>
  <c r="AL25" i="5"/>
  <c r="BF26" i="5"/>
  <c r="BA26" i="5"/>
  <c r="AV26" i="5"/>
  <c r="AQ26" i="5"/>
  <c r="BF27" i="5"/>
  <c r="BA27" i="5"/>
  <c r="AV27" i="5"/>
  <c r="AQ27" i="5"/>
  <c r="AL27" i="5"/>
  <c r="BF28" i="5"/>
  <c r="BA28" i="5"/>
  <c r="AV28" i="5"/>
  <c r="AQ28" i="5"/>
  <c r="AL28" i="5"/>
  <c r="BF24" i="5"/>
  <c r="BF20" i="16"/>
  <c r="BF25" i="16"/>
  <c r="BA24" i="5"/>
  <c r="BA20" i="16"/>
  <c r="BA25" i="16"/>
  <c r="AV24" i="5"/>
  <c r="AV20" i="16"/>
  <c r="AV25" i="16"/>
  <c r="AQ24" i="5"/>
  <c r="AQ20" i="16"/>
  <c r="AQ25" i="16"/>
  <c r="AL24" i="5"/>
  <c r="AL20" i="16"/>
  <c r="AL25" i="16"/>
  <c r="BF23" i="5"/>
  <c r="BF19" i="16"/>
  <c r="BA23" i="5"/>
  <c r="AV23" i="5"/>
  <c r="AV19" i="16"/>
  <c r="AQ23" i="5"/>
  <c r="AQ19" i="16"/>
  <c r="BF22" i="5"/>
  <c r="BA22" i="5"/>
  <c r="AV22" i="5"/>
  <c r="AQ22" i="5"/>
  <c r="AL22" i="5"/>
  <c r="BF20" i="5"/>
  <c r="BF18" i="16"/>
  <c r="BA20" i="5"/>
  <c r="AV20" i="5"/>
  <c r="AV18" i="16"/>
  <c r="AQ20" i="5"/>
  <c r="AQ18" i="16"/>
  <c r="AL20" i="5"/>
  <c r="AL18" i="16"/>
  <c r="BC18" i="5"/>
  <c r="AX18" i="5"/>
  <c r="AN18" i="5"/>
  <c r="AI18" i="5"/>
  <c r="AD18" i="5"/>
  <c r="AE18" i="5"/>
  <c r="Y18" i="5"/>
  <c r="T18" i="5"/>
  <c r="O18" i="5"/>
  <c r="AS18" i="5"/>
  <c r="AT18" i="5"/>
  <c r="J14" i="5"/>
  <c r="K9" i="5"/>
  <c r="L9" i="5"/>
  <c r="M9" i="5"/>
  <c r="N9" i="5"/>
  <c r="N11" i="5"/>
  <c r="O9" i="5"/>
  <c r="O14" i="5"/>
  <c r="P9" i="5"/>
  <c r="P14" i="5"/>
  <c r="Q9" i="5"/>
  <c r="Q14" i="5"/>
  <c r="R9" i="5"/>
  <c r="S9" i="5"/>
  <c r="S11" i="5"/>
  <c r="T9" i="5"/>
  <c r="T14" i="5"/>
  <c r="U9" i="5"/>
  <c r="U14" i="5"/>
  <c r="V9" i="5"/>
  <c r="V14" i="5"/>
  <c r="W9" i="5"/>
  <c r="X9" i="5"/>
  <c r="X11" i="5"/>
  <c r="Y9" i="5"/>
  <c r="Z9" i="5"/>
  <c r="AA9" i="5"/>
  <c r="AB9" i="5"/>
  <c r="AB14" i="5"/>
  <c r="AC9" i="5"/>
  <c r="AC11" i="5"/>
  <c r="AD9" i="5"/>
  <c r="AD14" i="5"/>
  <c r="AE9" i="5"/>
  <c r="AE14" i="5"/>
  <c r="AF9" i="5"/>
  <c r="AF14" i="5"/>
  <c r="AG9" i="5"/>
  <c r="AG14" i="5"/>
  <c r="AH9" i="5"/>
  <c r="AH11" i="5"/>
  <c r="AI9" i="5"/>
  <c r="AI14" i="5"/>
  <c r="AJ9" i="5"/>
  <c r="AJ14" i="5"/>
  <c r="AK9" i="5"/>
  <c r="AK14" i="5"/>
  <c r="AL9" i="5"/>
  <c r="AL14" i="5"/>
  <c r="AM9" i="5"/>
  <c r="AO9" i="5"/>
  <c r="AP9" i="5"/>
  <c r="AQ9" i="5"/>
  <c r="AT9" i="5"/>
  <c r="AT14" i="5"/>
  <c r="AU9" i="5"/>
  <c r="AU14" i="5"/>
  <c r="AV9" i="5"/>
  <c r="AV14" i="5"/>
  <c r="AY9" i="5"/>
  <c r="AY14" i="5"/>
  <c r="AZ9" i="5"/>
  <c r="AZ14" i="5"/>
  <c r="BA9" i="5"/>
  <c r="BA14" i="5"/>
  <c r="BD9" i="5"/>
  <c r="BD14" i="5"/>
  <c r="BE9" i="5"/>
  <c r="BF9" i="5"/>
  <c r="AM10" i="5"/>
  <c r="AR10" i="5"/>
  <c r="AW10" i="5"/>
  <c r="BB10" i="5"/>
  <c r="BG10" i="5"/>
  <c r="J11" i="5"/>
  <c r="AG11" i="5"/>
  <c r="M12" i="5"/>
  <c r="R12" i="5"/>
  <c r="AM12" i="5"/>
  <c r="AR12" i="5"/>
  <c r="AS9" i="5"/>
  <c r="AW12" i="5"/>
  <c r="BB12" i="5"/>
  <c r="BG12" i="5"/>
  <c r="AV46" i="1"/>
  <c r="BA46" i="1"/>
  <c r="BB24" i="3"/>
  <c r="BB21" i="3"/>
  <c r="AW24" i="3"/>
  <c r="AW21" i="3"/>
  <c r="AR24" i="3"/>
  <c r="AR21" i="3"/>
  <c r="AM24" i="3"/>
  <c r="AM21" i="3"/>
  <c r="AH24" i="3"/>
  <c r="AH21" i="3"/>
  <c r="AU21" i="3"/>
  <c r="AT21" i="3"/>
  <c r="AS21" i="3"/>
  <c r="AO21" i="3"/>
  <c r="AN21" i="3"/>
  <c r="AJ21" i="3"/>
  <c r="AI17" i="3"/>
  <c r="BB13" i="3"/>
  <c r="BA13" i="3"/>
  <c r="AZ13" i="3"/>
  <c r="AY13" i="3"/>
  <c r="AW13" i="3"/>
  <c r="AV13" i="3"/>
  <c r="AU13" i="3"/>
  <c r="AT13" i="3"/>
  <c r="AQ13" i="3"/>
  <c r="AP13" i="3"/>
  <c r="AO13" i="3"/>
  <c r="AL13" i="3"/>
  <c r="BC12" i="3"/>
  <c r="AX12" i="3"/>
  <c r="AS12" i="3"/>
  <c r="AX9" i="3"/>
  <c r="BC10" i="3"/>
  <c r="AX10" i="3"/>
  <c r="AS10" i="3"/>
  <c r="AN10" i="3"/>
  <c r="AI10" i="3"/>
  <c r="BB9" i="3"/>
  <c r="BB11" i="3"/>
  <c r="BA9" i="3"/>
  <c r="BA11" i="3"/>
  <c r="AZ9" i="3"/>
  <c r="AZ11" i="3"/>
  <c r="AW9" i="3"/>
  <c r="AW11" i="3"/>
  <c r="AV9" i="3"/>
  <c r="AV11" i="3"/>
  <c r="AU9" i="3"/>
  <c r="AU11" i="3"/>
  <c r="AR9" i="3"/>
  <c r="AR11" i="3"/>
  <c r="AQ9" i="3"/>
  <c r="AQ11" i="3"/>
  <c r="AP9" i="3"/>
  <c r="AP11" i="3"/>
  <c r="AM9" i="3"/>
  <c r="AL9" i="3"/>
  <c r="AL14" i="3"/>
  <c r="AL18" i="3"/>
  <c r="AK9" i="3"/>
  <c r="AK11" i="3"/>
  <c r="AI9" i="3"/>
  <c r="AH9" i="3"/>
  <c r="AH12" i="3"/>
  <c r="BC21" i="3"/>
  <c r="BA21" i="3"/>
  <c r="AZ21" i="3"/>
  <c r="AY21" i="3"/>
  <c r="AX21" i="3"/>
  <c r="AV21" i="3"/>
  <c r="AQ21" i="3"/>
  <c r="AP21" i="3"/>
  <c r="AL21" i="3"/>
  <c r="AK21" i="3"/>
  <c r="T35" i="1"/>
  <c r="U35" i="1"/>
  <c r="V35" i="1"/>
  <c r="W35" i="1"/>
  <c r="X35" i="1"/>
  <c r="Y35" i="1"/>
  <c r="Z35" i="1"/>
  <c r="AA35" i="1"/>
  <c r="AB35" i="1"/>
  <c r="AC35" i="1"/>
  <c r="AD35" i="1"/>
  <c r="AE35" i="1"/>
  <c r="AF35" i="1"/>
  <c r="AG35" i="1"/>
  <c r="AH35" i="1"/>
  <c r="AI35" i="1"/>
  <c r="AJ35" i="1"/>
  <c r="AK35" i="1"/>
  <c r="AL35" i="1"/>
  <c r="AM35" i="1"/>
  <c r="AN35" i="1"/>
  <c r="AO35" i="1"/>
  <c r="AP35" i="1"/>
  <c r="AQ35" i="1"/>
  <c r="AR35" i="1"/>
  <c r="AS35" i="1"/>
  <c r="AT35" i="1"/>
  <c r="AU35" i="1"/>
  <c r="AV35" i="1"/>
  <c r="AW35" i="1"/>
  <c r="AX35" i="1"/>
  <c r="AY35" i="1"/>
  <c r="AZ35" i="1"/>
  <c r="BA35" i="1"/>
  <c r="BB35" i="1"/>
  <c r="BC35" i="1"/>
  <c r="BD35" i="1"/>
  <c r="BE35" i="1"/>
  <c r="BF35" i="1"/>
  <c r="BG35"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W33" i="1"/>
  <c r="AX33" i="1"/>
  <c r="AY33" i="1"/>
  <c r="AZ33" i="1"/>
  <c r="BA33" i="1"/>
  <c r="BB33" i="1"/>
  <c r="BC33" i="1"/>
  <c r="BD33" i="1"/>
  <c r="BE33" i="1"/>
  <c r="BF33" i="1"/>
  <c r="BG33" i="1"/>
  <c r="F20" i="18"/>
  <c r="S35" i="1"/>
  <c r="S33" i="1"/>
  <c r="N50" i="1"/>
  <c r="O50" i="1"/>
  <c r="P50" i="1"/>
  <c r="Q50" i="1"/>
  <c r="R50" i="1"/>
  <c r="S50" i="1"/>
  <c r="T50" i="1"/>
  <c r="U50" i="1"/>
  <c r="V50" i="1"/>
  <c r="X50" i="1"/>
  <c r="Y50" i="1"/>
  <c r="Z50" i="1"/>
  <c r="AA50" i="1"/>
  <c r="AC50" i="1"/>
  <c r="AD50" i="1"/>
  <c r="AE50" i="1"/>
  <c r="AF50" i="1"/>
  <c r="AG50" i="1"/>
  <c r="AH50" i="1"/>
  <c r="AI50" i="1"/>
  <c r="AJ50" i="1"/>
  <c r="AK50" i="1"/>
  <c r="AM50" i="1"/>
  <c r="AN50" i="1"/>
  <c r="AO50" i="1"/>
  <c r="AP50" i="1"/>
  <c r="AR50" i="1"/>
  <c r="AS50" i="1"/>
  <c r="AT50" i="1"/>
  <c r="AU50" i="1"/>
  <c r="AW50" i="1"/>
  <c r="AX50" i="1"/>
  <c r="AY50" i="1"/>
  <c r="AZ50" i="1"/>
  <c r="BB50" i="1"/>
  <c r="BC50" i="1"/>
  <c r="BD50" i="1"/>
  <c r="BE50" i="1"/>
  <c r="BG50" i="1"/>
  <c r="BF53" i="1"/>
  <c r="BF50" i="1"/>
  <c r="BA53" i="1"/>
  <c r="BA50" i="1"/>
  <c r="AV53" i="1"/>
  <c r="AV50" i="1"/>
  <c r="AQ53" i="1"/>
  <c r="AQ50" i="1"/>
  <c r="AL53" i="1"/>
  <c r="AL50" i="1"/>
  <c r="BG46" i="1"/>
  <c r="BE46" i="1"/>
  <c r="BD46" i="1"/>
  <c r="BC46" i="1"/>
  <c r="BB46" i="1"/>
  <c r="AZ46" i="1"/>
  <c r="AY46" i="1"/>
  <c r="AX46" i="1"/>
  <c r="AW46" i="1"/>
  <c r="AU46" i="1"/>
  <c r="AT46" i="1"/>
  <c r="AS46" i="1"/>
  <c r="AR46" i="1"/>
  <c r="AP46" i="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AB17" i="1"/>
  <c r="AB50" i="1"/>
  <c r="W17" i="1"/>
  <c r="W50" i="1"/>
  <c r="N9" i="1"/>
  <c r="N11" i="1"/>
  <c r="J11" i="1"/>
  <c r="K9" i="1"/>
  <c r="K11" i="1"/>
  <c r="BF13" i="1"/>
  <c r="BE13" i="1"/>
  <c r="BD13" i="1"/>
  <c r="BC13" i="1"/>
  <c r="BA13" i="1"/>
  <c r="AZ13" i="1"/>
  <c r="AY13" i="1"/>
  <c r="AX13" i="1"/>
  <c r="AV13" i="1"/>
  <c r="AU13" i="1"/>
  <c r="AT13" i="1"/>
  <c r="AS13" i="1"/>
  <c r="AQ13" i="1"/>
  <c r="AP13" i="1"/>
  <c r="AO13" i="1"/>
  <c r="AN13" i="1"/>
  <c r="AL13" i="1"/>
  <c r="AK13" i="1"/>
  <c r="AJ13" i="1"/>
  <c r="AI13" i="1"/>
  <c r="AH13" i="1"/>
  <c r="AG13" i="1"/>
  <c r="AF13" i="1"/>
  <c r="AE13" i="1"/>
  <c r="AD13" i="1"/>
  <c r="AC13" i="1"/>
  <c r="AB13" i="1"/>
  <c r="AA13" i="1"/>
  <c r="Z13" i="1"/>
  <c r="Y13" i="1"/>
  <c r="X13" i="1"/>
  <c r="V13" i="1"/>
  <c r="U13" i="1"/>
  <c r="T13" i="1"/>
  <c r="S13" i="1"/>
  <c r="Q13" i="1"/>
  <c r="P13" i="1"/>
  <c r="O13" i="1"/>
  <c r="BG12" i="1"/>
  <c r="BH9" i="1"/>
  <c r="BB12" i="1"/>
  <c r="BG9" i="1"/>
  <c r="AW12" i="1"/>
  <c r="AX9" i="1"/>
  <c r="AX14" i="1"/>
  <c r="AX18" i="1"/>
  <c r="AR12" i="1"/>
  <c r="AS9" i="1"/>
  <c r="AM12" i="1"/>
  <c r="AR9" i="1"/>
  <c r="R12" i="1"/>
  <c r="W13" i="1"/>
  <c r="M12" i="1"/>
  <c r="BG10" i="1"/>
  <c r="BB10" i="1"/>
  <c r="AW10" i="1"/>
  <c r="AR10" i="1"/>
  <c r="AM10" i="1"/>
  <c r="BF9" i="1"/>
  <c r="BF14" i="1"/>
  <c r="BF18" i="1"/>
  <c r="BE9" i="1"/>
  <c r="BE14" i="1"/>
  <c r="BE18" i="1"/>
  <c r="BD9" i="1"/>
  <c r="BD14" i="1"/>
  <c r="BD18" i="1"/>
  <c r="BA9" i="1"/>
  <c r="BA11" i="1"/>
  <c r="AZ9" i="1"/>
  <c r="AZ14" i="1"/>
  <c r="AZ18" i="1"/>
  <c r="AY9" i="1"/>
  <c r="AY11" i="1"/>
  <c r="AV9" i="1"/>
  <c r="AV11" i="1"/>
  <c r="AU9" i="1"/>
  <c r="AU11" i="1"/>
  <c r="AT9" i="1"/>
  <c r="AT11" i="1"/>
  <c r="AQ9" i="1"/>
  <c r="AQ14" i="1"/>
  <c r="AQ18" i="1"/>
  <c r="AP9" i="1"/>
  <c r="AP14" i="1"/>
  <c r="AP18" i="1"/>
  <c r="AO9" i="1"/>
  <c r="AO14" i="1"/>
  <c r="AO18" i="1"/>
  <c r="AM9" i="1"/>
  <c r="AL9" i="1"/>
  <c r="AL11" i="1"/>
  <c r="AK9" i="1"/>
  <c r="AK11" i="1"/>
  <c r="AJ9" i="1"/>
  <c r="AJ14" i="1"/>
  <c r="AJ18" i="1"/>
  <c r="AI9" i="1"/>
  <c r="AI14" i="1"/>
  <c r="AI18" i="1"/>
  <c r="AH9" i="1"/>
  <c r="AH11" i="1"/>
  <c r="AG9" i="1"/>
  <c r="AG11" i="1"/>
  <c r="AF9" i="1"/>
  <c r="AF11" i="1"/>
  <c r="AE9" i="1"/>
  <c r="AE11" i="1"/>
  <c r="AD9" i="1"/>
  <c r="AD11" i="1"/>
  <c r="AC9" i="1"/>
  <c r="AC11" i="1"/>
  <c r="AB9" i="1"/>
  <c r="AB11" i="1"/>
  <c r="AA9" i="1"/>
  <c r="AA14" i="1"/>
  <c r="AA18" i="1"/>
  <c r="Z9" i="1"/>
  <c r="Z14" i="1"/>
  <c r="Z18" i="1"/>
  <c r="Y9" i="1"/>
  <c r="Y14" i="1"/>
  <c r="Y18" i="1"/>
  <c r="X9" i="1"/>
  <c r="X11" i="1"/>
  <c r="W9" i="1"/>
  <c r="W11" i="1"/>
  <c r="V9" i="1"/>
  <c r="V11" i="1"/>
  <c r="U9" i="1"/>
  <c r="U11" i="1"/>
  <c r="T9" i="1"/>
  <c r="T11" i="1"/>
  <c r="S9" i="1"/>
  <c r="S11" i="1"/>
  <c r="R9" i="1"/>
  <c r="Q9" i="1"/>
  <c r="Q11" i="1"/>
  <c r="P9" i="1"/>
  <c r="P11" i="1"/>
  <c r="O9" i="1"/>
  <c r="O11" i="1"/>
  <c r="M9" i="1"/>
  <c r="L9" i="1"/>
  <c r="L11" i="1"/>
  <c r="C2" i="2"/>
  <c r="D3" i="2"/>
  <c r="E3" i="2"/>
  <c r="F3" i="2"/>
  <c r="G3" i="2"/>
  <c r="H3" i="2"/>
  <c r="I3" i="2"/>
  <c r="J3" i="2"/>
  <c r="K3" i="2"/>
  <c r="L3" i="2"/>
  <c r="M3" i="2"/>
  <c r="N3" i="2"/>
  <c r="O3" i="2"/>
  <c r="J4" i="2"/>
  <c r="O4" i="2"/>
  <c r="D5" i="2"/>
  <c r="E5" i="2"/>
  <c r="F5" i="2"/>
  <c r="L7" i="2"/>
  <c r="M7" i="2"/>
  <c r="N7" i="2"/>
  <c r="O7" i="2"/>
  <c r="K10" i="2"/>
  <c r="L10" i="2"/>
  <c r="M10" i="2"/>
  <c r="N10" i="2"/>
  <c r="O10" i="2"/>
  <c r="L13" i="2"/>
  <c r="M13" i="2"/>
  <c r="N13" i="2"/>
  <c r="O13" i="2"/>
  <c r="K18" i="2"/>
  <c r="J29" i="2"/>
  <c r="O29" i="2"/>
  <c r="F33" i="2"/>
  <c r="G33" i="2"/>
  <c r="H33" i="2"/>
  <c r="I33" i="2"/>
  <c r="J33" i="2"/>
  <c r="K33" i="2"/>
  <c r="L33" i="2"/>
  <c r="M33" i="2"/>
  <c r="N33" i="2"/>
  <c r="O33" i="2"/>
  <c r="C36" i="2"/>
  <c r="D36" i="2"/>
  <c r="E36" i="2"/>
  <c r="F36" i="2"/>
  <c r="G36" i="2"/>
  <c r="H36" i="2"/>
  <c r="I36" i="2"/>
  <c r="J36" i="2"/>
  <c r="K36" i="2"/>
  <c r="L36" i="2"/>
  <c r="L313" i="2"/>
  <c r="M36" i="2"/>
  <c r="N36" i="2"/>
  <c r="O36" i="2"/>
  <c r="C37" i="2"/>
  <c r="D37" i="2"/>
  <c r="E37" i="2"/>
  <c r="F37" i="2"/>
  <c r="G37" i="2"/>
  <c r="H37" i="2"/>
  <c r="I37" i="2"/>
  <c r="J37" i="2"/>
  <c r="K37" i="2"/>
  <c r="L37" i="2"/>
  <c r="M37" i="2"/>
  <c r="N37" i="2"/>
  <c r="O300" i="2"/>
  <c r="O37" i="2"/>
  <c r="C38" i="2"/>
  <c r="D38" i="2"/>
  <c r="E38" i="2"/>
  <c r="F38" i="2"/>
  <c r="G38" i="2"/>
  <c r="H38" i="2"/>
  <c r="I38" i="2"/>
  <c r="J38" i="2"/>
  <c r="K38" i="2"/>
  <c r="L38" i="2"/>
  <c r="M38" i="2"/>
  <c r="N38" i="2"/>
  <c r="O38" i="2"/>
  <c r="C39" i="2"/>
  <c r="D39" i="2"/>
  <c r="E39" i="2"/>
  <c r="F39" i="2"/>
  <c r="G39" i="2"/>
  <c r="H39" i="2"/>
  <c r="I39" i="2"/>
  <c r="J39" i="2"/>
  <c r="K39" i="2"/>
  <c r="L39" i="2"/>
  <c r="M39" i="2"/>
  <c r="N39" i="2"/>
  <c r="O39" i="2"/>
  <c r="C40" i="2"/>
  <c r="D40" i="2"/>
  <c r="E40" i="2"/>
  <c r="F40" i="2"/>
  <c r="G40" i="2"/>
  <c r="H40" i="2"/>
  <c r="I40" i="2"/>
  <c r="J40" i="2"/>
  <c r="K40" i="2"/>
  <c r="L40" i="2"/>
  <c r="M40" i="2"/>
  <c r="N40" i="2"/>
  <c r="O40" i="2"/>
  <c r="C41" i="2"/>
  <c r="D41" i="2"/>
  <c r="E41" i="2"/>
  <c r="F41" i="2"/>
  <c r="G41" i="2"/>
  <c r="H41" i="2"/>
  <c r="I41" i="2"/>
  <c r="J41" i="2"/>
  <c r="K41" i="2"/>
  <c r="L41" i="2"/>
  <c r="M41" i="2"/>
  <c r="N41" i="2"/>
  <c r="O41" i="2"/>
  <c r="J44" i="2"/>
  <c r="O44" i="2"/>
  <c r="J45" i="2"/>
  <c r="O45" i="2"/>
  <c r="J46" i="2"/>
  <c r="O46" i="2"/>
  <c r="C47" i="2"/>
  <c r="D47" i="2"/>
  <c r="E47" i="2"/>
  <c r="F47" i="2"/>
  <c r="G47" i="2"/>
  <c r="H47" i="2"/>
  <c r="I47" i="2"/>
  <c r="K47" i="2"/>
  <c r="L47" i="2"/>
  <c r="M47" i="2"/>
  <c r="N47" i="2"/>
  <c r="C51" i="2"/>
  <c r="C49" i="2"/>
  <c r="D51" i="2"/>
  <c r="D49" i="2"/>
  <c r="D721" i="2"/>
  <c r="D732" i="2"/>
  <c r="E51" i="2"/>
  <c r="E49" i="2"/>
  <c r="F51" i="2"/>
  <c r="F49" i="2"/>
  <c r="G51" i="2"/>
  <c r="G49" i="2"/>
  <c r="H51" i="2"/>
  <c r="H49" i="2"/>
  <c r="I51" i="2"/>
  <c r="I49" i="2"/>
  <c r="I721" i="2"/>
  <c r="I732" i="2"/>
  <c r="K51" i="2"/>
  <c r="K49" i="2"/>
  <c r="K721" i="2"/>
  <c r="K732" i="2"/>
  <c r="L51" i="2"/>
  <c r="L49" i="2"/>
  <c r="M51" i="2"/>
  <c r="M49" i="2"/>
  <c r="M721" i="2"/>
  <c r="N51" i="2"/>
  <c r="N49" i="2"/>
  <c r="D54" i="2"/>
  <c r="E54" i="2"/>
  <c r="F54" i="2"/>
  <c r="G54" i="2"/>
  <c r="H54" i="2"/>
  <c r="H56" i="2"/>
  <c r="H237" i="2"/>
  <c r="H238" i="2"/>
  <c r="I54" i="2"/>
  <c r="I59" i="2"/>
  <c r="I75" i="2"/>
  <c r="J54" i="2"/>
  <c r="J56" i="2"/>
  <c r="J237" i="2"/>
  <c r="K54" i="2"/>
  <c r="K56" i="2"/>
  <c r="K237" i="2"/>
  <c r="K238" i="2"/>
  <c r="L54" i="2"/>
  <c r="M54" i="2"/>
  <c r="N54" i="2"/>
  <c r="O54" i="2"/>
  <c r="C56" i="2"/>
  <c r="D56" i="2"/>
  <c r="E56" i="2"/>
  <c r="F56" i="2"/>
  <c r="G56" i="2"/>
  <c r="I56" i="2"/>
  <c r="L56" i="2"/>
  <c r="M56" i="2"/>
  <c r="J57" i="2"/>
  <c r="O57" i="2"/>
  <c r="D58" i="2"/>
  <c r="E58" i="2"/>
  <c r="F58" i="2"/>
  <c r="K58" i="2"/>
  <c r="L58" i="2"/>
  <c r="M58" i="2"/>
  <c r="N58" i="2"/>
  <c r="C59" i="2"/>
  <c r="D59" i="2"/>
  <c r="E59" i="2"/>
  <c r="F59" i="2"/>
  <c r="G59" i="2"/>
  <c r="J59" i="2"/>
  <c r="J75" i="2"/>
  <c r="L59" i="2"/>
  <c r="M59" i="2"/>
  <c r="M64" i="2"/>
  <c r="N64" i="2"/>
  <c r="O64" i="2"/>
  <c r="L69" i="2"/>
  <c r="G75" i="2"/>
  <c r="G69" i="2"/>
  <c r="L75" i="2"/>
  <c r="L80" i="2"/>
  <c r="M75" i="2"/>
  <c r="M69" i="2"/>
  <c r="I80" i="2"/>
  <c r="M80" i="2"/>
  <c r="K82" i="2"/>
  <c r="K83" i="2"/>
  <c r="K84" i="2"/>
  <c r="K85" i="2"/>
  <c r="C86" i="2"/>
  <c r="D86" i="2"/>
  <c r="D95" i="2"/>
  <c r="E86" i="2"/>
  <c r="F86" i="2"/>
  <c r="G86" i="2"/>
  <c r="H86" i="2"/>
  <c r="H95" i="2"/>
  <c r="I86" i="2"/>
  <c r="J86" i="2"/>
  <c r="J95" i="2"/>
  <c r="K86" i="2"/>
  <c r="L86" i="2"/>
  <c r="L95" i="2"/>
  <c r="M86" i="2"/>
  <c r="M95" i="2"/>
  <c r="N86" i="2"/>
  <c r="O86" i="2"/>
  <c r="F93" i="2"/>
  <c r="G93" i="2"/>
  <c r="G80" i="2"/>
  <c r="H93" i="2"/>
  <c r="I93" i="2"/>
  <c r="I69" i="2"/>
  <c r="J93" i="2"/>
  <c r="K93" i="2"/>
  <c r="L93" i="2"/>
  <c r="M93" i="2"/>
  <c r="N93" i="2"/>
  <c r="O93" i="2"/>
  <c r="C95" i="2"/>
  <c r="E95" i="2"/>
  <c r="F95" i="2"/>
  <c r="G95" i="2"/>
  <c r="I95" i="2"/>
  <c r="K95" i="2"/>
  <c r="N95" i="2"/>
  <c r="O95" i="2"/>
  <c r="M99" i="2"/>
  <c r="O99" i="2"/>
  <c r="L100" i="2"/>
  <c r="L99" i="2"/>
  <c r="M100" i="2"/>
  <c r="N100" i="2"/>
  <c r="N99" i="2"/>
  <c r="O100" i="2"/>
  <c r="K162" i="2"/>
  <c r="K163" i="2"/>
  <c r="K183" i="2"/>
  <c r="C164" i="2"/>
  <c r="D161" i="2"/>
  <c r="K167" i="2"/>
  <c r="K168" i="2"/>
  <c r="C169" i="2"/>
  <c r="D166" i="2"/>
  <c r="D169" i="2"/>
  <c r="E166" i="2"/>
  <c r="E169" i="2"/>
  <c r="F166" i="2"/>
  <c r="F169" i="2"/>
  <c r="C181" i="2"/>
  <c r="C186" i="2"/>
  <c r="C182" i="2"/>
  <c r="D182" i="2"/>
  <c r="E182" i="2"/>
  <c r="F182" i="2"/>
  <c r="G182" i="2"/>
  <c r="H182" i="2"/>
  <c r="I182" i="2"/>
  <c r="I236" i="2"/>
  <c r="I238" i="2"/>
  <c r="J182" i="2"/>
  <c r="K182" i="2"/>
  <c r="L182" i="2"/>
  <c r="M182" i="2"/>
  <c r="N182" i="2"/>
  <c r="O182" i="2"/>
  <c r="C183" i="2"/>
  <c r="D183" i="2"/>
  <c r="D237" i="2"/>
  <c r="D238" i="2"/>
  <c r="E183" i="2"/>
  <c r="F183" i="2"/>
  <c r="G183" i="2"/>
  <c r="H183" i="2"/>
  <c r="I183" i="2"/>
  <c r="J183" i="2"/>
  <c r="L183" i="2"/>
  <c r="L237" i="2"/>
  <c r="L238" i="2"/>
  <c r="M183" i="2"/>
  <c r="N183" i="2"/>
  <c r="O183" i="2"/>
  <c r="C184" i="2"/>
  <c r="J220" i="2"/>
  <c r="O220" i="2"/>
  <c r="J224" i="2"/>
  <c r="J231" i="2"/>
  <c r="O224" i="2"/>
  <c r="J225" i="2"/>
  <c r="O225" i="2"/>
  <c r="F226" i="2"/>
  <c r="F232" i="2"/>
  <c r="G226" i="2"/>
  <c r="H226" i="2"/>
  <c r="I226" i="2"/>
  <c r="J226" i="2"/>
  <c r="J232" i="2"/>
  <c r="K226" i="2"/>
  <c r="K232" i="2"/>
  <c r="L226" i="2"/>
  <c r="M226" i="2"/>
  <c r="N226" i="2"/>
  <c r="N232" i="2"/>
  <c r="O226" i="2"/>
  <c r="O232" i="2"/>
  <c r="F228" i="2"/>
  <c r="G228" i="2"/>
  <c r="H228" i="2"/>
  <c r="I228" i="2"/>
  <c r="J228" i="2"/>
  <c r="K228" i="2"/>
  <c r="L228" i="2"/>
  <c r="M228" i="2"/>
  <c r="N228" i="2"/>
  <c r="O228" i="2"/>
  <c r="F231" i="2"/>
  <c r="G231" i="2"/>
  <c r="H231" i="2"/>
  <c r="I231" i="2"/>
  <c r="K231" i="2"/>
  <c r="L231" i="2"/>
  <c r="M231" i="2"/>
  <c r="N231" i="2"/>
  <c r="O231" i="2"/>
  <c r="G232" i="2"/>
  <c r="H232" i="2"/>
  <c r="I232" i="2"/>
  <c r="L232" i="2"/>
  <c r="M232" i="2"/>
  <c r="C235" i="2"/>
  <c r="C236" i="2"/>
  <c r="C238" i="2"/>
  <c r="D236" i="2"/>
  <c r="E236" i="2"/>
  <c r="F236" i="2"/>
  <c r="F238" i="2"/>
  <c r="G236" i="2"/>
  <c r="G238" i="2"/>
  <c r="H236" i="2"/>
  <c r="J236" i="2"/>
  <c r="K236" i="2"/>
  <c r="L236" i="2"/>
  <c r="M236" i="2"/>
  <c r="N236" i="2"/>
  <c r="O236" i="2"/>
  <c r="C237" i="2"/>
  <c r="E237" i="2"/>
  <c r="F237" i="2"/>
  <c r="G237" i="2"/>
  <c r="I237" i="2"/>
  <c r="M237" i="2"/>
  <c r="M238" i="2"/>
  <c r="C239" i="2"/>
  <c r="C240" i="2"/>
  <c r="C269" i="2"/>
  <c r="D269" i="2"/>
  <c r="E269" i="2"/>
  <c r="F269" i="2"/>
  <c r="K269" i="2"/>
  <c r="F275" i="2"/>
  <c r="G275" i="2"/>
  <c r="H275" i="2"/>
  <c r="I275" i="2"/>
  <c r="J275" i="2"/>
  <c r="K275" i="2"/>
  <c r="L275" i="2"/>
  <c r="M275" i="2"/>
  <c r="N275" i="2"/>
  <c r="O275" i="2"/>
  <c r="F284" i="2"/>
  <c r="F288" i="2"/>
  <c r="J284" i="2"/>
  <c r="L284" i="2"/>
  <c r="M284" i="2"/>
  <c r="N284" i="2"/>
  <c r="O284" i="2"/>
  <c r="L288" i="2"/>
  <c r="M288" i="2"/>
  <c r="O288" i="2"/>
  <c r="F290" i="2"/>
  <c r="J290" i="2"/>
  <c r="K290" i="2"/>
  <c r="L290" i="2"/>
  <c r="M290" i="2"/>
  <c r="N290" i="2"/>
  <c r="O290" i="2"/>
  <c r="F301" i="2"/>
  <c r="J306" i="2"/>
  <c r="K306" i="2"/>
  <c r="J307" i="2"/>
  <c r="K307" i="2"/>
  <c r="C308" i="2"/>
  <c r="D308" i="2"/>
  <c r="E308" i="2"/>
  <c r="F308" i="2"/>
  <c r="K308" i="2"/>
  <c r="J308" i="2"/>
  <c r="H315" i="2"/>
  <c r="J342" i="2"/>
  <c r="J346" i="2"/>
  <c r="J347" i="2"/>
  <c r="J350" i="2"/>
  <c r="J352" i="2"/>
  <c r="C346" i="2"/>
  <c r="C347" i="2"/>
  <c r="C350" i="2"/>
  <c r="C352" i="2"/>
  <c r="D346" i="2"/>
  <c r="D347" i="2"/>
  <c r="D350" i="2"/>
  <c r="D352" i="2"/>
  <c r="E346" i="2"/>
  <c r="F346" i="2"/>
  <c r="G346" i="2"/>
  <c r="G347" i="2"/>
  <c r="G350" i="2"/>
  <c r="G352" i="2"/>
  <c r="H346" i="2"/>
  <c r="H347" i="2"/>
  <c r="H350" i="2"/>
  <c r="H352" i="2"/>
  <c r="H356" i="2"/>
  <c r="I346" i="2"/>
  <c r="K346" i="2"/>
  <c r="K347" i="2"/>
  <c r="K350" i="2"/>
  <c r="K352" i="2"/>
  <c r="L346" i="2"/>
  <c r="L347" i="2"/>
  <c r="L350" i="2"/>
  <c r="L352" i="2"/>
  <c r="L356" i="2"/>
  <c r="M346" i="2"/>
  <c r="N346" i="2"/>
  <c r="N347" i="2"/>
  <c r="N350" i="2"/>
  <c r="N352" i="2"/>
  <c r="N356" i="2"/>
  <c r="O346" i="2"/>
  <c r="O347" i="2"/>
  <c r="O350" i="2"/>
  <c r="O352" i="2"/>
  <c r="E347" i="2"/>
  <c r="E350" i="2"/>
  <c r="E352" i="2"/>
  <c r="F347" i="2"/>
  <c r="F350" i="2"/>
  <c r="F352" i="2"/>
  <c r="I347" i="2"/>
  <c r="I350" i="2"/>
  <c r="I352" i="2"/>
  <c r="I356" i="2"/>
  <c r="M347" i="2"/>
  <c r="D349" i="2"/>
  <c r="M350" i="2"/>
  <c r="M352" i="2"/>
  <c r="M356" i="2"/>
  <c r="F380" i="2"/>
  <c r="G380" i="2"/>
  <c r="H380" i="2"/>
  <c r="H313" i="2"/>
  <c r="I380" i="2"/>
  <c r="J380" i="2"/>
  <c r="K380" i="2"/>
  <c r="L380" i="2"/>
  <c r="M380" i="2"/>
  <c r="N380" i="2"/>
  <c r="N313" i="2"/>
  <c r="O380" i="2"/>
  <c r="F381" i="2"/>
  <c r="G381" i="2"/>
  <c r="H381" i="2"/>
  <c r="I381" i="2"/>
  <c r="J381" i="2"/>
  <c r="K381" i="2"/>
  <c r="L381" i="2"/>
  <c r="M381" i="2"/>
  <c r="N381" i="2"/>
  <c r="O381" i="2"/>
  <c r="C382" i="2"/>
  <c r="C324" i="2"/>
  <c r="C807" i="2" a="1"/>
  <c r="C807" i="2"/>
  <c r="D382" i="2"/>
  <c r="E382" i="2"/>
  <c r="E711" i="2"/>
  <c r="F382" i="2"/>
  <c r="F711" i="2"/>
  <c r="G382" i="2"/>
  <c r="G324" i="2"/>
  <c r="G807" i="2" a="1"/>
  <c r="G807" i="2"/>
  <c r="H382" i="2"/>
  <c r="I382" i="2"/>
  <c r="I324" i="2"/>
  <c r="I807" i="2" a="1"/>
  <c r="I807" i="2"/>
  <c r="J382" i="2"/>
  <c r="J324" i="2"/>
  <c r="K382" i="2"/>
  <c r="L382" i="2"/>
  <c r="M382" i="2"/>
  <c r="N382" i="2"/>
  <c r="O382" i="2"/>
  <c r="C385" i="2"/>
  <c r="D385" i="2"/>
  <c r="E385" i="2"/>
  <c r="F385" i="2"/>
  <c r="F316" i="2"/>
  <c r="F317" i="2"/>
  <c r="G385" i="2"/>
  <c r="G316" i="2"/>
  <c r="G317" i="2"/>
  <c r="H385" i="2"/>
  <c r="H316" i="2"/>
  <c r="H317" i="2"/>
  <c r="I385" i="2"/>
  <c r="I316" i="2"/>
  <c r="I317" i="2"/>
  <c r="J385" i="2"/>
  <c r="K385" i="2"/>
  <c r="K316" i="2"/>
  <c r="K317" i="2"/>
  <c r="L385" i="2"/>
  <c r="M385" i="2"/>
  <c r="M316" i="2"/>
  <c r="M317" i="2"/>
  <c r="N385" i="2"/>
  <c r="O385" i="2"/>
  <c r="O316" i="2"/>
  <c r="O317" i="2"/>
  <c r="C386" i="2"/>
  <c r="D386" i="2"/>
  <c r="E386" i="2"/>
  <c r="F386" i="2"/>
  <c r="G386" i="2"/>
  <c r="H386" i="2"/>
  <c r="I386" i="2"/>
  <c r="J386" i="2"/>
  <c r="K386" i="2"/>
  <c r="L386" i="2"/>
  <c r="M386" i="2"/>
  <c r="N386" i="2"/>
  <c r="O386" i="2"/>
  <c r="C387" i="2"/>
  <c r="D387" i="2"/>
  <c r="E387" i="2"/>
  <c r="F387" i="2"/>
  <c r="G387" i="2"/>
  <c r="H387" i="2"/>
  <c r="I387" i="2"/>
  <c r="J387" i="2"/>
  <c r="K387" i="2"/>
  <c r="L387" i="2"/>
  <c r="M387" i="2"/>
  <c r="N387" i="2"/>
  <c r="O387" i="2"/>
  <c r="C392" i="2"/>
  <c r="C329" i="2"/>
  <c r="D392" i="2"/>
  <c r="D329" i="2"/>
  <c r="E392" i="2"/>
  <c r="E737" i="2"/>
  <c r="F392" i="2"/>
  <c r="G392" i="2"/>
  <c r="H392" i="2"/>
  <c r="I392" i="2"/>
  <c r="J392" i="2"/>
  <c r="J329" i="2"/>
  <c r="K392" i="2"/>
  <c r="L392" i="2"/>
  <c r="L329" i="2"/>
  <c r="M392" i="2"/>
  <c r="N392" i="2"/>
  <c r="N329" i="2"/>
  <c r="O392" i="2"/>
  <c r="C398" i="2"/>
  <c r="D398" i="2"/>
  <c r="D531" i="2"/>
  <c r="D532" i="2"/>
  <c r="E398" i="2"/>
  <c r="E531" i="2"/>
  <c r="E532" i="2"/>
  <c r="F398" i="2"/>
  <c r="F531" i="2"/>
  <c r="F532" i="2"/>
  <c r="G398" i="2"/>
  <c r="G531" i="2"/>
  <c r="G532" i="2"/>
  <c r="H398" i="2"/>
  <c r="H531" i="2"/>
  <c r="H532" i="2"/>
  <c r="I398" i="2"/>
  <c r="I531" i="2"/>
  <c r="I532" i="2"/>
  <c r="J398" i="2"/>
  <c r="K398" i="2"/>
  <c r="K531" i="2"/>
  <c r="L398" i="2"/>
  <c r="M398" i="2"/>
  <c r="N398" i="2"/>
  <c r="O398" i="2"/>
  <c r="C399" i="2"/>
  <c r="D399" i="2"/>
  <c r="E399" i="2"/>
  <c r="F399" i="2"/>
  <c r="G399" i="2"/>
  <c r="H399" i="2"/>
  <c r="I399" i="2"/>
  <c r="J399" i="2"/>
  <c r="K399" i="2"/>
  <c r="L399" i="2"/>
  <c r="M399" i="2"/>
  <c r="N399" i="2"/>
  <c r="O399" i="2"/>
  <c r="C400" i="2"/>
  <c r="D400" i="2"/>
  <c r="E400" i="2"/>
  <c r="F400" i="2"/>
  <c r="G400" i="2"/>
  <c r="H400" i="2"/>
  <c r="I400" i="2"/>
  <c r="K400" i="2"/>
  <c r="L400" i="2"/>
  <c r="M400" i="2"/>
  <c r="N400" i="2"/>
  <c r="O400" i="2"/>
  <c r="C408" i="2"/>
  <c r="D408" i="2"/>
  <c r="E408" i="2"/>
  <c r="F408" i="2"/>
  <c r="G408" i="2"/>
  <c r="H408" i="2"/>
  <c r="I408" i="2"/>
  <c r="J408" i="2"/>
  <c r="K408" i="2"/>
  <c r="L408" i="2"/>
  <c r="M408" i="2"/>
  <c r="N408" i="2"/>
  <c r="O408" i="2"/>
  <c r="C412" i="2"/>
  <c r="D412" i="2"/>
  <c r="E412" i="2"/>
  <c r="F412" i="2"/>
  <c r="G412" i="2"/>
  <c r="H412" i="2"/>
  <c r="I412" i="2"/>
  <c r="J412" i="2"/>
  <c r="K412" i="2"/>
  <c r="L412" i="2"/>
  <c r="M412" i="2"/>
  <c r="N412" i="2"/>
  <c r="O412" i="2"/>
  <c r="C426" i="2"/>
  <c r="D426" i="2"/>
  <c r="E426" i="2"/>
  <c r="F426" i="2"/>
  <c r="G426" i="2"/>
  <c r="H426" i="2"/>
  <c r="I426" i="2"/>
  <c r="J426" i="2"/>
  <c r="K426" i="2"/>
  <c r="L426" i="2"/>
  <c r="M426" i="2"/>
  <c r="N426" i="2"/>
  <c r="O426" i="2"/>
  <c r="C429" i="2"/>
  <c r="D429" i="2"/>
  <c r="E429" i="2"/>
  <c r="F429" i="2"/>
  <c r="G429" i="2"/>
  <c r="H429" i="2"/>
  <c r="I429" i="2"/>
  <c r="J429" i="2"/>
  <c r="K429" i="2"/>
  <c r="L429" i="2"/>
  <c r="M429" i="2"/>
  <c r="N429" i="2"/>
  <c r="O429" i="2"/>
  <c r="J432" i="2"/>
  <c r="O432" i="2"/>
  <c r="J433" i="2"/>
  <c r="O433" i="2"/>
  <c r="C434" i="2"/>
  <c r="C436" i="2"/>
  <c r="D434" i="2"/>
  <c r="E434" i="2"/>
  <c r="F434" i="2"/>
  <c r="G434" i="2"/>
  <c r="H434" i="2"/>
  <c r="H436" i="2"/>
  <c r="I434" i="2"/>
  <c r="J434" i="2"/>
  <c r="K434" i="2"/>
  <c r="L434" i="2"/>
  <c r="M434" i="2"/>
  <c r="N434" i="2"/>
  <c r="O434" i="2"/>
  <c r="C435" i="2"/>
  <c r="D435" i="2"/>
  <c r="E435" i="2"/>
  <c r="F435" i="2"/>
  <c r="F436" i="2"/>
  <c r="G435" i="2"/>
  <c r="H435" i="2"/>
  <c r="I435" i="2"/>
  <c r="K435" i="2"/>
  <c r="L435" i="2"/>
  <c r="M435" i="2"/>
  <c r="N435" i="2"/>
  <c r="D436" i="2"/>
  <c r="E436" i="2"/>
  <c r="G436" i="2"/>
  <c r="I436" i="2"/>
  <c r="K436" i="2"/>
  <c r="L436" i="2"/>
  <c r="M436" i="2"/>
  <c r="M441" i="2"/>
  <c r="N436" i="2"/>
  <c r="N441" i="2"/>
  <c r="E442" i="2"/>
  <c r="L442" i="2"/>
  <c r="C444" i="2"/>
  <c r="J450" i="2"/>
  <c r="O450" i="2"/>
  <c r="J451" i="2"/>
  <c r="O451" i="2"/>
  <c r="J452" i="2"/>
  <c r="O452" i="2"/>
  <c r="C453" i="2"/>
  <c r="D449" i="2"/>
  <c r="D453" i="2"/>
  <c r="E449" i="2"/>
  <c r="E453" i="2"/>
  <c r="F449" i="2"/>
  <c r="F453" i="2"/>
  <c r="G449" i="2"/>
  <c r="C455" i="2"/>
  <c r="F455" i="2"/>
  <c r="F459" i="2"/>
  <c r="C456" i="2"/>
  <c r="D456" i="2"/>
  <c r="E456" i="2"/>
  <c r="F456" i="2"/>
  <c r="G456" i="2"/>
  <c r="H456" i="2"/>
  <c r="I456" i="2"/>
  <c r="I468" i="2"/>
  <c r="J456" i="2"/>
  <c r="K456" i="2"/>
  <c r="L456" i="2"/>
  <c r="M456" i="2"/>
  <c r="N456" i="2"/>
  <c r="O456" i="2"/>
  <c r="C457" i="2"/>
  <c r="D457" i="2"/>
  <c r="E457" i="2"/>
  <c r="F457" i="2"/>
  <c r="G457" i="2"/>
  <c r="H457" i="2"/>
  <c r="I457" i="2"/>
  <c r="J457" i="2"/>
  <c r="K457" i="2"/>
  <c r="L457" i="2"/>
  <c r="M457" i="2"/>
  <c r="N457" i="2"/>
  <c r="O457" i="2"/>
  <c r="C458" i="2"/>
  <c r="D458" i="2"/>
  <c r="E458" i="2"/>
  <c r="F458" i="2"/>
  <c r="G458" i="2"/>
  <c r="H458" i="2"/>
  <c r="I458" i="2"/>
  <c r="J458" i="2"/>
  <c r="K458" i="2"/>
  <c r="L458" i="2"/>
  <c r="M458" i="2"/>
  <c r="N458" i="2"/>
  <c r="O458" i="2"/>
  <c r="O470" i="2"/>
  <c r="C459" i="2"/>
  <c r="D455" i="2"/>
  <c r="D459" i="2"/>
  <c r="E455" i="2"/>
  <c r="E459" i="2"/>
  <c r="D461" i="2"/>
  <c r="E461" i="2"/>
  <c r="F461" i="2"/>
  <c r="F467" i="2"/>
  <c r="G461" i="2"/>
  <c r="H461" i="2"/>
  <c r="I461" i="2"/>
  <c r="J461" i="2"/>
  <c r="K461" i="2"/>
  <c r="L461" i="2"/>
  <c r="M461" i="2"/>
  <c r="N461" i="2"/>
  <c r="J462" i="2"/>
  <c r="O462" i="2"/>
  <c r="J463" i="2"/>
  <c r="O463" i="2"/>
  <c r="J464" i="2"/>
  <c r="O464" i="2"/>
  <c r="J465" i="2"/>
  <c r="J471" i="2"/>
  <c r="O465" i="2"/>
  <c r="C467" i="2"/>
  <c r="D467" i="2"/>
  <c r="E467" i="2"/>
  <c r="K467" i="2"/>
  <c r="C468" i="2"/>
  <c r="D468" i="2"/>
  <c r="E468" i="2"/>
  <c r="F468" i="2"/>
  <c r="G468" i="2"/>
  <c r="H468" i="2"/>
  <c r="J468" i="2"/>
  <c r="K468" i="2"/>
  <c r="L468" i="2"/>
  <c r="M468" i="2"/>
  <c r="N468" i="2"/>
  <c r="O468" i="2"/>
  <c r="C469" i="2"/>
  <c r="D469" i="2"/>
  <c r="E469" i="2"/>
  <c r="F469" i="2"/>
  <c r="G469" i="2"/>
  <c r="H469" i="2"/>
  <c r="I469" i="2"/>
  <c r="J469" i="2"/>
  <c r="K469" i="2"/>
  <c r="L469" i="2"/>
  <c r="M469" i="2"/>
  <c r="N469" i="2"/>
  <c r="O469" i="2"/>
  <c r="C470" i="2"/>
  <c r="D470" i="2"/>
  <c r="E470" i="2"/>
  <c r="F470" i="2"/>
  <c r="G470" i="2"/>
  <c r="H470" i="2"/>
  <c r="I470" i="2"/>
  <c r="J470" i="2"/>
  <c r="K470" i="2"/>
  <c r="L470" i="2"/>
  <c r="M470" i="2"/>
  <c r="N470" i="2"/>
  <c r="C471" i="2"/>
  <c r="D471" i="2"/>
  <c r="E471" i="2"/>
  <c r="F471" i="2"/>
  <c r="G467" i="2"/>
  <c r="G471" i="2"/>
  <c r="H467" i="2"/>
  <c r="H471" i="2"/>
  <c r="I467" i="2"/>
  <c r="I471" i="2"/>
  <c r="J467" i="2"/>
  <c r="K471" i="2"/>
  <c r="L467" i="2"/>
  <c r="L471" i="2"/>
  <c r="M467" i="2"/>
  <c r="M471" i="2"/>
  <c r="N467" i="2"/>
  <c r="N471" i="2"/>
  <c r="O467" i="2"/>
  <c r="O471" i="2"/>
  <c r="J474" i="2"/>
  <c r="O474" i="2"/>
  <c r="J475" i="2"/>
  <c r="O475" i="2"/>
  <c r="J477" i="2"/>
  <c r="J435" i="2"/>
  <c r="O477" i="2"/>
  <c r="O435" i="2"/>
  <c r="O436" i="2"/>
  <c r="J478" i="2"/>
  <c r="O478" i="2"/>
  <c r="J480" i="2"/>
  <c r="O480" i="2"/>
  <c r="J481" i="2"/>
  <c r="O481" i="2"/>
  <c r="J487" i="2"/>
  <c r="O487" i="2"/>
  <c r="J488" i="2"/>
  <c r="O488" i="2"/>
  <c r="K504" i="2"/>
  <c r="C520" i="2"/>
  <c r="D520" i="2"/>
  <c r="D525" i="2"/>
  <c r="E520" i="2"/>
  <c r="F520" i="2"/>
  <c r="G520" i="2"/>
  <c r="H520" i="2"/>
  <c r="I520" i="2"/>
  <c r="K520" i="2"/>
  <c r="L520" i="2"/>
  <c r="M520" i="2"/>
  <c r="N520" i="2"/>
  <c r="C522" i="2"/>
  <c r="D522" i="2"/>
  <c r="E522" i="2"/>
  <c r="F522" i="2"/>
  <c r="G522" i="2"/>
  <c r="H522" i="2"/>
  <c r="I522" i="2"/>
  <c r="J522" i="2"/>
  <c r="K522" i="2"/>
  <c r="L522" i="2"/>
  <c r="M522" i="2"/>
  <c r="N522" i="2"/>
  <c r="O522" i="2"/>
  <c r="C523" i="2"/>
  <c r="D523" i="2"/>
  <c r="E523" i="2"/>
  <c r="F523" i="2"/>
  <c r="G523" i="2"/>
  <c r="H523" i="2"/>
  <c r="I523" i="2"/>
  <c r="J523" i="2"/>
  <c r="J799" i="2"/>
  <c r="K523" i="2"/>
  <c r="L523" i="2"/>
  <c r="M523" i="2"/>
  <c r="N523" i="2"/>
  <c r="O523" i="2"/>
  <c r="C524" i="2"/>
  <c r="D524" i="2"/>
  <c r="E524" i="2"/>
  <c r="F524" i="2"/>
  <c r="G524" i="2"/>
  <c r="H524" i="2"/>
  <c r="I524" i="2"/>
  <c r="J524" i="2"/>
  <c r="K524" i="2"/>
  <c r="L524" i="2"/>
  <c r="M524" i="2"/>
  <c r="M525" i="2"/>
  <c r="N524" i="2"/>
  <c r="O524" i="2"/>
  <c r="C525" i="2"/>
  <c r="E525" i="2"/>
  <c r="F525" i="2"/>
  <c r="G525" i="2"/>
  <c r="H525" i="2"/>
  <c r="I525" i="2"/>
  <c r="K525" i="2"/>
  <c r="L525" i="2"/>
  <c r="N525" i="2"/>
  <c r="C531" i="2"/>
  <c r="J531" i="2"/>
  <c r="L531" i="2"/>
  <c r="M531" i="2"/>
  <c r="N531" i="2"/>
  <c r="O531" i="2"/>
  <c r="E535" i="2"/>
  <c r="F535" i="2"/>
  <c r="K535" i="2"/>
  <c r="E536" i="2"/>
  <c r="F536" i="2"/>
  <c r="K536" i="2"/>
  <c r="I552" i="2" a="1"/>
  <c r="I552" i="2"/>
  <c r="I430" i="2"/>
  <c r="G554" i="2" a="1"/>
  <c r="G554" i="2"/>
  <c r="O554" i="2" a="1"/>
  <c r="O554" i="2"/>
  <c r="C558" i="2"/>
  <c r="D558" i="2"/>
  <c r="E558" i="2"/>
  <c r="F558" i="2"/>
  <c r="G558" i="2"/>
  <c r="H558" i="2"/>
  <c r="I558" i="2"/>
  <c r="J558" i="2"/>
  <c r="K558" i="2"/>
  <c r="L558" i="2"/>
  <c r="M558" i="2"/>
  <c r="N558" i="2"/>
  <c r="O558" i="2"/>
  <c r="J564" i="2"/>
  <c r="O564" i="2"/>
  <c r="J565" i="2"/>
  <c r="J51" i="2"/>
  <c r="J49" i="2"/>
  <c r="O565" i="2"/>
  <c r="O51" i="2"/>
  <c r="O49" i="2"/>
  <c r="O721" i="2"/>
  <c r="J566" i="2"/>
  <c r="O566" i="2"/>
  <c r="O637" i="2"/>
  <c r="J567" i="2"/>
  <c r="O567" i="2"/>
  <c r="O638" i="2"/>
  <c r="O404" i="2"/>
  <c r="J568" i="2"/>
  <c r="O568" i="2"/>
  <c r="O639" i="2"/>
  <c r="O393" i="2"/>
  <c r="O330" i="2"/>
  <c r="J570" i="2"/>
  <c r="O570" i="2"/>
  <c r="J571" i="2"/>
  <c r="O571" i="2"/>
  <c r="J572" i="2"/>
  <c r="O572" i="2"/>
  <c r="O643" i="2"/>
  <c r="C573" i="2"/>
  <c r="D573" i="2"/>
  <c r="D587" i="2"/>
  <c r="E573" i="2"/>
  <c r="F573" i="2"/>
  <c r="F587" i="2"/>
  <c r="G573" i="2"/>
  <c r="H573" i="2"/>
  <c r="H587" i="2"/>
  <c r="I573" i="2"/>
  <c r="J573" i="2"/>
  <c r="K573" i="2"/>
  <c r="L573" i="2"/>
  <c r="M573" i="2"/>
  <c r="N573" i="2"/>
  <c r="N587" i="2"/>
  <c r="J574" i="2"/>
  <c r="O574" i="2"/>
  <c r="J575" i="2"/>
  <c r="J646" i="2"/>
  <c r="O575" i="2"/>
  <c r="J577" i="2"/>
  <c r="J648" i="2"/>
  <c r="O577" i="2"/>
  <c r="J578" i="2"/>
  <c r="O578" i="2"/>
  <c r="J579" i="2"/>
  <c r="O579" i="2"/>
  <c r="J581" i="2"/>
  <c r="J652" i="2"/>
  <c r="O581" i="2"/>
  <c r="J582" i="2"/>
  <c r="O582" i="2"/>
  <c r="J584" i="2"/>
  <c r="O584" i="2"/>
  <c r="O655" i="2"/>
  <c r="J585" i="2"/>
  <c r="O585" i="2"/>
  <c r="J586" i="2"/>
  <c r="O586" i="2"/>
  <c r="C587" i="2"/>
  <c r="E587" i="2"/>
  <c r="G587" i="2"/>
  <c r="I587" i="2"/>
  <c r="K587" i="2"/>
  <c r="L587" i="2"/>
  <c r="M587" i="2"/>
  <c r="J590" i="2"/>
  <c r="O590" i="2"/>
  <c r="J591" i="2"/>
  <c r="J662" i="2"/>
  <c r="J728" i="2"/>
  <c r="O591" i="2"/>
  <c r="J594" i="2"/>
  <c r="O594" i="2"/>
  <c r="J596" i="2"/>
  <c r="O596" i="2"/>
  <c r="J597" i="2"/>
  <c r="O597" i="2"/>
  <c r="O668" i="2"/>
  <c r="O502" i="2"/>
  <c r="C599" i="2"/>
  <c r="D599" i="2"/>
  <c r="E599" i="2"/>
  <c r="F599" i="2"/>
  <c r="G599" i="2"/>
  <c r="H599" i="2"/>
  <c r="I599" i="2"/>
  <c r="J599" i="2"/>
  <c r="K599" i="2"/>
  <c r="L599" i="2"/>
  <c r="M599" i="2"/>
  <c r="N599" i="2"/>
  <c r="J603" i="2"/>
  <c r="O603" i="2"/>
  <c r="J604" i="2"/>
  <c r="J675" i="2"/>
  <c r="O604" i="2"/>
  <c r="O675" i="2"/>
  <c r="J605" i="2"/>
  <c r="O605" i="2"/>
  <c r="J606" i="2"/>
  <c r="O606" i="2"/>
  <c r="J609" i="2"/>
  <c r="J680" i="2"/>
  <c r="O609" i="2"/>
  <c r="J610" i="2"/>
  <c r="O610" i="2"/>
  <c r="J611" i="2"/>
  <c r="O611" i="2"/>
  <c r="J612" i="2"/>
  <c r="O612" i="2"/>
  <c r="J620" i="2"/>
  <c r="O620" i="2"/>
  <c r="J621" i="2"/>
  <c r="J692" i="2"/>
  <c r="O621" i="2"/>
  <c r="C622" i="2"/>
  <c r="C625" i="2"/>
  <c r="C628" i="2"/>
  <c r="D627" i="2"/>
  <c r="D622" i="2"/>
  <c r="E622" i="2"/>
  <c r="E625" i="2"/>
  <c r="F622" i="2"/>
  <c r="G622" i="2"/>
  <c r="G625" i="2"/>
  <c r="H622" i="2"/>
  <c r="I622" i="2"/>
  <c r="I625" i="2"/>
  <c r="K622" i="2"/>
  <c r="K625" i="2"/>
  <c r="L622" i="2"/>
  <c r="M622" i="2"/>
  <c r="M625" i="2"/>
  <c r="N622" i="2"/>
  <c r="O622" i="2"/>
  <c r="J624" i="2"/>
  <c r="O624" i="2"/>
  <c r="O695" i="2"/>
  <c r="L625" i="2"/>
  <c r="J630" i="2"/>
  <c r="O630" i="2"/>
  <c r="J631" i="2"/>
  <c r="O631" i="2"/>
  <c r="C635" i="2"/>
  <c r="D635" i="2"/>
  <c r="E635" i="2"/>
  <c r="F635" i="2"/>
  <c r="G635" i="2"/>
  <c r="H635" i="2"/>
  <c r="I635" i="2"/>
  <c r="J635" i="2"/>
  <c r="K635" i="2"/>
  <c r="L635" i="2"/>
  <c r="M635" i="2"/>
  <c r="N635" i="2"/>
  <c r="C636" i="2"/>
  <c r="D636" i="2"/>
  <c r="E636" i="2"/>
  <c r="F636" i="2"/>
  <c r="G636" i="2"/>
  <c r="H636" i="2"/>
  <c r="I636" i="2"/>
  <c r="J636" i="2"/>
  <c r="K636" i="2"/>
  <c r="L636" i="2"/>
  <c r="M636" i="2"/>
  <c r="N636" i="2"/>
  <c r="O636" i="2"/>
  <c r="C637" i="2"/>
  <c r="D637" i="2"/>
  <c r="E637" i="2"/>
  <c r="F637" i="2"/>
  <c r="G637" i="2"/>
  <c r="H637" i="2"/>
  <c r="I637" i="2"/>
  <c r="J637" i="2"/>
  <c r="K637" i="2"/>
  <c r="L637" i="2"/>
  <c r="M637" i="2"/>
  <c r="N637" i="2"/>
  <c r="C638" i="2"/>
  <c r="C404" i="2"/>
  <c r="D638" i="2"/>
  <c r="D404" i="2"/>
  <c r="E638" i="2"/>
  <c r="E404" i="2"/>
  <c r="F638" i="2"/>
  <c r="F404" i="2"/>
  <c r="G638" i="2"/>
  <c r="G404" i="2"/>
  <c r="G403" i="2"/>
  <c r="H638" i="2"/>
  <c r="H404" i="2"/>
  <c r="I638" i="2"/>
  <c r="I404" i="2"/>
  <c r="J638" i="2"/>
  <c r="J404" i="2"/>
  <c r="K638" i="2"/>
  <c r="K404" i="2"/>
  <c r="L638" i="2"/>
  <c r="L404" i="2"/>
  <c r="M638" i="2"/>
  <c r="M404" i="2"/>
  <c r="N638" i="2"/>
  <c r="N404" i="2"/>
  <c r="C639" i="2"/>
  <c r="C393" i="2"/>
  <c r="D639" i="2"/>
  <c r="D393" i="2"/>
  <c r="D330" i="2"/>
  <c r="E639" i="2"/>
  <c r="E393" i="2"/>
  <c r="F639" i="2"/>
  <c r="F393" i="2"/>
  <c r="G639" i="2"/>
  <c r="G393" i="2"/>
  <c r="H639" i="2"/>
  <c r="H393" i="2"/>
  <c r="H330" i="2"/>
  <c r="I639" i="2"/>
  <c r="I393" i="2"/>
  <c r="J639" i="2"/>
  <c r="J393" i="2"/>
  <c r="J330" i="2"/>
  <c r="K639" i="2"/>
  <c r="K393" i="2"/>
  <c r="K330" i="2"/>
  <c r="L639" i="2"/>
  <c r="L393" i="2"/>
  <c r="L330" i="2"/>
  <c r="M639" i="2"/>
  <c r="M393" i="2"/>
  <c r="N639" i="2"/>
  <c r="N393" i="2"/>
  <c r="N330" i="2"/>
  <c r="C640" i="2"/>
  <c r="D640" i="2"/>
  <c r="E640" i="2"/>
  <c r="F640" i="2"/>
  <c r="G640" i="2"/>
  <c r="H640" i="2"/>
  <c r="I640" i="2"/>
  <c r="J640" i="2"/>
  <c r="K640" i="2"/>
  <c r="L640" i="2"/>
  <c r="M640" i="2"/>
  <c r="N640" i="2"/>
  <c r="O640" i="2"/>
  <c r="C641" i="2"/>
  <c r="D641" i="2"/>
  <c r="E641" i="2"/>
  <c r="F641" i="2"/>
  <c r="G641" i="2"/>
  <c r="H641" i="2"/>
  <c r="I641" i="2"/>
  <c r="J641" i="2"/>
  <c r="K641" i="2"/>
  <c r="L641" i="2"/>
  <c r="M641" i="2"/>
  <c r="N641" i="2"/>
  <c r="O641" i="2"/>
  <c r="C642" i="2"/>
  <c r="D642" i="2"/>
  <c r="E642" i="2"/>
  <c r="F642" i="2"/>
  <c r="G642" i="2"/>
  <c r="H642" i="2"/>
  <c r="I642" i="2"/>
  <c r="J642" i="2"/>
  <c r="K642" i="2"/>
  <c r="L642" i="2"/>
  <c r="M642" i="2"/>
  <c r="N642" i="2"/>
  <c r="O642" i="2"/>
  <c r="C643" i="2"/>
  <c r="D643" i="2"/>
  <c r="E643" i="2"/>
  <c r="F643" i="2"/>
  <c r="F644" i="2"/>
  <c r="G643" i="2"/>
  <c r="H643" i="2"/>
  <c r="I643" i="2"/>
  <c r="J643" i="2"/>
  <c r="K643" i="2"/>
  <c r="L643" i="2"/>
  <c r="M643" i="2"/>
  <c r="N643" i="2"/>
  <c r="C644" i="2"/>
  <c r="C493" i="2"/>
  <c r="I644" i="2"/>
  <c r="I493" i="2"/>
  <c r="C645" i="2"/>
  <c r="D645" i="2"/>
  <c r="E645" i="2"/>
  <c r="F645" i="2"/>
  <c r="G645" i="2"/>
  <c r="H645" i="2"/>
  <c r="I645" i="2"/>
  <c r="J645" i="2"/>
  <c r="K645" i="2"/>
  <c r="L645" i="2"/>
  <c r="M645" i="2"/>
  <c r="N645" i="2"/>
  <c r="O645" i="2"/>
  <c r="C646" i="2"/>
  <c r="D646" i="2"/>
  <c r="E646" i="2"/>
  <c r="F646" i="2"/>
  <c r="G646" i="2"/>
  <c r="H646" i="2"/>
  <c r="I646" i="2"/>
  <c r="K646" i="2"/>
  <c r="L646" i="2"/>
  <c r="M646" i="2"/>
  <c r="N646" i="2"/>
  <c r="O646" i="2"/>
  <c r="C647" i="2"/>
  <c r="D647" i="2"/>
  <c r="E647" i="2"/>
  <c r="F647" i="2"/>
  <c r="G647" i="2"/>
  <c r="H647" i="2"/>
  <c r="I647" i="2"/>
  <c r="J647" i="2"/>
  <c r="K647" i="2"/>
  <c r="L647" i="2"/>
  <c r="M647" i="2"/>
  <c r="N647" i="2"/>
  <c r="O647" i="2"/>
  <c r="C648" i="2"/>
  <c r="D648" i="2"/>
  <c r="E648" i="2"/>
  <c r="F648" i="2"/>
  <c r="G648" i="2"/>
  <c r="H648" i="2"/>
  <c r="I648" i="2"/>
  <c r="K648" i="2"/>
  <c r="L648" i="2"/>
  <c r="M648" i="2"/>
  <c r="N648" i="2"/>
  <c r="O648" i="2"/>
  <c r="C649" i="2"/>
  <c r="D649" i="2"/>
  <c r="E649" i="2"/>
  <c r="F649" i="2"/>
  <c r="G649" i="2"/>
  <c r="H649" i="2"/>
  <c r="I649" i="2"/>
  <c r="J649" i="2"/>
  <c r="K649" i="2"/>
  <c r="L649" i="2"/>
  <c r="M649" i="2"/>
  <c r="N649" i="2"/>
  <c r="O649" i="2"/>
  <c r="C650" i="2"/>
  <c r="D650" i="2"/>
  <c r="E650" i="2"/>
  <c r="F650" i="2"/>
  <c r="G650" i="2"/>
  <c r="H650" i="2"/>
  <c r="I650" i="2"/>
  <c r="J650" i="2"/>
  <c r="K650" i="2"/>
  <c r="L650" i="2"/>
  <c r="M650" i="2"/>
  <c r="N650" i="2"/>
  <c r="O650" i="2"/>
  <c r="C651" i="2"/>
  <c r="D651" i="2"/>
  <c r="E651" i="2"/>
  <c r="F651" i="2"/>
  <c r="G651" i="2"/>
  <c r="H651" i="2"/>
  <c r="I651" i="2"/>
  <c r="J651" i="2"/>
  <c r="K651" i="2"/>
  <c r="L651" i="2"/>
  <c r="M651" i="2"/>
  <c r="N651" i="2"/>
  <c r="O651" i="2"/>
  <c r="C652" i="2"/>
  <c r="D652" i="2"/>
  <c r="E652" i="2"/>
  <c r="F652" i="2"/>
  <c r="G652" i="2"/>
  <c r="H652" i="2"/>
  <c r="I652" i="2"/>
  <c r="K652" i="2"/>
  <c r="L652" i="2"/>
  <c r="M652" i="2"/>
  <c r="N652" i="2"/>
  <c r="O652" i="2"/>
  <c r="C653" i="2"/>
  <c r="D653" i="2"/>
  <c r="E653" i="2"/>
  <c r="F653" i="2"/>
  <c r="G653" i="2"/>
  <c r="H653" i="2"/>
  <c r="I653" i="2"/>
  <c r="J653" i="2"/>
  <c r="K653" i="2"/>
  <c r="L653" i="2"/>
  <c r="M653" i="2"/>
  <c r="N653" i="2"/>
  <c r="O653" i="2"/>
  <c r="C654" i="2"/>
  <c r="D654" i="2"/>
  <c r="E654" i="2"/>
  <c r="F654" i="2"/>
  <c r="G654" i="2"/>
  <c r="H654" i="2"/>
  <c r="I654" i="2"/>
  <c r="J654" i="2"/>
  <c r="K654" i="2"/>
  <c r="L654" i="2"/>
  <c r="M654" i="2"/>
  <c r="N654" i="2"/>
  <c r="O654" i="2"/>
  <c r="C655" i="2"/>
  <c r="D655" i="2"/>
  <c r="E655" i="2"/>
  <c r="F655" i="2"/>
  <c r="G655" i="2"/>
  <c r="H655" i="2"/>
  <c r="I655" i="2"/>
  <c r="J655" i="2"/>
  <c r="K655" i="2"/>
  <c r="L655" i="2"/>
  <c r="M655" i="2"/>
  <c r="N655" i="2"/>
  <c r="C656" i="2"/>
  <c r="D656" i="2"/>
  <c r="E656" i="2"/>
  <c r="F656" i="2"/>
  <c r="G656" i="2"/>
  <c r="H656" i="2"/>
  <c r="I656" i="2"/>
  <c r="J656" i="2"/>
  <c r="K656" i="2"/>
  <c r="L656" i="2"/>
  <c r="M656" i="2"/>
  <c r="N656" i="2"/>
  <c r="O656" i="2"/>
  <c r="C657" i="2"/>
  <c r="D657" i="2"/>
  <c r="E657" i="2"/>
  <c r="F657" i="2"/>
  <c r="G657" i="2"/>
  <c r="H657" i="2"/>
  <c r="I657" i="2"/>
  <c r="J657" i="2"/>
  <c r="K657" i="2"/>
  <c r="L657" i="2"/>
  <c r="M657" i="2"/>
  <c r="N657" i="2"/>
  <c r="O657" i="2"/>
  <c r="C661" i="2"/>
  <c r="D661" i="2"/>
  <c r="E661" i="2"/>
  <c r="F661" i="2"/>
  <c r="G661" i="2"/>
  <c r="H661" i="2"/>
  <c r="I661" i="2"/>
  <c r="J661" i="2"/>
  <c r="K661" i="2"/>
  <c r="L661" i="2"/>
  <c r="M661" i="2"/>
  <c r="N661" i="2"/>
  <c r="C662" i="2"/>
  <c r="D662" i="2"/>
  <c r="E662" i="2"/>
  <c r="F662" i="2"/>
  <c r="G662" i="2"/>
  <c r="H662" i="2"/>
  <c r="I662" i="2"/>
  <c r="K662" i="2"/>
  <c r="K499" i="2"/>
  <c r="L662" i="2"/>
  <c r="M662" i="2"/>
  <c r="N662" i="2"/>
  <c r="O662" i="2"/>
  <c r="O728" i="2"/>
  <c r="C663" i="2"/>
  <c r="D663" i="2"/>
  <c r="E663" i="2"/>
  <c r="F663" i="2"/>
  <c r="G663" i="2"/>
  <c r="H663" i="2"/>
  <c r="I663" i="2"/>
  <c r="J663" i="2"/>
  <c r="K663" i="2"/>
  <c r="L663" i="2"/>
  <c r="M663" i="2"/>
  <c r="N663" i="2"/>
  <c r="O663" i="2"/>
  <c r="C664" i="2"/>
  <c r="D664" i="2"/>
  <c r="E664" i="2"/>
  <c r="F664" i="2"/>
  <c r="G664" i="2"/>
  <c r="H664" i="2"/>
  <c r="I664" i="2"/>
  <c r="J664" i="2"/>
  <c r="K664" i="2"/>
  <c r="L664" i="2"/>
  <c r="M664" i="2"/>
  <c r="N664" i="2"/>
  <c r="O664" i="2"/>
  <c r="C665" i="2"/>
  <c r="D665" i="2"/>
  <c r="E665" i="2"/>
  <c r="F665" i="2"/>
  <c r="G665" i="2"/>
  <c r="H665" i="2"/>
  <c r="I665" i="2"/>
  <c r="J665" i="2"/>
  <c r="K665" i="2"/>
  <c r="L665" i="2"/>
  <c r="M665" i="2"/>
  <c r="N665" i="2"/>
  <c r="O665" i="2"/>
  <c r="C666" i="2"/>
  <c r="D666" i="2"/>
  <c r="E666" i="2"/>
  <c r="F666" i="2"/>
  <c r="G666" i="2"/>
  <c r="H666" i="2"/>
  <c r="I666" i="2"/>
  <c r="J666" i="2"/>
  <c r="K666" i="2"/>
  <c r="L666" i="2"/>
  <c r="M666" i="2"/>
  <c r="N666" i="2"/>
  <c r="O666" i="2"/>
  <c r="C667" i="2"/>
  <c r="D667" i="2"/>
  <c r="E667" i="2"/>
  <c r="F667" i="2"/>
  <c r="G667" i="2"/>
  <c r="H667" i="2"/>
  <c r="I667" i="2"/>
  <c r="J667" i="2"/>
  <c r="K667" i="2"/>
  <c r="L667" i="2"/>
  <c r="M667" i="2"/>
  <c r="N667" i="2"/>
  <c r="O667" i="2"/>
  <c r="C668" i="2"/>
  <c r="C502" i="2"/>
  <c r="D668" i="2"/>
  <c r="D502" i="2"/>
  <c r="E668" i="2"/>
  <c r="E502" i="2"/>
  <c r="F668" i="2"/>
  <c r="F502" i="2"/>
  <c r="G668" i="2"/>
  <c r="G502" i="2"/>
  <c r="H668" i="2"/>
  <c r="H502" i="2"/>
  <c r="I668" i="2"/>
  <c r="I502" i="2"/>
  <c r="J668" i="2"/>
  <c r="J502" i="2"/>
  <c r="K668" i="2"/>
  <c r="K502" i="2"/>
  <c r="L668" i="2"/>
  <c r="L502" i="2"/>
  <c r="M668" i="2"/>
  <c r="M502" i="2"/>
  <c r="N668" i="2"/>
  <c r="N502" i="2"/>
  <c r="C669" i="2"/>
  <c r="D669" i="2"/>
  <c r="E669" i="2"/>
  <c r="F669" i="2"/>
  <c r="G669" i="2"/>
  <c r="H669" i="2"/>
  <c r="I669" i="2"/>
  <c r="J669" i="2"/>
  <c r="K669" i="2"/>
  <c r="L669" i="2"/>
  <c r="M669" i="2"/>
  <c r="N669" i="2"/>
  <c r="N670" i="2"/>
  <c r="O669" i="2"/>
  <c r="K670" i="2"/>
  <c r="C673" i="2"/>
  <c r="D673" i="2"/>
  <c r="E673" i="2"/>
  <c r="F673" i="2"/>
  <c r="G673" i="2"/>
  <c r="H673" i="2"/>
  <c r="I673" i="2"/>
  <c r="J673" i="2"/>
  <c r="K673" i="2"/>
  <c r="L673" i="2"/>
  <c r="M673" i="2"/>
  <c r="N673" i="2"/>
  <c r="O673" i="2"/>
  <c r="C674" i="2"/>
  <c r="D674" i="2"/>
  <c r="E674" i="2"/>
  <c r="F674" i="2"/>
  <c r="G674" i="2"/>
  <c r="H674" i="2"/>
  <c r="I674" i="2"/>
  <c r="J674" i="2"/>
  <c r="K674" i="2"/>
  <c r="L674" i="2"/>
  <c r="M674" i="2"/>
  <c r="N674" i="2"/>
  <c r="O674" i="2"/>
  <c r="C675" i="2"/>
  <c r="D675" i="2"/>
  <c r="E675" i="2"/>
  <c r="F675" i="2"/>
  <c r="G675" i="2"/>
  <c r="H675" i="2"/>
  <c r="I675" i="2"/>
  <c r="K675" i="2"/>
  <c r="L675" i="2"/>
  <c r="M675" i="2"/>
  <c r="N675" i="2"/>
  <c r="C676" i="2"/>
  <c r="D676" i="2"/>
  <c r="E676" i="2"/>
  <c r="F676" i="2"/>
  <c r="G676" i="2"/>
  <c r="H676" i="2"/>
  <c r="I676" i="2"/>
  <c r="J676" i="2"/>
  <c r="K676" i="2"/>
  <c r="L676" i="2"/>
  <c r="M676" i="2"/>
  <c r="N676" i="2"/>
  <c r="O676" i="2"/>
  <c r="C677" i="2"/>
  <c r="D677" i="2"/>
  <c r="E677" i="2"/>
  <c r="F677" i="2"/>
  <c r="G677" i="2"/>
  <c r="H677" i="2"/>
  <c r="I677" i="2"/>
  <c r="J677" i="2"/>
  <c r="K677" i="2"/>
  <c r="L677" i="2"/>
  <c r="M677" i="2"/>
  <c r="N677" i="2"/>
  <c r="O677" i="2"/>
  <c r="C678" i="2"/>
  <c r="D678" i="2"/>
  <c r="E678" i="2"/>
  <c r="F678" i="2"/>
  <c r="G678" i="2"/>
  <c r="H678" i="2"/>
  <c r="I678" i="2"/>
  <c r="J678" i="2"/>
  <c r="K678" i="2"/>
  <c r="L678" i="2"/>
  <c r="M678" i="2"/>
  <c r="N678" i="2"/>
  <c r="O678" i="2"/>
  <c r="C679" i="2"/>
  <c r="D679" i="2"/>
  <c r="E679" i="2"/>
  <c r="F679" i="2"/>
  <c r="G679" i="2"/>
  <c r="H679" i="2"/>
  <c r="I679" i="2"/>
  <c r="J679" i="2"/>
  <c r="K679" i="2"/>
  <c r="L679" i="2"/>
  <c r="M679" i="2"/>
  <c r="N679" i="2"/>
  <c r="O679" i="2"/>
  <c r="C680" i="2"/>
  <c r="D680" i="2"/>
  <c r="E680" i="2"/>
  <c r="F680" i="2"/>
  <c r="G680" i="2"/>
  <c r="H680" i="2"/>
  <c r="I680" i="2"/>
  <c r="K680" i="2"/>
  <c r="L680" i="2"/>
  <c r="M680" i="2"/>
  <c r="N680" i="2"/>
  <c r="O680" i="2"/>
  <c r="C681" i="2"/>
  <c r="D681" i="2"/>
  <c r="E681" i="2"/>
  <c r="F681" i="2"/>
  <c r="G681" i="2"/>
  <c r="H681" i="2"/>
  <c r="I681" i="2"/>
  <c r="J681" i="2"/>
  <c r="K681" i="2"/>
  <c r="L681" i="2"/>
  <c r="M681" i="2"/>
  <c r="N681" i="2"/>
  <c r="O681" i="2"/>
  <c r="C682" i="2"/>
  <c r="D682" i="2"/>
  <c r="E682" i="2"/>
  <c r="F682" i="2"/>
  <c r="G682" i="2"/>
  <c r="H682" i="2"/>
  <c r="I682" i="2"/>
  <c r="J682" i="2"/>
  <c r="K682" i="2"/>
  <c r="L682" i="2"/>
  <c r="M682" i="2"/>
  <c r="N682" i="2"/>
  <c r="O682" i="2"/>
  <c r="C683" i="2"/>
  <c r="C503" i="2"/>
  <c r="D683" i="2"/>
  <c r="D503" i="2"/>
  <c r="E683" i="2"/>
  <c r="E503" i="2"/>
  <c r="F683" i="2"/>
  <c r="F503" i="2"/>
  <c r="G683" i="2"/>
  <c r="G503" i="2"/>
  <c r="H683" i="2"/>
  <c r="H503" i="2"/>
  <c r="I683" i="2"/>
  <c r="I503" i="2"/>
  <c r="J683" i="2"/>
  <c r="K683" i="2"/>
  <c r="K503" i="2"/>
  <c r="L683" i="2"/>
  <c r="L503" i="2"/>
  <c r="M683" i="2"/>
  <c r="N683" i="2"/>
  <c r="O683" i="2"/>
  <c r="C684" i="2"/>
  <c r="D684" i="2"/>
  <c r="E684" i="2"/>
  <c r="F684" i="2"/>
  <c r="G684" i="2"/>
  <c r="H684" i="2"/>
  <c r="I684" i="2"/>
  <c r="J684" i="2"/>
  <c r="K684" i="2"/>
  <c r="L684" i="2"/>
  <c r="M684" i="2"/>
  <c r="N684" i="2"/>
  <c r="O684" i="2"/>
  <c r="C685" i="2"/>
  <c r="D685" i="2"/>
  <c r="E685" i="2"/>
  <c r="F685" i="2"/>
  <c r="G685" i="2"/>
  <c r="H685" i="2"/>
  <c r="I685" i="2"/>
  <c r="J685" i="2"/>
  <c r="K685" i="2"/>
  <c r="L685" i="2"/>
  <c r="M685" i="2"/>
  <c r="N685" i="2"/>
  <c r="O685" i="2"/>
  <c r="C686" i="2"/>
  <c r="D686" i="2"/>
  <c r="E686" i="2"/>
  <c r="F686" i="2"/>
  <c r="G686" i="2"/>
  <c r="H686" i="2"/>
  <c r="I686" i="2"/>
  <c r="J686" i="2"/>
  <c r="K686" i="2"/>
  <c r="L686" i="2"/>
  <c r="M686" i="2"/>
  <c r="N686" i="2"/>
  <c r="O686" i="2"/>
  <c r="C687" i="2"/>
  <c r="D687" i="2"/>
  <c r="E687" i="2"/>
  <c r="F687" i="2"/>
  <c r="G687" i="2"/>
  <c r="H687" i="2"/>
  <c r="I687" i="2"/>
  <c r="J687" i="2"/>
  <c r="K687" i="2"/>
  <c r="L687" i="2"/>
  <c r="M687" i="2"/>
  <c r="N687" i="2"/>
  <c r="O687" i="2"/>
  <c r="C688" i="2"/>
  <c r="D688" i="2"/>
  <c r="E688" i="2"/>
  <c r="F688" i="2"/>
  <c r="G688" i="2"/>
  <c r="H688" i="2"/>
  <c r="I688" i="2"/>
  <c r="J688" i="2"/>
  <c r="K688" i="2"/>
  <c r="L688" i="2"/>
  <c r="M688" i="2"/>
  <c r="N688" i="2"/>
  <c r="O688" i="2"/>
  <c r="C689" i="2"/>
  <c r="D689" i="2"/>
  <c r="E689" i="2"/>
  <c r="F689" i="2"/>
  <c r="G689" i="2"/>
  <c r="H689" i="2"/>
  <c r="I689" i="2"/>
  <c r="J689" i="2"/>
  <c r="K689" i="2"/>
  <c r="L689" i="2"/>
  <c r="M689" i="2"/>
  <c r="N689" i="2"/>
  <c r="O689" i="2"/>
  <c r="C690" i="2"/>
  <c r="D690" i="2"/>
  <c r="E690" i="2"/>
  <c r="F690" i="2"/>
  <c r="G690" i="2"/>
  <c r="H690" i="2"/>
  <c r="I690" i="2"/>
  <c r="J690" i="2"/>
  <c r="K690" i="2"/>
  <c r="L690" i="2"/>
  <c r="M690" i="2"/>
  <c r="N690" i="2"/>
  <c r="O690" i="2"/>
  <c r="C691" i="2"/>
  <c r="D691" i="2"/>
  <c r="E691" i="2"/>
  <c r="F691" i="2"/>
  <c r="G691" i="2"/>
  <c r="H691" i="2"/>
  <c r="I691" i="2"/>
  <c r="J691" i="2"/>
  <c r="K691" i="2"/>
  <c r="L691" i="2"/>
  <c r="M691" i="2"/>
  <c r="N691" i="2"/>
  <c r="O691" i="2"/>
  <c r="C692" i="2"/>
  <c r="D692" i="2"/>
  <c r="E692" i="2"/>
  <c r="F692" i="2"/>
  <c r="G692" i="2"/>
  <c r="H692" i="2"/>
  <c r="I692" i="2"/>
  <c r="K692" i="2"/>
  <c r="L692" i="2"/>
  <c r="M692" i="2"/>
  <c r="N692" i="2"/>
  <c r="O692" i="2"/>
  <c r="C695" i="2"/>
  <c r="D695" i="2"/>
  <c r="E695" i="2"/>
  <c r="F695" i="2"/>
  <c r="G695" i="2"/>
  <c r="H695" i="2"/>
  <c r="I695" i="2"/>
  <c r="J695" i="2"/>
  <c r="K695" i="2"/>
  <c r="L695" i="2"/>
  <c r="M695" i="2"/>
  <c r="N695" i="2"/>
  <c r="C698" i="2"/>
  <c r="C701" i="2"/>
  <c r="D701" i="2"/>
  <c r="E701" i="2"/>
  <c r="F701" i="2"/>
  <c r="G701" i="2"/>
  <c r="H701" i="2"/>
  <c r="I701" i="2"/>
  <c r="J701" i="2"/>
  <c r="K701" i="2"/>
  <c r="L701" i="2"/>
  <c r="M701" i="2"/>
  <c r="N701" i="2"/>
  <c r="O701" i="2"/>
  <c r="C702" i="2"/>
  <c r="D702" i="2"/>
  <c r="E702" i="2"/>
  <c r="F702" i="2"/>
  <c r="G702" i="2"/>
  <c r="H702" i="2"/>
  <c r="I702" i="2"/>
  <c r="J702" i="2"/>
  <c r="K702" i="2"/>
  <c r="L702" i="2"/>
  <c r="M702" i="2"/>
  <c r="N702" i="2"/>
  <c r="O702" i="2"/>
  <c r="K707" i="2"/>
  <c r="C708" i="2"/>
  <c r="D708" i="2"/>
  <c r="K708" i="2"/>
  <c r="C709" i="2"/>
  <c r="D709" i="2"/>
  <c r="K709" i="2"/>
  <c r="N709" i="2"/>
  <c r="C711" i="2"/>
  <c r="D717" i="2"/>
  <c r="D711" i="2"/>
  <c r="K711" i="2"/>
  <c r="K720" i="2"/>
  <c r="E721" i="2"/>
  <c r="F721" i="2"/>
  <c r="G721" i="2"/>
  <c r="H721" i="2"/>
  <c r="L721" i="2"/>
  <c r="C724" i="2"/>
  <c r="D720" i="2"/>
  <c r="D724" i="2"/>
  <c r="E720" i="2"/>
  <c r="E724" i="2"/>
  <c r="F720" i="2"/>
  <c r="F734" i="2"/>
  <c r="F724" i="2"/>
  <c r="G720" i="2"/>
  <c r="G724" i="2"/>
  <c r="H720" i="2"/>
  <c r="H724" i="2"/>
  <c r="I720" i="2"/>
  <c r="I724" i="2"/>
  <c r="J720" i="2"/>
  <c r="J724" i="2"/>
  <c r="K724" i="2"/>
  <c r="L720" i="2"/>
  <c r="L724" i="2"/>
  <c r="M720" i="2"/>
  <c r="M724" i="2"/>
  <c r="N720" i="2"/>
  <c r="N724" i="2"/>
  <c r="O720" i="2"/>
  <c r="O724" i="2"/>
  <c r="E726" i="2"/>
  <c r="F726" i="2"/>
  <c r="F735" i="2"/>
  <c r="H726" i="2"/>
  <c r="H735" i="2"/>
  <c r="M726" i="2"/>
  <c r="N726" i="2"/>
  <c r="D728" i="2"/>
  <c r="E728" i="2"/>
  <c r="F728" i="2"/>
  <c r="G728" i="2"/>
  <c r="H728" i="2"/>
  <c r="I728" i="2"/>
  <c r="L728" i="2"/>
  <c r="M728" i="2"/>
  <c r="N728" i="2"/>
  <c r="F729" i="2"/>
  <c r="H729" i="2"/>
  <c r="C730" i="2"/>
  <c r="D726" i="2"/>
  <c r="D730" i="2"/>
  <c r="E730" i="2"/>
  <c r="E729" i="2"/>
  <c r="F730" i="2"/>
  <c r="G726" i="2"/>
  <c r="G735" i="2"/>
  <c r="G730" i="2"/>
  <c r="G729" i="2"/>
  <c r="H730" i="2"/>
  <c r="I726" i="2"/>
  <c r="I735" i="2"/>
  <c r="I730" i="2"/>
  <c r="I729" i="2"/>
  <c r="J730" i="2"/>
  <c r="K730" i="2"/>
  <c r="L730" i="2"/>
  <c r="M730" i="2"/>
  <c r="M729" i="2"/>
  <c r="N730" i="2"/>
  <c r="N729" i="2"/>
  <c r="O730" i="2"/>
  <c r="E735" i="2"/>
  <c r="G737" i="2"/>
  <c r="H737" i="2"/>
  <c r="I737" i="2"/>
  <c r="J737" i="2"/>
  <c r="K737" i="2"/>
  <c r="L737" i="2"/>
  <c r="M737" i="2"/>
  <c r="N737" i="2"/>
  <c r="O737" i="2"/>
  <c r="J743" i="2"/>
  <c r="J520" i="2"/>
  <c r="O743" i="2"/>
  <c r="O520" i="2"/>
  <c r="O525" i="2"/>
  <c r="J744" i="2"/>
  <c r="O744" i="2"/>
  <c r="O746" i="2"/>
  <c r="J745" i="2"/>
  <c r="J746" i="2"/>
  <c r="O745" i="2"/>
  <c r="C746" i="2"/>
  <c r="C707" i="2"/>
  <c r="D746" i="2"/>
  <c r="D707" i="2"/>
  <c r="D713" i="2"/>
  <c r="E746" i="2"/>
  <c r="F746" i="2"/>
  <c r="G746" i="2"/>
  <c r="H746" i="2"/>
  <c r="H751" i="2"/>
  <c r="H761" i="2"/>
  <c r="I746" i="2"/>
  <c r="K746" i="2"/>
  <c r="L746" i="2"/>
  <c r="L751" i="2"/>
  <c r="L761" i="2"/>
  <c r="M746" i="2"/>
  <c r="N746" i="2"/>
  <c r="N751" i="2"/>
  <c r="N761" i="2"/>
  <c r="J747" i="2"/>
  <c r="O747" i="2"/>
  <c r="J748" i="2"/>
  <c r="O748" i="2"/>
  <c r="J749" i="2"/>
  <c r="O749" i="2"/>
  <c r="J750" i="2"/>
  <c r="O750" i="2"/>
  <c r="C751" i="2"/>
  <c r="E751" i="2"/>
  <c r="G751" i="2"/>
  <c r="G761" i="2"/>
  <c r="I751" i="2"/>
  <c r="I761" i="2"/>
  <c r="K751" i="2"/>
  <c r="M751" i="2"/>
  <c r="C760" i="2"/>
  <c r="D760" i="2"/>
  <c r="E760" i="2"/>
  <c r="F760" i="2"/>
  <c r="G760" i="2"/>
  <c r="H760" i="2"/>
  <c r="I760" i="2"/>
  <c r="J760" i="2"/>
  <c r="K760" i="2"/>
  <c r="L760" i="2"/>
  <c r="M760" i="2"/>
  <c r="N760" i="2"/>
  <c r="O760" i="2"/>
  <c r="C761" i="2"/>
  <c r="E761" i="2"/>
  <c r="K761" i="2"/>
  <c r="M761" i="2"/>
  <c r="C769" i="2"/>
  <c r="C781" i="2"/>
  <c r="D769" i="2"/>
  <c r="E769" i="2"/>
  <c r="E781" i="2"/>
  <c r="F769" i="2"/>
  <c r="G769" i="2"/>
  <c r="G781" i="2"/>
  <c r="H769" i="2"/>
  <c r="I769" i="2"/>
  <c r="J769" i="2"/>
  <c r="J781" i="2"/>
  <c r="J791" i="2"/>
  <c r="K769" i="2"/>
  <c r="L769" i="2"/>
  <c r="M769" i="2"/>
  <c r="N769" i="2"/>
  <c r="O769" i="2"/>
  <c r="O781" i="2"/>
  <c r="C780" i="2"/>
  <c r="D780" i="2"/>
  <c r="E780" i="2"/>
  <c r="F780" i="2"/>
  <c r="G780" i="2"/>
  <c r="H780" i="2"/>
  <c r="I780" i="2"/>
  <c r="I781" i="2"/>
  <c r="J780" i="2"/>
  <c r="K780" i="2"/>
  <c r="K781" i="2"/>
  <c r="L780" i="2"/>
  <c r="M780" i="2"/>
  <c r="M781" i="2"/>
  <c r="N780" i="2"/>
  <c r="O780" i="2"/>
  <c r="D781" i="2"/>
  <c r="F781" i="2"/>
  <c r="F791" i="2"/>
  <c r="H781" i="2"/>
  <c r="H791" i="2"/>
  <c r="L781" i="2"/>
  <c r="N781" i="2"/>
  <c r="C789" i="2"/>
  <c r="C791" i="2"/>
  <c r="C793" i="2"/>
  <c r="D789" i="2"/>
  <c r="E789" i="2"/>
  <c r="F789" i="2"/>
  <c r="G789" i="2"/>
  <c r="G791" i="2"/>
  <c r="H789" i="2"/>
  <c r="I789" i="2"/>
  <c r="I791" i="2"/>
  <c r="J789" i="2"/>
  <c r="K789" i="2"/>
  <c r="L789" i="2"/>
  <c r="M789" i="2"/>
  <c r="N789" i="2"/>
  <c r="O789" i="2"/>
  <c r="O791" i="2"/>
  <c r="D791" i="2"/>
  <c r="L791" i="2"/>
  <c r="N791" i="2"/>
  <c r="C798" i="2"/>
  <c r="D798" i="2"/>
  <c r="E798" i="2"/>
  <c r="F798" i="2"/>
  <c r="G798" i="2"/>
  <c r="H798" i="2"/>
  <c r="I798" i="2"/>
  <c r="J798" i="2"/>
  <c r="K798" i="2"/>
  <c r="L798" i="2"/>
  <c r="M798" i="2"/>
  <c r="N798" i="2"/>
  <c r="C799" i="2"/>
  <c r="D799" i="2"/>
  <c r="E799" i="2"/>
  <c r="F799" i="2"/>
  <c r="G799" i="2"/>
  <c r="H799" i="2"/>
  <c r="I799" i="2"/>
  <c r="K799" i="2"/>
  <c r="L799" i="2"/>
  <c r="M799" i="2"/>
  <c r="N799" i="2"/>
  <c r="O799" i="2"/>
  <c r="C800" i="2"/>
  <c r="D800" i="2"/>
  <c r="E800" i="2"/>
  <c r="H800" i="2"/>
  <c r="I800" i="2"/>
  <c r="J800" i="2"/>
  <c r="K800" i="2"/>
  <c r="L800" i="2"/>
  <c r="M800" i="2"/>
  <c r="N800" i="2"/>
  <c r="O800" i="2"/>
  <c r="E802" i="2" a="1"/>
  <c r="E802" i="2"/>
  <c r="F802" i="2" a="1"/>
  <c r="F802" i="2"/>
  <c r="K802" i="2" a="1"/>
  <c r="K802" i="2"/>
  <c r="L802" i="2" a="1"/>
  <c r="L802" i="2"/>
  <c r="M802" i="2" a="1"/>
  <c r="M802" i="2"/>
  <c r="N802" i="2" a="1"/>
  <c r="N802" i="2"/>
  <c r="O802" i="2" a="1"/>
  <c r="O802" i="2"/>
  <c r="J807" i="2" a="1"/>
  <c r="J807" i="2"/>
  <c r="C890" i="2" a="1"/>
  <c r="C890" i="2"/>
  <c r="D890" i="2" a="1"/>
  <c r="D890" i="2"/>
  <c r="E890" i="2" a="1"/>
  <c r="E890" i="2"/>
  <c r="F890" i="2" a="1"/>
  <c r="F890" i="2"/>
  <c r="G890" i="2" a="1"/>
  <c r="G890" i="2"/>
  <c r="H890" i="2" a="1"/>
  <c r="H890" i="2"/>
  <c r="I890" i="2" a="1"/>
  <c r="I890" i="2"/>
  <c r="J890" i="2" a="1"/>
  <c r="J890" i="2"/>
  <c r="K890" i="2" a="1"/>
  <c r="K890" i="2"/>
  <c r="L890" i="2" a="1"/>
  <c r="L890" i="2"/>
  <c r="M890" i="2" a="1"/>
  <c r="M890" i="2"/>
  <c r="N890" i="2" a="1"/>
  <c r="N890" i="2"/>
  <c r="O890" i="2" a="1"/>
  <c r="O890" i="2"/>
  <c r="C891" i="2"/>
  <c r="D891" i="2"/>
  <c r="E891" i="2"/>
  <c r="F891" i="2"/>
  <c r="G891" i="2"/>
  <c r="H891" i="2"/>
  <c r="H554" i="2" a="1"/>
  <c r="H554" i="2"/>
  <c r="I891" i="2"/>
  <c r="J891" i="2"/>
  <c r="J552" i="2" a="1"/>
  <c r="J552" i="2"/>
  <c r="K891" i="2"/>
  <c r="L891" i="2"/>
  <c r="M891" i="2"/>
  <c r="N891" i="2"/>
  <c r="O891" i="2"/>
  <c r="J14" i="14"/>
  <c r="I36" i="18"/>
  <c r="J36" i="18"/>
  <c r="F14" i="18" a="1"/>
  <c r="F14" i="18"/>
  <c r="G36" i="18"/>
  <c r="F15" i="18" a="1"/>
  <c r="F15" i="18"/>
  <c r="AG25" i="17"/>
  <c r="W25" i="17"/>
  <c r="AY25" i="17"/>
  <c r="AY23" i="17"/>
  <c r="BI20" i="16"/>
  <c r="BI25" i="16"/>
  <c r="E16" i="15"/>
  <c r="O10" i="15"/>
  <c r="AZ25" i="17"/>
  <c r="BA25" i="17"/>
  <c r="BB25" i="17"/>
  <c r="AX25" i="17"/>
  <c r="AX23" i="17"/>
  <c r="BH20" i="16"/>
  <c r="BH25" i="16"/>
  <c r="D16" i="15"/>
  <c r="N10" i="15"/>
  <c r="BE9" i="16"/>
  <c r="AF9" i="16"/>
  <c r="Z9" i="16"/>
  <c r="AP9" i="16"/>
  <c r="Y9" i="16"/>
  <c r="AX9" i="16"/>
  <c r="AE9" i="16"/>
  <c r="X9" i="16"/>
  <c r="AN9" i="16"/>
  <c r="V9" i="16"/>
  <c r="AK9" i="16"/>
  <c r="U9" i="16"/>
  <c r="BB9" i="16"/>
  <c r="S9" i="16"/>
  <c r="BI9" i="16"/>
  <c r="BJ9" i="16"/>
  <c r="AZ9" i="16"/>
  <c r="AG9" i="16"/>
  <c r="AH9" i="16"/>
  <c r="AW9" i="16"/>
  <c r="AU9" i="16"/>
  <c r="W9" i="16"/>
  <c r="BH9" i="16"/>
  <c r="BL9" i="16"/>
  <c r="BK9" i="16"/>
  <c r="H24" i="17"/>
  <c r="AV24" i="17"/>
  <c r="R24" i="17"/>
  <c r="AQ24" i="17"/>
  <c r="AL24" i="17"/>
  <c r="AG24" i="17"/>
  <c r="AB24" i="17"/>
  <c r="M24" i="17"/>
  <c r="W24" i="17"/>
  <c r="F10" i="18" a="1"/>
  <c r="F10" i="18"/>
  <c r="F11" i="18" a="1"/>
  <c r="F9" i="18" a="1"/>
  <c r="F5" i="18" a="1"/>
  <c r="F5" i="18"/>
  <c r="F12" i="18" a="1"/>
  <c r="F12" i="18"/>
  <c r="AZ28" i="12"/>
  <c r="AA30" i="12"/>
  <c r="AA35" i="12"/>
  <c r="BE26" i="12"/>
  <c r="Q38" i="12"/>
  <c r="Q34" i="12"/>
  <c r="AK38" i="12"/>
  <c r="AK34" i="12"/>
  <c r="BL28" i="1"/>
  <c r="BL27" i="1"/>
  <c r="BL24" i="1"/>
  <c r="BL22" i="1"/>
  <c r="BK28" i="1"/>
  <c r="BK27" i="1"/>
  <c r="BK24" i="1"/>
  <c r="BK22" i="1"/>
  <c r="BH28" i="1"/>
  <c r="BH27" i="1"/>
  <c r="BH24" i="1"/>
  <c r="BH22" i="1"/>
  <c r="BI28" i="1"/>
  <c r="BI27" i="1"/>
  <c r="BI24" i="1"/>
  <c r="BI22" i="1"/>
  <c r="BJ28" i="1"/>
  <c r="BJ27" i="1"/>
  <c r="BJ24" i="1"/>
  <c r="BJ22" i="1"/>
  <c r="F24" i="18"/>
  <c r="G24" i="18"/>
  <c r="H24" i="18"/>
  <c r="I24" i="18"/>
  <c r="J24" i="18"/>
  <c r="K24" i="18"/>
  <c r="F25" i="18"/>
  <c r="G25" i="18"/>
  <c r="H25" i="18"/>
  <c r="I25" i="18"/>
  <c r="J25" i="18"/>
  <c r="K25" i="18"/>
  <c r="G16" i="19"/>
  <c r="F19" i="18"/>
  <c r="AV5" i="16"/>
  <c r="AQ5" i="16"/>
  <c r="BF5" i="16"/>
  <c r="BG22" i="1"/>
  <c r="BG24" i="1"/>
  <c r="BG27" i="1"/>
  <c r="BG28" i="1"/>
  <c r="AL5" i="16"/>
  <c r="BA5" i="16"/>
  <c r="L30" i="12"/>
  <c r="L35" i="12"/>
  <c r="V38" i="12"/>
  <c r="AP38" i="12"/>
  <c r="Q30" i="12"/>
  <c r="Q35" i="12"/>
  <c r="V30" i="12"/>
  <c r="V35" i="12"/>
  <c r="AA38" i="12"/>
  <c r="AU38" i="12"/>
  <c r="AG4" i="16"/>
  <c r="AG11" i="16"/>
  <c r="Q4" i="16"/>
  <c r="Q11" i="16"/>
  <c r="BE4" i="16"/>
  <c r="BE11" i="16"/>
  <c r="BE22" i="16"/>
  <c r="BE31" i="16"/>
  <c r="BE34" i="16"/>
  <c r="AO4" i="16"/>
  <c r="AO11" i="16"/>
  <c r="Y4" i="16"/>
  <c r="Y11" i="16"/>
  <c r="L38" i="12"/>
  <c r="AF38" i="12"/>
  <c r="AZ38" i="12"/>
  <c r="BB4" i="16"/>
  <c r="BB11" i="16"/>
  <c r="AC4" i="16"/>
  <c r="AC11" i="16"/>
  <c r="AE4" i="16"/>
  <c r="AE11" i="16"/>
  <c r="O4" i="16"/>
  <c r="O11" i="16"/>
  <c r="W4" i="16"/>
  <c r="W11" i="16"/>
  <c r="BD4" i="16"/>
  <c r="BD11" i="16"/>
  <c r="BD22" i="16"/>
  <c r="BD31" i="16"/>
  <c r="BD34" i="16"/>
  <c r="AN4" i="16"/>
  <c r="AN11" i="16"/>
  <c r="X4" i="16"/>
  <c r="X11" i="16"/>
  <c r="AU4" i="16"/>
  <c r="AU11" i="16"/>
  <c r="BC4" i="16"/>
  <c r="BC11" i="16"/>
  <c r="AM4" i="16"/>
  <c r="AM11" i="16"/>
  <c r="V4" i="16"/>
  <c r="V11" i="16"/>
  <c r="M4" i="16"/>
  <c r="AK4" i="16"/>
  <c r="AK11" i="16"/>
  <c r="U4" i="16"/>
  <c r="U11" i="16"/>
  <c r="J4" i="16"/>
  <c r="AR4" i="16"/>
  <c r="AR11" i="16"/>
  <c r="AB4" i="16"/>
  <c r="AB11" i="16"/>
  <c r="L4" i="16"/>
  <c r="AT4" i="16"/>
  <c r="AT11" i="16"/>
  <c r="AZ4" i="16"/>
  <c r="AZ11" i="16"/>
  <c r="AJ4" i="16"/>
  <c r="AJ11" i="16"/>
  <c r="T4" i="16"/>
  <c r="T11" i="16"/>
  <c r="AS4" i="16"/>
  <c r="AS11" i="16"/>
  <c r="AP4" i="16"/>
  <c r="AP11" i="16"/>
  <c r="Z4" i="16"/>
  <c r="Z11" i="16"/>
  <c r="AH4" i="16"/>
  <c r="AH11" i="16"/>
  <c r="R4" i="16"/>
  <c r="R11" i="16"/>
  <c r="R11" i="5"/>
  <c r="U11" i="5"/>
  <c r="AL32" i="5"/>
  <c r="T11" i="5"/>
  <c r="AQ32" i="5"/>
  <c r="AV32" i="5"/>
  <c r="BA32" i="5"/>
  <c r="AK11" i="5"/>
  <c r="AJ11" i="5"/>
  <c r="BF32" i="5"/>
  <c r="AI11" i="5"/>
  <c r="AE11" i="5"/>
  <c r="AD11" i="5"/>
  <c r="V11" i="5"/>
  <c r="P11" i="5"/>
  <c r="M11" i="5"/>
  <c r="O11" i="5"/>
  <c r="AY11" i="5"/>
  <c r="AV11" i="5"/>
  <c r="AL11" i="5"/>
  <c r="AW4" i="16"/>
  <c r="AW11" i="16"/>
  <c r="AF4" i="16"/>
  <c r="AF11" i="16"/>
  <c r="P4" i="16"/>
  <c r="P11" i="16"/>
  <c r="AX4" i="16"/>
  <c r="AX11" i="16"/>
  <c r="AD4" i="16"/>
  <c r="AD11" i="16"/>
  <c r="N4" i="16"/>
  <c r="N11" i="16"/>
  <c r="AY4" i="16"/>
  <c r="AY11" i="16"/>
  <c r="AI4" i="16"/>
  <c r="AI11" i="16"/>
  <c r="S4" i="16"/>
  <c r="S11" i="16"/>
  <c r="BG4" i="16"/>
  <c r="BG11" i="16"/>
  <c r="AA4" i="16"/>
  <c r="AA11" i="16"/>
  <c r="K4" i="16"/>
  <c r="BC11" i="11"/>
  <c r="BG11" i="11"/>
  <c r="BC13" i="11"/>
  <c r="BC17" i="11"/>
  <c r="AL43" i="11"/>
  <c r="AJ44" i="11"/>
  <c r="AV17" i="11"/>
  <c r="BA17" i="11"/>
  <c r="Z24" i="11"/>
  <c r="AA21" i="11"/>
  <c r="AN9" i="11"/>
  <c r="AR9" i="11"/>
  <c r="AW9" i="11"/>
  <c r="AS9" i="11"/>
  <c r="O26" i="11"/>
  <c r="O29" i="11"/>
  <c r="P26" i="11"/>
  <c r="P29" i="11"/>
  <c r="Q26" i="11"/>
  <c r="Q29" i="11"/>
  <c r="R26" i="11"/>
  <c r="R29" i="11"/>
  <c r="S26" i="11"/>
  <c r="S29" i="11"/>
  <c r="AZ13" i="11"/>
  <c r="AZ17" i="11"/>
  <c r="AX11" i="11"/>
  <c r="BA13" i="11"/>
  <c r="BB13" i="11"/>
  <c r="BB17" i="11"/>
  <c r="AL41" i="11"/>
  <c r="BG9" i="11"/>
  <c r="AY11" i="11"/>
  <c r="J24" i="11"/>
  <c r="K21" i="11"/>
  <c r="AC24" i="11"/>
  <c r="AO13" i="11"/>
  <c r="AO17" i="11"/>
  <c r="BE13" i="11"/>
  <c r="BE17" i="11"/>
  <c r="N24" i="11"/>
  <c r="AN31" i="11"/>
  <c r="AN33" i="11"/>
  <c r="AV13" i="11"/>
  <c r="AW13" i="11"/>
  <c r="AW17" i="11"/>
  <c r="AJ23" i="11"/>
  <c r="AJ43" i="11"/>
  <c r="E20" i="13"/>
  <c r="W32" i="12"/>
  <c r="U30" i="12"/>
  <c r="U35" i="12"/>
  <c r="AB32" i="12"/>
  <c r="AF26" i="12"/>
  <c r="AF30" i="12"/>
  <c r="AF35" i="12"/>
  <c r="AK26" i="12"/>
  <c r="AK30" i="12"/>
  <c r="AK35" i="12"/>
  <c r="AP26" i="12"/>
  <c r="AP30" i="12"/>
  <c r="AP35" i="12"/>
  <c r="AU26" i="12"/>
  <c r="AZ26" i="12"/>
  <c r="AV32" i="12"/>
  <c r="AZ32" i="12"/>
  <c r="AZ31" i="12"/>
  <c r="AP30" i="9"/>
  <c r="AR30" i="9"/>
  <c r="AR68" i="9"/>
  <c r="AM30" i="9"/>
  <c r="Z30" i="9"/>
  <c r="Z68" i="9"/>
  <c r="AB30" i="9"/>
  <c r="AB68" i="9"/>
  <c r="AC30" i="9"/>
  <c r="AC68" i="9"/>
  <c r="AH30" i="9"/>
  <c r="AH68" i="9"/>
  <c r="AJ30" i="9"/>
  <c r="AJ68" i="9"/>
  <c r="AJ71" i="9"/>
  <c r="AL30" i="9"/>
  <c r="H30" i="9"/>
  <c r="H68" i="9"/>
  <c r="O30" i="9"/>
  <c r="O68" i="9"/>
  <c r="P30" i="9"/>
  <c r="P68" i="9"/>
  <c r="R30" i="9"/>
  <c r="R68" i="9"/>
  <c r="T30" i="9"/>
  <c r="T68" i="9"/>
  <c r="AK18" i="9"/>
  <c r="AK30" i="9"/>
  <c r="AF18" i="9"/>
  <c r="AF30" i="9"/>
  <c r="G42" i="9"/>
  <c r="G18" i="9"/>
  <c r="G30" i="9"/>
  <c r="V18" i="9"/>
  <c r="V30" i="9"/>
  <c r="L18" i="9"/>
  <c r="L30" i="9"/>
  <c r="AA18" i="9"/>
  <c r="AA30" i="9"/>
  <c r="Q18" i="9"/>
  <c r="Q30" i="9"/>
  <c r="AU18" i="9"/>
  <c r="AU30" i="9"/>
  <c r="AU65" i="9"/>
  <c r="AP65" i="9"/>
  <c r="G65" i="9"/>
  <c r="L65" i="9"/>
  <c r="Q65" i="9"/>
  <c r="V65" i="9"/>
  <c r="AA65" i="9"/>
  <c r="L42" i="9"/>
  <c r="Q42" i="9"/>
  <c r="V42" i="9"/>
  <c r="AA42" i="9"/>
  <c r="AF42" i="9"/>
  <c r="AK42" i="9"/>
  <c r="AP42" i="9"/>
  <c r="AU42" i="9"/>
  <c r="AF65" i="9"/>
  <c r="AK65" i="9"/>
  <c r="C68" i="9"/>
  <c r="C71" i="9"/>
  <c r="D70" i="9"/>
  <c r="E70" i="9"/>
  <c r="F70" i="9"/>
  <c r="G70" i="9"/>
  <c r="H70" i="9"/>
  <c r="D68" i="9"/>
  <c r="E68" i="9"/>
  <c r="F68" i="9"/>
  <c r="I68" i="9"/>
  <c r="J68" i="9"/>
  <c r="K68" i="9"/>
  <c r="M68" i="9"/>
  <c r="N68" i="9"/>
  <c r="S68" i="9"/>
  <c r="U68" i="9"/>
  <c r="W68" i="9"/>
  <c r="X68" i="9"/>
  <c r="Y68" i="9"/>
  <c r="AD68" i="9"/>
  <c r="AE68" i="9"/>
  <c r="AI68" i="9"/>
  <c r="AI71" i="9"/>
  <c r="AN68" i="9"/>
  <c r="AN71" i="9"/>
  <c r="AO68" i="9"/>
  <c r="AO71" i="9"/>
  <c r="AQ68" i="9"/>
  <c r="AQ71" i="9"/>
  <c r="AR70" i="9"/>
  <c r="AS70" i="9"/>
  <c r="AT70" i="9"/>
  <c r="AU70" i="9"/>
  <c r="AV70" i="9"/>
  <c r="AS68" i="9"/>
  <c r="AT68" i="9"/>
  <c r="AV68" i="9"/>
  <c r="H693" i="2"/>
  <c r="L693" i="2"/>
  <c r="F693" i="2"/>
  <c r="I507" i="2"/>
  <c r="C507" i="2"/>
  <c r="M693" i="2"/>
  <c r="G506" i="2"/>
  <c r="F506" i="2"/>
  <c r="D693" i="2"/>
  <c r="K693" i="2"/>
  <c r="I693" i="2"/>
  <c r="G693" i="2"/>
  <c r="E693" i="2"/>
  <c r="N693" i="2"/>
  <c r="C693" i="2"/>
  <c r="O501" i="2"/>
  <c r="N501" i="2"/>
  <c r="J501" i="2"/>
  <c r="H501" i="2"/>
  <c r="G501" i="2"/>
  <c r="E501" i="2"/>
  <c r="M670" i="2"/>
  <c r="E670" i="2"/>
  <c r="I670" i="2"/>
  <c r="G670" i="2"/>
  <c r="C670" i="2"/>
  <c r="N499" i="2"/>
  <c r="L499" i="2"/>
  <c r="H499" i="2"/>
  <c r="F499" i="2"/>
  <c r="D499" i="2"/>
  <c r="M644" i="2"/>
  <c r="E644" i="2"/>
  <c r="K644" i="2"/>
  <c r="J644" i="2"/>
  <c r="D644" i="2"/>
  <c r="J507" i="2"/>
  <c r="J622" i="2"/>
  <c r="O599" i="2"/>
  <c r="N625" i="2"/>
  <c r="J587" i="2"/>
  <c r="H625" i="2"/>
  <c r="F625" i="2"/>
  <c r="D625" i="2"/>
  <c r="O573" i="2"/>
  <c r="O587" i="2"/>
  <c r="P18" i="5"/>
  <c r="Z18" i="5"/>
  <c r="AJ18" i="5"/>
  <c r="AO18" i="5"/>
  <c r="AY18" i="5"/>
  <c r="BD18" i="5"/>
  <c r="AF18" i="5"/>
  <c r="AU18" i="5"/>
  <c r="AF11" i="5"/>
  <c r="BD11" i="5"/>
  <c r="BA11" i="5"/>
  <c r="AB11" i="5"/>
  <c r="AZ11" i="5"/>
  <c r="U18" i="5"/>
  <c r="AU11" i="5"/>
  <c r="AT11" i="5"/>
  <c r="Q11" i="5"/>
  <c r="BB14" i="3"/>
  <c r="BC14" i="3"/>
  <c r="BC9" i="5"/>
  <c r="BG9" i="5"/>
  <c r="BG11" i="5"/>
  <c r="AX9" i="5"/>
  <c r="BB9" i="5"/>
  <c r="BB11" i="5"/>
  <c r="AS11" i="5"/>
  <c r="AS14" i="5"/>
  <c r="AN9" i="5"/>
  <c r="AR9" i="5"/>
  <c r="AR11" i="5"/>
  <c r="AM11" i="5"/>
  <c r="BF11" i="5"/>
  <c r="BF14" i="5"/>
  <c r="BE11" i="5"/>
  <c r="BE14" i="5"/>
  <c r="AQ11" i="5"/>
  <c r="AQ14" i="5"/>
  <c r="AP11" i="5"/>
  <c r="AP14" i="5"/>
  <c r="AO11" i="5"/>
  <c r="AO14" i="5"/>
  <c r="AM14" i="5"/>
  <c r="AH14" i="5"/>
  <c r="AA11" i="5"/>
  <c r="AA14" i="5"/>
  <c r="Z11" i="5"/>
  <c r="Z14" i="5"/>
  <c r="Y11" i="5"/>
  <c r="Y14" i="5"/>
  <c r="W11" i="5"/>
  <c r="W14" i="5"/>
  <c r="X14" i="5"/>
  <c r="R14" i="5"/>
  <c r="M14" i="5"/>
  <c r="L11" i="5"/>
  <c r="L14" i="5"/>
  <c r="K11" i="5"/>
  <c r="K14" i="5"/>
  <c r="AV14" i="3"/>
  <c r="AV18" i="3"/>
  <c r="AV22" i="3"/>
  <c r="AX13" i="3"/>
  <c r="AT9" i="3"/>
  <c r="AT11" i="3"/>
  <c r="AX11" i="3"/>
  <c r="AY9" i="3"/>
  <c r="AY11" i="3"/>
  <c r="BC11" i="3"/>
  <c r="BC9" i="3"/>
  <c r="AW9" i="5"/>
  <c r="AW11" i="5"/>
  <c r="F717" i="2"/>
  <c r="G800" i="2"/>
  <c r="F707" i="2"/>
  <c r="E709" i="2"/>
  <c r="D715" i="2"/>
  <c r="J315" i="2"/>
  <c r="F708" i="2"/>
  <c r="G314" i="2"/>
  <c r="E708" i="2"/>
  <c r="E714" i="2"/>
  <c r="O503" i="2"/>
  <c r="G330" i="2"/>
  <c r="F314" i="2"/>
  <c r="N503" i="2"/>
  <c r="F330" i="2"/>
  <c r="M503" i="2"/>
  <c r="E330" i="2"/>
  <c r="O709" i="2"/>
  <c r="F800" i="2"/>
  <c r="F709" i="2"/>
  <c r="I315" i="2"/>
  <c r="E707" i="2"/>
  <c r="J503" i="2"/>
  <c r="F329" i="2"/>
  <c r="K715" i="2"/>
  <c r="E717" i="2"/>
  <c r="O388" i="2"/>
  <c r="O389" i="2"/>
  <c r="O326" i="2"/>
  <c r="M301" i="2"/>
  <c r="AZ14" i="3"/>
  <c r="AZ18" i="3"/>
  <c r="AZ22" i="3"/>
  <c r="AL11" i="3"/>
  <c r="AK14" i="3"/>
  <c r="AK18" i="3"/>
  <c r="AK22" i="3"/>
  <c r="BC13" i="3"/>
  <c r="AP14" i="3"/>
  <c r="AP18" i="3"/>
  <c r="AP22" i="3"/>
  <c r="AI21" i="3"/>
  <c r="AH14" i="3"/>
  <c r="AI12" i="3"/>
  <c r="AM12" i="3"/>
  <c r="AM14" i="3"/>
  <c r="AQ14" i="3"/>
  <c r="AQ18" i="3"/>
  <c r="AQ22" i="3"/>
  <c r="AR14" i="3"/>
  <c r="AU14" i="3"/>
  <c r="AU18" i="3"/>
  <c r="AU22" i="3"/>
  <c r="AW14" i="3"/>
  <c r="BA14" i="3"/>
  <c r="BA18" i="3"/>
  <c r="BA22" i="3"/>
  <c r="AL22" i="3"/>
  <c r="E356" i="2"/>
  <c r="E361" i="2"/>
  <c r="E377" i="2"/>
  <c r="L711" i="2"/>
  <c r="O301" i="2"/>
  <c r="M300" i="2"/>
  <c r="I42" i="2"/>
  <c r="E358" i="2" a="1"/>
  <c r="E358" i="2"/>
  <c r="E324" i="2"/>
  <c r="E807" i="2" a="1"/>
  <c r="E807" i="2"/>
  <c r="L315" i="2"/>
  <c r="M299" i="2"/>
  <c r="C330" i="2"/>
  <c r="G42" i="2"/>
  <c r="N324" i="2"/>
  <c r="N807" i="2" a="1"/>
  <c r="N807" i="2"/>
  <c r="L709" i="2"/>
  <c r="G388" i="2"/>
  <c r="G325" i="2"/>
  <c r="L301" i="2"/>
  <c r="C42" i="2"/>
  <c r="D737" i="2"/>
  <c r="O324" i="2"/>
  <c r="O807" i="2" a="1"/>
  <c r="O807" i="2"/>
  <c r="C737" i="2"/>
  <c r="I329" i="2"/>
  <c r="H329" i="2"/>
  <c r="C388" i="2"/>
  <c r="C325" i="2"/>
  <c r="O42" i="2"/>
  <c r="L708" i="2"/>
  <c r="N388" i="2"/>
  <c r="N401" i="2"/>
  <c r="K388" i="2"/>
  <c r="K325" i="2"/>
  <c r="K714" i="2"/>
  <c r="I330" i="2"/>
  <c r="C356" i="2"/>
  <c r="C361" i="2"/>
  <c r="C377" i="2"/>
  <c r="F356" i="2"/>
  <c r="F361" i="2"/>
  <c r="F377" i="2"/>
  <c r="D356" i="2"/>
  <c r="D361" i="2"/>
  <c r="D377" i="2"/>
  <c r="K356" i="2"/>
  <c r="K361" i="2"/>
  <c r="K377" i="2"/>
  <c r="M709" i="2"/>
  <c r="M707" i="2"/>
  <c r="F358" i="2" a="1"/>
  <c r="F358" i="2"/>
  <c r="E329" i="2"/>
  <c r="L324" i="2"/>
  <c r="L807" i="2" a="1"/>
  <c r="L807" i="2"/>
  <c r="J42" i="2"/>
  <c r="K713" i="2"/>
  <c r="C358" i="2" a="1"/>
  <c r="C358" i="2"/>
  <c r="L388" i="2"/>
  <c r="L389" i="2"/>
  <c r="L326" i="2"/>
  <c r="J400" i="2"/>
  <c r="I388" i="2"/>
  <c r="I401" i="2"/>
  <c r="H324" i="2"/>
  <c r="H807" i="2" a="1"/>
  <c r="H807" i="2"/>
  <c r="O313" i="2"/>
  <c r="F42" i="2"/>
  <c r="O711" i="2"/>
  <c r="N809" i="2" a="1"/>
  <c r="N809" i="2"/>
  <c r="J388" i="2"/>
  <c r="J325" i="2"/>
  <c r="E42" i="2"/>
  <c r="O14" i="2"/>
  <c r="N711" i="2"/>
  <c r="F324" i="2"/>
  <c r="F807" i="2" a="1"/>
  <c r="F807" i="2"/>
  <c r="M313" i="2"/>
  <c r="M319" i="2"/>
  <c r="M711" i="2"/>
  <c r="O708" i="2"/>
  <c r="L42" i="2"/>
  <c r="N708" i="2"/>
  <c r="M330" i="2"/>
  <c r="N358" i="2" a="1"/>
  <c r="N358" i="2"/>
  <c r="M329" i="2"/>
  <c r="D324" i="2"/>
  <c r="D807" i="2" a="1"/>
  <c r="D807" i="2"/>
  <c r="K314" i="2"/>
  <c r="K320" i="2"/>
  <c r="M708" i="2"/>
  <c r="M358" i="2" a="1"/>
  <c r="M358" i="2"/>
  <c r="O401" i="2"/>
  <c r="O417" i="2"/>
  <c r="L358" i="2" a="1"/>
  <c r="L358" i="2"/>
  <c r="K329" i="2"/>
  <c r="N316" i="2"/>
  <c r="N317" i="2"/>
  <c r="N322" i="2"/>
  <c r="K358" i="2" a="1"/>
  <c r="K358" i="2"/>
  <c r="D388" i="2"/>
  <c r="D401" i="2"/>
  <c r="F737" i="2"/>
  <c r="O707" i="2"/>
  <c r="I358" i="2" a="1"/>
  <c r="I358" i="2"/>
  <c r="E388" i="2"/>
  <c r="E401" i="2"/>
  <c r="E417" i="2"/>
  <c r="L299" i="2"/>
  <c r="M42" i="2"/>
  <c r="D714" i="2"/>
  <c r="H358" i="2" a="1"/>
  <c r="H358" i="2"/>
  <c r="G329" i="2"/>
  <c r="N14" i="2"/>
  <c r="J299" i="2"/>
  <c r="K299" i="2"/>
  <c r="O47" i="2"/>
  <c r="J47" i="2"/>
  <c r="J721" i="2"/>
  <c r="J734" i="2"/>
  <c r="Z51" i="1"/>
  <c r="AQ51" i="1"/>
  <c r="BB9" i="1"/>
  <c r="BD51" i="1"/>
  <c r="BF51" i="1"/>
  <c r="AP51" i="1"/>
  <c r="AO51" i="1"/>
  <c r="BE51" i="1"/>
  <c r="AZ51" i="1"/>
  <c r="AI51" i="1"/>
  <c r="AA51" i="1"/>
  <c r="AX51" i="1"/>
  <c r="Y51" i="1"/>
  <c r="AJ51" i="1"/>
  <c r="R14" i="1"/>
  <c r="D734" i="2"/>
  <c r="K734" i="2"/>
  <c r="AM11" i="1"/>
  <c r="K14" i="1"/>
  <c r="Z11" i="1"/>
  <c r="BG11" i="1"/>
  <c r="R11" i="1"/>
  <c r="AW9" i="1"/>
  <c r="AW11" i="1"/>
  <c r="AI11" i="1"/>
  <c r="AJ11" i="1"/>
  <c r="L14" i="1"/>
  <c r="AX11" i="1"/>
  <c r="O14" i="1"/>
  <c r="AZ11" i="1"/>
  <c r="BG13" i="1"/>
  <c r="M11" i="1"/>
  <c r="J14" i="1"/>
  <c r="AW13" i="1"/>
  <c r="M14" i="1"/>
  <c r="T14" i="1"/>
  <c r="W14" i="1"/>
  <c r="W18" i="1"/>
  <c r="AB14" i="1"/>
  <c r="AE14" i="1"/>
  <c r="AU14" i="1"/>
  <c r="AY14" i="1"/>
  <c r="R13" i="1"/>
  <c r="AN9" i="1"/>
  <c r="AN14" i="1"/>
  <c r="AN18" i="1"/>
  <c r="AS11" i="1"/>
  <c r="AS14" i="1"/>
  <c r="AR11" i="1"/>
  <c r="BD11" i="1"/>
  <c r="Y11" i="1"/>
  <c r="AO11" i="1"/>
  <c r="BE11" i="1"/>
  <c r="AD14" i="1"/>
  <c r="AT14" i="1"/>
  <c r="AP11" i="1"/>
  <c r="BF11" i="1"/>
  <c r="AA11" i="1"/>
  <c r="AQ11" i="1"/>
  <c r="P14" i="1"/>
  <c r="AF14" i="1"/>
  <c r="AV14" i="1"/>
  <c r="Q14" i="1"/>
  <c r="AG14" i="1"/>
  <c r="BB13" i="1"/>
  <c r="BC9" i="1"/>
  <c r="AM13" i="1"/>
  <c r="U14" i="1"/>
  <c r="AK14" i="1"/>
  <c r="BA14" i="1"/>
  <c r="V14" i="1"/>
  <c r="AL14" i="1"/>
  <c r="AR13" i="1"/>
  <c r="E493" i="2"/>
  <c r="E658" i="2"/>
  <c r="E495" i="2"/>
  <c r="J751" i="2"/>
  <c r="J761" i="2"/>
  <c r="J707" i="2"/>
  <c r="J670" i="2"/>
  <c r="D628" i="2"/>
  <c r="E627" i="2"/>
  <c r="E628" i="2"/>
  <c r="F627" i="2"/>
  <c r="F628" i="2"/>
  <c r="G627" i="2"/>
  <c r="J356" i="2"/>
  <c r="J358" i="2" a="1"/>
  <c r="J358" i="2"/>
  <c r="E734" i="2"/>
  <c r="E732" i="2"/>
  <c r="J430" i="2"/>
  <c r="J555" i="2" a="1"/>
  <c r="J555" i="2"/>
  <c r="E791" i="2"/>
  <c r="D729" i="2"/>
  <c r="D735" i="2"/>
  <c r="J693" i="2"/>
  <c r="N793" i="2"/>
  <c r="K806" i="2" a="1"/>
  <c r="K806" i="2"/>
  <c r="K738" i="2"/>
  <c r="K722" i="2"/>
  <c r="K723" i="2"/>
  <c r="E696" i="2"/>
  <c r="J625" i="2"/>
  <c r="L804" i="2"/>
  <c r="L793" i="2"/>
  <c r="O625" i="2"/>
  <c r="H449" i="2"/>
  <c r="G453" i="2"/>
  <c r="E793" i="2"/>
  <c r="F493" i="2"/>
  <c r="F658" i="2"/>
  <c r="F495" i="2"/>
  <c r="M493" i="2"/>
  <c r="M658" i="2"/>
  <c r="M495" i="2"/>
  <c r="J493" i="2"/>
  <c r="J658" i="2"/>
  <c r="J495" i="2"/>
  <c r="I793" i="2"/>
  <c r="F732" i="2"/>
  <c r="G804" i="2"/>
  <c r="G793" i="2"/>
  <c r="H804" i="2"/>
  <c r="M804" i="2"/>
  <c r="H793" i="2"/>
  <c r="K493" i="2"/>
  <c r="K658" i="2"/>
  <c r="K495" i="2"/>
  <c r="M791" i="2"/>
  <c r="M793" i="2"/>
  <c r="I734" i="2"/>
  <c r="M696" i="2"/>
  <c r="O693" i="2"/>
  <c r="O403" i="2"/>
  <c r="H734" i="2"/>
  <c r="H732" i="2"/>
  <c r="O356" i="2"/>
  <c r="K791" i="2"/>
  <c r="K793" i="2"/>
  <c r="G734" i="2"/>
  <c r="G732" i="2"/>
  <c r="E713" i="2"/>
  <c r="D493" i="2"/>
  <c r="D658" i="2"/>
  <c r="D495" i="2"/>
  <c r="G5" i="2"/>
  <c r="H5" i="2"/>
  <c r="I5" i="2"/>
  <c r="J5" i="2"/>
  <c r="K5" i="2"/>
  <c r="L5" i="2"/>
  <c r="M5" i="2"/>
  <c r="N5" i="2"/>
  <c r="O5" i="2"/>
  <c r="O798" i="2"/>
  <c r="O726" i="2"/>
  <c r="O661" i="2"/>
  <c r="K532" i="2"/>
  <c r="J238" i="2"/>
  <c r="C496" i="2"/>
  <c r="E506" i="2"/>
  <c r="I555" i="2" a="1"/>
  <c r="I555" i="2"/>
  <c r="N554" i="2" a="1"/>
  <c r="N554" i="2"/>
  <c r="F554" i="2" a="1"/>
  <c r="F554" i="2"/>
  <c r="H552" i="2" a="1"/>
  <c r="H552" i="2"/>
  <c r="H430" i="2"/>
  <c r="D325" i="2"/>
  <c r="K315" i="2"/>
  <c r="K42" i="2"/>
  <c r="H42" i="2"/>
  <c r="L300" i="2"/>
  <c r="H314" i="2"/>
  <c r="J300" i="2"/>
  <c r="K300" i="2"/>
  <c r="J403" i="2"/>
  <c r="F751" i="2"/>
  <c r="F761" i="2"/>
  <c r="N721" i="2"/>
  <c r="D506" i="2"/>
  <c r="H670" i="2"/>
  <c r="M499" i="2"/>
  <c r="N403" i="2"/>
  <c r="N442" i="2"/>
  <c r="I441" i="2"/>
  <c r="L726" i="2"/>
  <c r="O507" i="2"/>
  <c r="C506" i="2"/>
  <c r="I658" i="2"/>
  <c r="I495" i="2"/>
  <c r="M403" i="2"/>
  <c r="M554" i="2" a="1"/>
  <c r="M554" i="2"/>
  <c r="E554" i="2" a="1"/>
  <c r="E554" i="2"/>
  <c r="O552" i="2" a="1"/>
  <c r="O552" i="2"/>
  <c r="O430" i="2"/>
  <c r="G552" i="2" a="1"/>
  <c r="G552" i="2"/>
  <c r="G430" i="2"/>
  <c r="G472" i="2"/>
  <c r="G483" i="2"/>
  <c r="D164" i="2"/>
  <c r="E161" i="2"/>
  <c r="D181" i="2"/>
  <c r="N59" i="2"/>
  <c r="N75" i="2"/>
  <c r="N56" i="2"/>
  <c r="N237" i="2"/>
  <c r="G166" i="2"/>
  <c r="G169" i="2"/>
  <c r="H166" i="2"/>
  <c r="H169" i="2"/>
  <c r="I166" i="2"/>
  <c r="I169" i="2"/>
  <c r="J166" i="2"/>
  <c r="J169" i="2"/>
  <c r="K166" i="2"/>
  <c r="K169" i="2"/>
  <c r="L166" i="2"/>
  <c r="L169" i="2"/>
  <c r="M166" i="2"/>
  <c r="M169" i="2"/>
  <c r="N166" i="2"/>
  <c r="N169" i="2"/>
  <c r="O166" i="2"/>
  <c r="O169" i="2"/>
  <c r="D751" i="2"/>
  <c r="D761" i="2"/>
  <c r="K726" i="2"/>
  <c r="K735" i="2"/>
  <c r="N507" i="2"/>
  <c r="F670" i="2"/>
  <c r="F696" i="2"/>
  <c r="M501" i="2"/>
  <c r="N644" i="2"/>
  <c r="L403" i="2"/>
  <c r="E238" i="2"/>
  <c r="G455" i="2"/>
  <c r="G459" i="2"/>
  <c r="H455" i="2"/>
  <c r="H459" i="2"/>
  <c r="I455" i="2"/>
  <c r="I459" i="2"/>
  <c r="J455" i="2"/>
  <c r="J459" i="2"/>
  <c r="K455" i="2"/>
  <c r="K459" i="2"/>
  <c r="L455" i="2"/>
  <c r="L459" i="2"/>
  <c r="M455" i="2"/>
  <c r="M459" i="2"/>
  <c r="N455" i="2"/>
  <c r="N459" i="2"/>
  <c r="O455" i="2"/>
  <c r="O459" i="2"/>
  <c r="J726" i="2"/>
  <c r="M507" i="2"/>
  <c r="L501" i="2"/>
  <c r="L809" i="2" a="1"/>
  <c r="L809" i="2"/>
  <c r="J499" i="2"/>
  <c r="K403" i="2"/>
  <c r="L554" i="2" a="1"/>
  <c r="L554" i="2"/>
  <c r="D554" i="2" a="1"/>
  <c r="D554" i="2"/>
  <c r="N552" i="2" a="1"/>
  <c r="N552" i="2"/>
  <c r="N430" i="2"/>
  <c r="N472" i="2"/>
  <c r="N483" i="2"/>
  <c r="F552" i="2" a="1"/>
  <c r="F552" i="2"/>
  <c r="F430" i="2"/>
  <c r="F472" i="2"/>
  <c r="F483" i="2"/>
  <c r="F490" i="2"/>
  <c r="M388" i="2"/>
  <c r="M324" i="2"/>
  <c r="M807" i="2" a="1"/>
  <c r="M807" i="2"/>
  <c r="M14" i="2"/>
  <c r="O69" i="2"/>
  <c r="D42" i="2"/>
  <c r="N707" i="2"/>
  <c r="L507" i="2"/>
  <c r="D670" i="2"/>
  <c r="D696" i="2"/>
  <c r="K501" i="2"/>
  <c r="I499" i="2"/>
  <c r="L644" i="2"/>
  <c r="J436" i="2"/>
  <c r="N69" i="2"/>
  <c r="N80" i="2"/>
  <c r="K507" i="2"/>
  <c r="O506" i="2"/>
  <c r="I403" i="2"/>
  <c r="K554" i="2" a="1"/>
  <c r="K554" i="2"/>
  <c r="C554" i="2" a="1"/>
  <c r="C554" i="2"/>
  <c r="M552" i="2" a="1"/>
  <c r="M552" i="2"/>
  <c r="M430" i="2"/>
  <c r="M472" i="2"/>
  <c r="M483" i="2"/>
  <c r="E552" i="2" a="1"/>
  <c r="E552" i="2"/>
  <c r="E430" i="2"/>
  <c r="E472" i="2"/>
  <c r="E483" i="2"/>
  <c r="N389" i="2"/>
  <c r="N326" i="2"/>
  <c r="N325" i="2"/>
  <c r="N394" i="2"/>
  <c r="K401" i="2"/>
  <c r="K417" i="2"/>
  <c r="K389" i="2"/>
  <c r="K326" i="2"/>
  <c r="K728" i="2"/>
  <c r="K739" i="2"/>
  <c r="L707" i="2"/>
  <c r="N506" i="2"/>
  <c r="I501" i="2"/>
  <c r="I809" i="2" a="1"/>
  <c r="I809" i="2"/>
  <c r="G499" i="2"/>
  <c r="H403" i="2"/>
  <c r="O635" i="2"/>
  <c r="O358" i="2" a="1"/>
  <c r="O358" i="2"/>
  <c r="M442" i="2"/>
  <c r="H441" i="2"/>
  <c r="M322" i="2"/>
  <c r="O59" i="2"/>
  <c r="O75" i="2"/>
  <c r="O58" i="2"/>
  <c r="O56" i="2"/>
  <c r="N42" i="2"/>
  <c r="O751" i="2"/>
  <c r="O761" i="2"/>
  <c r="K717" i="2"/>
  <c r="M506" i="2"/>
  <c r="C658" i="2"/>
  <c r="C495" i="2"/>
  <c r="I496" i="2"/>
  <c r="I510" i="2"/>
  <c r="I511" i="2"/>
  <c r="J554" i="2" a="1"/>
  <c r="J554" i="2"/>
  <c r="L552" i="2" a="1"/>
  <c r="L552" i="2"/>
  <c r="L430" i="2"/>
  <c r="L472" i="2"/>
  <c r="L483" i="2"/>
  <c r="D552" i="2" a="1"/>
  <c r="D552" i="2"/>
  <c r="D430" i="2"/>
  <c r="D472" i="2"/>
  <c r="D483" i="2"/>
  <c r="L325" i="2"/>
  <c r="L401" i="2"/>
  <c r="H507" i="2"/>
  <c r="L506" i="2"/>
  <c r="E499" i="2"/>
  <c r="H644" i="2"/>
  <c r="F403" i="2"/>
  <c r="K322" i="2"/>
  <c r="J80" i="2"/>
  <c r="M61" i="2"/>
  <c r="G507" i="2"/>
  <c r="K506" i="2"/>
  <c r="F501" i="2"/>
  <c r="F809" i="2" a="1"/>
  <c r="F809" i="2"/>
  <c r="G644" i="2"/>
  <c r="E403" i="2"/>
  <c r="I554" i="2" a="1"/>
  <c r="I554" i="2"/>
  <c r="K552" i="2" a="1"/>
  <c r="K552" i="2"/>
  <c r="K430" i="2"/>
  <c r="K472" i="2"/>
  <c r="K483" i="2"/>
  <c r="C552" i="2" a="1"/>
  <c r="C552" i="2"/>
  <c r="C430" i="2"/>
  <c r="C472" i="2"/>
  <c r="C483" i="2"/>
  <c r="C490" i="2"/>
  <c r="O329" i="2"/>
  <c r="O394" i="2"/>
  <c r="J532" i="2"/>
  <c r="J525" i="2"/>
  <c r="F507" i="2"/>
  <c r="J506" i="2"/>
  <c r="C499" i="2"/>
  <c r="D417" i="2"/>
  <c r="D403" i="2"/>
  <c r="O442" i="2"/>
  <c r="O441" i="2"/>
  <c r="D358" i="2" a="1"/>
  <c r="D358" i="2"/>
  <c r="G356" i="2"/>
  <c r="G358" i="2" a="1"/>
  <c r="G358" i="2"/>
  <c r="N300" i="2"/>
  <c r="N288" i="2"/>
  <c r="N301" i="2"/>
  <c r="N299" i="2"/>
  <c r="N238" i="2"/>
  <c r="E507" i="2"/>
  <c r="I506" i="2"/>
  <c r="D501" i="2"/>
  <c r="D809" i="2" a="1"/>
  <c r="D809" i="2"/>
  <c r="C403" i="2"/>
  <c r="D535" i="2"/>
  <c r="D536" i="2"/>
  <c r="F442" i="2"/>
  <c r="K442" i="2"/>
  <c r="G441" i="2"/>
  <c r="C447" i="2"/>
  <c r="C445" i="2"/>
  <c r="D442" i="2"/>
  <c r="D507" i="2"/>
  <c r="H506" i="2"/>
  <c r="L670" i="2"/>
  <c r="C501" i="2"/>
  <c r="H388" i="2"/>
  <c r="G315" i="2"/>
  <c r="L321" i="2"/>
  <c r="K313" i="2"/>
  <c r="J69" i="2"/>
  <c r="L316" i="2"/>
  <c r="L317" i="2"/>
  <c r="L322" i="2"/>
  <c r="F315" i="2"/>
  <c r="J313" i="2"/>
  <c r="O319" i="2"/>
  <c r="F300" i="2"/>
  <c r="H59" i="2"/>
  <c r="F388" i="2"/>
  <c r="O314" i="2"/>
  <c r="I313" i="2"/>
  <c r="N319" i="2"/>
  <c r="O299" i="2"/>
  <c r="K284" i="2"/>
  <c r="K288" i="2"/>
  <c r="L14" i="2"/>
  <c r="J316" i="2"/>
  <c r="J317" i="2"/>
  <c r="O322" i="2"/>
  <c r="N314" i="2"/>
  <c r="K14" i="2"/>
  <c r="G389" i="2"/>
  <c r="G326" i="2"/>
  <c r="M314" i="2"/>
  <c r="G313" i="2"/>
  <c r="L319" i="2"/>
  <c r="F14" i="2"/>
  <c r="L314" i="2"/>
  <c r="L320" i="2"/>
  <c r="F313" i="2"/>
  <c r="E14" i="2"/>
  <c r="O325" i="2"/>
  <c r="D14" i="2"/>
  <c r="K324" i="2"/>
  <c r="K807" i="2" a="1"/>
  <c r="K807" i="2"/>
  <c r="J314" i="2"/>
  <c r="O315" i="2"/>
  <c r="O321" i="2"/>
  <c r="I314" i="2"/>
  <c r="F299" i="2"/>
  <c r="N61" i="2"/>
  <c r="N315" i="2"/>
  <c r="N321" i="2"/>
  <c r="J301" i="2"/>
  <c r="K301" i="2"/>
  <c r="O80" i="2"/>
  <c r="M315" i="2"/>
  <c r="M321" i="2"/>
  <c r="J288" i="2"/>
  <c r="G394" i="2"/>
  <c r="D15" i="17"/>
  <c r="D13" i="17"/>
  <c r="D11" i="17"/>
  <c r="D9" i="17"/>
  <c r="D7" i="17"/>
  <c r="BH49" i="11"/>
  <c r="BI49" i="11"/>
  <c r="G19" i="18"/>
  <c r="H19" i="18"/>
  <c r="I19" i="18"/>
  <c r="J19" i="18"/>
  <c r="K19" i="18"/>
  <c r="BD21" i="3"/>
  <c r="BD22" i="3"/>
  <c r="BE18" i="5"/>
  <c r="AK18" i="5"/>
  <c r="AP18" i="5"/>
  <c r="Q18" i="5"/>
  <c r="AW13" i="17"/>
  <c r="AW15" i="17"/>
  <c r="AW11" i="17"/>
  <c r="AW9" i="17"/>
  <c r="AW7" i="17"/>
  <c r="I11" i="17"/>
  <c r="I9" i="17"/>
  <c r="I7" i="17"/>
  <c r="I15" i="17"/>
  <c r="I13" i="17"/>
  <c r="N15" i="17"/>
  <c r="N13" i="17"/>
  <c r="N11" i="17"/>
  <c r="N9" i="17"/>
  <c r="N7" i="17"/>
  <c r="AM13" i="17"/>
  <c r="AM11" i="17"/>
  <c r="AM7" i="17"/>
  <c r="AM15" i="17"/>
  <c r="AM9" i="17"/>
  <c r="X13" i="17"/>
  <c r="X15" i="17"/>
  <c r="X7" i="17"/>
  <c r="X11" i="17"/>
  <c r="X9" i="17"/>
  <c r="AC15" i="17"/>
  <c r="AC13" i="17"/>
  <c r="AC11" i="17"/>
  <c r="AC7" i="17"/>
  <c r="AC9" i="17"/>
  <c r="AH11" i="17"/>
  <c r="AH15" i="17"/>
  <c r="AH9" i="17"/>
  <c r="AH7" i="17"/>
  <c r="AH13" i="17"/>
  <c r="AR9" i="17"/>
  <c r="AR15" i="17"/>
  <c r="AR13" i="17"/>
  <c r="AR7" i="17"/>
  <c r="AR11" i="17"/>
  <c r="S9" i="17"/>
  <c r="S15" i="17"/>
  <c r="S7" i="17"/>
  <c r="S13" i="17"/>
  <c r="S11" i="17"/>
  <c r="L21" i="15"/>
  <c r="F9" i="18"/>
  <c r="O21" i="15"/>
  <c r="P21" i="15"/>
  <c r="M21" i="15"/>
  <c r="N21" i="15"/>
  <c r="AX22" i="16"/>
  <c r="AX31" i="16"/>
  <c r="AX34" i="16"/>
  <c r="U22" i="16"/>
  <c r="P22" i="16"/>
  <c r="P31" i="16"/>
  <c r="P34" i="16"/>
  <c r="AC22" i="16"/>
  <c r="AC31" i="16"/>
  <c r="AC34" i="16"/>
  <c r="BB22" i="16"/>
  <c r="BB31" i="16"/>
  <c r="BB34" i="16"/>
  <c r="R22" i="16"/>
  <c r="R31" i="16"/>
  <c r="R34" i="16"/>
  <c r="V22" i="16"/>
  <c r="V31" i="16"/>
  <c r="V34" i="16"/>
  <c r="AO22" i="16"/>
  <c r="AA22" i="16"/>
  <c r="AH22" i="16"/>
  <c r="AH31" i="16"/>
  <c r="AH34" i="16"/>
  <c r="AM22" i="16"/>
  <c r="AM31" i="16"/>
  <c r="AM34" i="16"/>
  <c r="O22" i="16"/>
  <c r="O31" i="16"/>
  <c r="O34" i="16"/>
  <c r="AB22" i="16"/>
  <c r="AB31" i="16"/>
  <c r="AB34" i="16"/>
  <c r="AW22" i="16"/>
  <c r="AW31" i="16"/>
  <c r="AW34" i="16"/>
  <c r="BG22" i="16"/>
  <c r="Z22" i="16"/>
  <c r="BC22" i="16"/>
  <c r="BC31" i="16"/>
  <c r="BC34" i="16"/>
  <c r="AW21" i="17"/>
  <c r="Q22" i="16"/>
  <c r="Q31" i="16"/>
  <c r="Q34" i="16"/>
  <c r="AE22" i="16"/>
  <c r="AF22" i="16"/>
  <c r="AF31" i="16"/>
  <c r="AF34" i="16"/>
  <c r="AR22" i="16"/>
  <c r="AR31" i="16"/>
  <c r="AR34" i="16"/>
  <c r="AK22" i="16"/>
  <c r="S22" i="16"/>
  <c r="AP22" i="16"/>
  <c r="AU22" i="16"/>
  <c r="AU31" i="16"/>
  <c r="AU34" i="16"/>
  <c r="AG22" i="16"/>
  <c r="Y22" i="16"/>
  <c r="Y31" i="16"/>
  <c r="Y34" i="16"/>
  <c r="AI22" i="16"/>
  <c r="AI31" i="16"/>
  <c r="AI34" i="16"/>
  <c r="AS22" i="16"/>
  <c r="AS31" i="16"/>
  <c r="AS34" i="16"/>
  <c r="X22" i="16"/>
  <c r="X31" i="16"/>
  <c r="X34" i="16"/>
  <c r="AY22" i="16"/>
  <c r="T22" i="16"/>
  <c r="AN22" i="16"/>
  <c r="AN31" i="16"/>
  <c r="AN34" i="16"/>
  <c r="H7" i="17"/>
  <c r="N22" i="16"/>
  <c r="N31" i="16"/>
  <c r="N34" i="16"/>
  <c r="AJ22" i="16"/>
  <c r="AD22" i="16"/>
  <c r="AZ22" i="16"/>
  <c r="W22" i="16"/>
  <c r="W31" i="16"/>
  <c r="W34" i="16"/>
  <c r="AT22" i="16"/>
  <c r="BA4" i="16"/>
  <c r="BA11" i="16"/>
  <c r="BA9" i="16"/>
  <c r="AL4" i="16"/>
  <c r="AL11" i="16"/>
  <c r="AL9" i="16"/>
  <c r="BF4" i="16"/>
  <c r="BF11" i="16"/>
  <c r="BF9" i="16"/>
  <c r="AV4" i="16"/>
  <c r="AV11" i="16"/>
  <c r="AV9" i="16"/>
  <c r="AQ4" i="16"/>
  <c r="AQ11" i="16"/>
  <c r="AQ9" i="16"/>
  <c r="Z21" i="17"/>
  <c r="AR21" i="17"/>
  <c r="R27" i="16"/>
  <c r="BE27" i="16"/>
  <c r="BD27" i="16"/>
  <c r="F11" i="18"/>
  <c r="BH51" i="11"/>
  <c r="BH52" i="11"/>
  <c r="BJ51" i="11"/>
  <c r="BI51" i="11"/>
  <c r="BK51" i="11"/>
  <c r="BL51" i="11"/>
  <c r="BH10" i="3"/>
  <c r="BD10" i="3"/>
  <c r="BD12" i="3"/>
  <c r="BE9" i="3"/>
  <c r="BE10" i="3"/>
  <c r="BF10" i="3"/>
  <c r="BG10" i="3"/>
  <c r="BJ33" i="1"/>
  <c r="BL33" i="1"/>
  <c r="BH10" i="1"/>
  <c r="BJ10" i="1"/>
  <c r="BH33" i="1"/>
  <c r="BI33" i="1"/>
  <c r="BI10" i="1"/>
  <c r="BK10" i="1"/>
  <c r="BL10" i="1"/>
  <c r="BK33" i="1"/>
  <c r="BB28" i="12"/>
  <c r="BC28" i="12"/>
  <c r="BA28" i="12"/>
  <c r="BA29" i="12"/>
  <c r="BD28" i="12"/>
  <c r="BE28" i="12"/>
  <c r="Z30" i="12"/>
  <c r="Z35" i="12"/>
  <c r="AA31" i="12"/>
  <c r="F6" i="18" a="1"/>
  <c r="F7" i="18" a="1"/>
  <c r="BH11" i="1"/>
  <c r="T21" i="17"/>
  <c r="Q27" i="16"/>
  <c r="V31" i="12"/>
  <c r="V34" i="12"/>
  <c r="R32" i="12"/>
  <c r="L31" i="12"/>
  <c r="AZ34" i="12"/>
  <c r="AF34" i="12"/>
  <c r="Q31" i="12"/>
  <c r="L34" i="12"/>
  <c r="M32" i="12"/>
  <c r="P30" i="12"/>
  <c r="P35" i="12"/>
  <c r="AP34" i="12"/>
  <c r="AU31" i="12"/>
  <c r="K30" i="12"/>
  <c r="K35" i="12"/>
  <c r="AU34" i="12"/>
  <c r="AA34" i="12"/>
  <c r="AA21" i="17"/>
  <c r="V21" i="17"/>
  <c r="AI21" i="17"/>
  <c r="S21" i="17"/>
  <c r="L21" i="17"/>
  <c r="AO21" i="17"/>
  <c r="O21" i="17"/>
  <c r="AN21" i="17"/>
  <c r="H9" i="17"/>
  <c r="X21" i="17"/>
  <c r="H15" i="17"/>
  <c r="AD21" i="17"/>
  <c r="H13" i="17"/>
  <c r="U21" i="17"/>
  <c r="AT21" i="17"/>
  <c r="H11" i="17"/>
  <c r="K21" i="17"/>
  <c r="Y21" i="17"/>
  <c r="H21" i="17"/>
  <c r="X26" i="11"/>
  <c r="X29" i="11"/>
  <c r="T26" i="11"/>
  <c r="T29" i="11"/>
  <c r="U26" i="11"/>
  <c r="U29" i="11"/>
  <c r="V26" i="11"/>
  <c r="V29" i="11"/>
  <c r="W26" i="11"/>
  <c r="W29" i="11"/>
  <c r="AS11" i="11"/>
  <c r="AW11" i="11"/>
  <c r="AS13" i="11"/>
  <c r="AS17" i="11"/>
  <c r="AD21" i="11"/>
  <c r="AH21" i="11"/>
  <c r="K41" i="11"/>
  <c r="K44" i="11"/>
  <c r="K24" i="11"/>
  <c r="L21" i="11"/>
  <c r="AL44" i="11"/>
  <c r="S21" i="11"/>
  <c r="O21" i="11"/>
  <c r="BB11" i="11"/>
  <c r="AN11" i="11"/>
  <c r="AR11" i="11"/>
  <c r="AN13" i="11"/>
  <c r="AN17" i="11"/>
  <c r="AA24" i="11"/>
  <c r="AB21" i="11"/>
  <c r="AQ32" i="12"/>
  <c r="AU32" i="12"/>
  <c r="AP31" i="12"/>
  <c r="AL32" i="12"/>
  <c r="AP32" i="12"/>
  <c r="AK31" i="12"/>
  <c r="AJ30" i="12"/>
  <c r="AJ35" i="12"/>
  <c r="AG32" i="12"/>
  <c r="AF31" i="12"/>
  <c r="AE30" i="12"/>
  <c r="AE35" i="12"/>
  <c r="U32" i="12"/>
  <c r="W31" i="12"/>
  <c r="U31" i="12"/>
  <c r="M31" i="12"/>
  <c r="K31" i="12"/>
  <c r="AP68" i="9"/>
  <c r="AP71" i="9"/>
  <c r="V68" i="9"/>
  <c r="G68" i="9"/>
  <c r="G71" i="9"/>
  <c r="AA68" i="9"/>
  <c r="L68" i="9"/>
  <c r="Q68" i="9"/>
  <c r="AU68" i="9"/>
  <c r="AU71" i="9"/>
  <c r="F485" i="2"/>
  <c r="F555" i="2" a="1"/>
  <c r="F555" i="2"/>
  <c r="F539" i="2" a="1"/>
  <c r="F539" i="2"/>
  <c r="H71" i="9"/>
  <c r="I70" i="9"/>
  <c r="J70" i="9"/>
  <c r="K70" i="9"/>
  <c r="L70" i="9"/>
  <c r="M70" i="9"/>
  <c r="M71" i="9"/>
  <c r="N70" i="9"/>
  <c r="AV71" i="9"/>
  <c r="D71" i="9"/>
  <c r="AT71" i="9"/>
  <c r="AS71" i="9"/>
  <c r="F71" i="9"/>
  <c r="E71" i="9"/>
  <c r="AR71" i="9"/>
  <c r="D738" i="2"/>
  <c r="D806" i="2" a="1"/>
  <c r="D806" i="2"/>
  <c r="F738" i="2"/>
  <c r="F806" i="2" a="1"/>
  <c r="F806" i="2"/>
  <c r="H738" i="2"/>
  <c r="H806" i="2" a="1"/>
  <c r="H806" i="2"/>
  <c r="L738" i="2"/>
  <c r="L806" i="2" a="1"/>
  <c r="L806" i="2"/>
  <c r="N738" i="2"/>
  <c r="N806" i="2" a="1"/>
  <c r="N806" i="2"/>
  <c r="H809" i="2" a="1"/>
  <c r="H809" i="2"/>
  <c r="AZ18" i="5"/>
  <c r="AA18" i="5"/>
  <c r="AQ18" i="5"/>
  <c r="AG18" i="5"/>
  <c r="S14" i="5"/>
  <c r="BF18" i="5"/>
  <c r="V18" i="5"/>
  <c r="AV18" i="5"/>
  <c r="N555" i="2" a="1"/>
  <c r="N555" i="2"/>
  <c r="N539" i="2" a="1"/>
  <c r="N539" i="2"/>
  <c r="H555" i="2" a="1"/>
  <c r="H555" i="2"/>
  <c r="H539" i="2" a="1"/>
  <c r="H539" i="2"/>
  <c r="BB18" i="3"/>
  <c r="BB22" i="3"/>
  <c r="AT14" i="3"/>
  <c r="AY14" i="3"/>
  <c r="AY18" i="3"/>
  <c r="AY22" i="3"/>
  <c r="N14" i="5"/>
  <c r="AC14" i="5"/>
  <c r="AN11" i="5"/>
  <c r="AN14" i="5"/>
  <c r="AW14" i="5"/>
  <c r="AX14" i="5"/>
  <c r="AX11" i="5"/>
  <c r="BC11" i="5"/>
  <c r="BC14" i="5"/>
  <c r="C401" i="2"/>
  <c r="C417" i="2"/>
  <c r="C389" i="2"/>
  <c r="C326" i="2"/>
  <c r="I405" i="2"/>
  <c r="C394" i="2"/>
  <c r="C331" i="2"/>
  <c r="M809" i="2" a="1"/>
  <c r="M809" i="2"/>
  <c r="F714" i="2"/>
  <c r="J401" i="2"/>
  <c r="J405" i="2"/>
  <c r="J394" i="2"/>
  <c r="F715" i="2"/>
  <c r="E715" i="2"/>
  <c r="O416" i="2"/>
  <c r="N405" i="2"/>
  <c r="N796" i="2" a="1"/>
  <c r="N796" i="2"/>
  <c r="F713" i="2"/>
  <c r="M302" i="2"/>
  <c r="M303" i="2"/>
  <c r="O302" i="2"/>
  <c r="O303" i="2"/>
  <c r="AN14" i="3"/>
  <c r="AN18" i="3"/>
  <c r="AN22" i="3"/>
  <c r="AM18" i="3"/>
  <c r="AM22" i="3"/>
  <c r="AN9" i="3"/>
  <c r="AJ9" i="3"/>
  <c r="AI14" i="3"/>
  <c r="AI18" i="3"/>
  <c r="AI22" i="3"/>
  <c r="AH18" i="3"/>
  <c r="AH22" i="3"/>
  <c r="AX14" i="3"/>
  <c r="AX18" i="3"/>
  <c r="AX22" i="3"/>
  <c r="AW18" i="3"/>
  <c r="AW22" i="3"/>
  <c r="AS14" i="3"/>
  <c r="AS18" i="3"/>
  <c r="AS22" i="3"/>
  <c r="AR18" i="3"/>
  <c r="AR22" i="3"/>
  <c r="AR13" i="3"/>
  <c r="AM13" i="3"/>
  <c r="AN12" i="3"/>
  <c r="L555" i="2" a="1"/>
  <c r="L555" i="2"/>
  <c r="L539" i="2" a="1"/>
  <c r="L539" i="2"/>
  <c r="I539" i="2" a="1"/>
  <c r="I539" i="2"/>
  <c r="BC18" i="3"/>
  <c r="BC22" i="3"/>
  <c r="AT18" i="3"/>
  <c r="AT22" i="3"/>
  <c r="D389" i="2"/>
  <c r="D326" i="2"/>
  <c r="I389" i="2"/>
  <c r="I326" i="2"/>
  <c r="I325" i="2"/>
  <c r="E325" i="2"/>
  <c r="I394" i="2"/>
  <c r="I331" i="2"/>
  <c r="E394" i="2"/>
  <c r="E331" i="2"/>
  <c r="K394" i="2"/>
  <c r="K395" i="2"/>
  <c r="O713" i="2"/>
  <c r="G401" i="2"/>
  <c r="G405" i="2"/>
  <c r="D416" i="2"/>
  <c r="L405" i="2"/>
  <c r="L796" i="2" a="1"/>
  <c r="L796" i="2"/>
  <c r="K416" i="2"/>
  <c r="D394" i="2"/>
  <c r="D331" i="2"/>
  <c r="E389" i="2"/>
  <c r="E326" i="2"/>
  <c r="E416" i="2"/>
  <c r="O320" i="2"/>
  <c r="J389" i="2"/>
  <c r="J326" i="2"/>
  <c r="L394" i="2"/>
  <c r="L395" i="2"/>
  <c r="L302" i="2"/>
  <c r="L303" i="2"/>
  <c r="AG18" i="1"/>
  <c r="AG51" i="1"/>
  <c r="O18" i="1"/>
  <c r="O51" i="1"/>
  <c r="Q18" i="1"/>
  <c r="Q51" i="1"/>
  <c r="AV18" i="1"/>
  <c r="AV51" i="1"/>
  <c r="L18" i="1"/>
  <c r="L51" i="1"/>
  <c r="AF18" i="1"/>
  <c r="AF51" i="1"/>
  <c r="P18" i="1"/>
  <c r="P51" i="1"/>
  <c r="AY18" i="1"/>
  <c r="AY51" i="1"/>
  <c r="AU18" i="1"/>
  <c r="AU51" i="1"/>
  <c r="AE18" i="1"/>
  <c r="AE51" i="1"/>
  <c r="AC14" i="1"/>
  <c r="AB18" i="1"/>
  <c r="AB51" i="1"/>
  <c r="AL18" i="1"/>
  <c r="AL51" i="1"/>
  <c r="W51" i="1"/>
  <c r="V18" i="1"/>
  <c r="V51" i="1"/>
  <c r="AT18" i="1"/>
  <c r="AT51" i="1"/>
  <c r="T18" i="1"/>
  <c r="T51" i="1"/>
  <c r="K18" i="1"/>
  <c r="K51" i="1"/>
  <c r="M18" i="1"/>
  <c r="M51" i="1"/>
  <c r="BA18" i="1"/>
  <c r="BA51" i="1"/>
  <c r="AD18" i="1"/>
  <c r="AD51" i="1"/>
  <c r="AK18" i="1"/>
  <c r="AK51" i="1"/>
  <c r="U18" i="1"/>
  <c r="U51" i="1"/>
  <c r="J18" i="1"/>
  <c r="J51" i="1"/>
  <c r="R18" i="1"/>
  <c r="R51" i="1"/>
  <c r="AS18" i="1"/>
  <c r="AS51" i="1"/>
  <c r="K321" i="2"/>
  <c r="K302" i="2"/>
  <c r="K303" i="2"/>
  <c r="J732" i="2"/>
  <c r="AR14" i="1"/>
  <c r="AN51" i="1"/>
  <c r="J302" i="2"/>
  <c r="J303" i="2"/>
  <c r="K319" i="2"/>
  <c r="AN11" i="1"/>
  <c r="AM14" i="1"/>
  <c r="N14" i="1"/>
  <c r="S14" i="1"/>
  <c r="BB14" i="1"/>
  <c r="AH14" i="1"/>
  <c r="X14" i="1"/>
  <c r="BC14" i="1"/>
  <c r="BC18" i="1"/>
  <c r="BC11" i="1"/>
  <c r="AW14" i="1"/>
  <c r="H627" i="2"/>
  <c r="G628" i="2"/>
  <c r="C485" i="2"/>
  <c r="M497" i="2"/>
  <c r="M514" i="2"/>
  <c r="M515" i="2"/>
  <c r="M516" i="2"/>
  <c r="M517" i="2"/>
  <c r="M494" i="2"/>
  <c r="D555" i="2" a="1"/>
  <c r="D555" i="2"/>
  <c r="D539" i="2" a="1"/>
  <c r="D539" i="2"/>
  <c r="K405" i="2"/>
  <c r="L417" i="2"/>
  <c r="D184" i="2"/>
  <c r="D235" i="2"/>
  <c r="D186" i="2"/>
  <c r="O499" i="2"/>
  <c r="O670" i="2"/>
  <c r="M510" i="2"/>
  <c r="M511" i="2"/>
  <c r="M512" i="2"/>
  <c r="M513" i="2"/>
  <c r="M496" i="2"/>
  <c r="J696" i="2"/>
  <c r="N485" i="2"/>
  <c r="N490" i="2"/>
  <c r="L416" i="2"/>
  <c r="E164" i="2"/>
  <c r="F161" i="2"/>
  <c r="E181" i="2"/>
  <c r="I497" i="2"/>
  <c r="I514" i="2"/>
  <c r="I515" i="2"/>
  <c r="I516" i="2"/>
  <c r="I517" i="2"/>
  <c r="I494" i="2"/>
  <c r="K804" i="2"/>
  <c r="F793" i="2"/>
  <c r="F804" i="2"/>
  <c r="F494" i="2"/>
  <c r="F497" i="2"/>
  <c r="F514" i="2"/>
  <c r="L485" i="2"/>
  <c r="L490" i="2"/>
  <c r="I417" i="2"/>
  <c r="N493" i="2"/>
  <c r="N658" i="2"/>
  <c r="J417" i="2"/>
  <c r="F496" i="2"/>
  <c r="F510" i="2"/>
  <c r="F511" i="2"/>
  <c r="F512" i="2"/>
  <c r="F513" i="2"/>
  <c r="G416" i="2"/>
  <c r="I696" i="2"/>
  <c r="I416" i="2"/>
  <c r="J416" i="2"/>
  <c r="K729" i="2"/>
  <c r="E801" i="2" a="1"/>
  <c r="E801" i="2"/>
  <c r="D485" i="2"/>
  <c r="D490" i="2"/>
  <c r="N409" i="2"/>
  <c r="E806" i="2" a="1"/>
  <c r="E806" i="2"/>
  <c r="E738" i="2"/>
  <c r="K331" i="2"/>
  <c r="F302" i="2"/>
  <c r="F303" i="2"/>
  <c r="H493" i="2"/>
  <c r="H658" i="2"/>
  <c r="H495" i="2"/>
  <c r="N320" i="2"/>
  <c r="H325" i="2"/>
  <c r="H394" i="2"/>
  <c r="H401" i="2"/>
  <c r="H416" i="2"/>
  <c r="H389" i="2"/>
  <c r="H326" i="2"/>
  <c r="G493" i="2"/>
  <c r="G658" i="2"/>
  <c r="E555" i="2" a="1"/>
  <c r="E555" i="2"/>
  <c r="E539" i="2" a="1"/>
  <c r="E539" i="2"/>
  <c r="N395" i="2"/>
  <c r="N331" i="2"/>
  <c r="G555" i="2" a="1"/>
  <c r="G555" i="2"/>
  <c r="G539" i="2" a="1"/>
  <c r="G539" i="2"/>
  <c r="E405" i="2"/>
  <c r="L729" i="2"/>
  <c r="O405" i="2"/>
  <c r="M555" i="2" a="1"/>
  <c r="M555" i="2"/>
  <c r="M539" i="2" a="1"/>
  <c r="M539" i="2"/>
  <c r="O555" i="2" a="1"/>
  <c r="O555" i="2"/>
  <c r="O539" i="2" a="1"/>
  <c r="O539" i="2"/>
  <c r="M320" i="2"/>
  <c r="H472" i="2"/>
  <c r="H483" i="2"/>
  <c r="E809" i="2" a="1"/>
  <c r="E809" i="2"/>
  <c r="O729" i="2"/>
  <c r="C809" i="2" a="1"/>
  <c r="C809" i="2"/>
  <c r="J409" i="2"/>
  <c r="J796" i="2" a="1"/>
  <c r="J796" i="2"/>
  <c r="G417" i="2"/>
  <c r="M389" i="2"/>
  <c r="M326" i="2"/>
  <c r="M325" i="2"/>
  <c r="M394" i="2"/>
  <c r="M401" i="2"/>
  <c r="K497" i="2"/>
  <c r="K514" i="2"/>
  <c r="K494" i="2"/>
  <c r="J395" i="2"/>
  <c r="J331" i="2"/>
  <c r="I512" i="2"/>
  <c r="I513" i="2"/>
  <c r="O796" i="2" a="1"/>
  <c r="O796" i="2"/>
  <c r="O644" i="2"/>
  <c r="C405" i="2"/>
  <c r="K496" i="2"/>
  <c r="K510" i="2"/>
  <c r="K511" i="2"/>
  <c r="K512" i="2"/>
  <c r="K513" i="2"/>
  <c r="K555" i="2" a="1"/>
  <c r="K555" i="2"/>
  <c r="K539" i="2" a="1"/>
  <c r="K539" i="2"/>
  <c r="J539" i="2" a="1"/>
  <c r="J539" i="2"/>
  <c r="J804" i="2"/>
  <c r="J793" i="2"/>
  <c r="J806" i="2" a="1"/>
  <c r="J806" i="2"/>
  <c r="J809" i="2" a="1"/>
  <c r="J809" i="2"/>
  <c r="J738" i="2"/>
  <c r="D793" i="2"/>
  <c r="C804" i="2"/>
  <c r="D804" i="2"/>
  <c r="E804" i="2"/>
  <c r="C555" i="2" a="1"/>
  <c r="C555" i="2"/>
  <c r="C539" i="2" a="1"/>
  <c r="C539" i="2"/>
  <c r="I449" i="2"/>
  <c r="H453" i="2"/>
  <c r="J472" i="2"/>
  <c r="J483" i="2"/>
  <c r="J490" i="2"/>
  <c r="O395" i="2"/>
  <c r="O331" i="2"/>
  <c r="C494" i="2"/>
  <c r="C497" i="2"/>
  <c r="C514" i="2"/>
  <c r="C536" i="2"/>
  <c r="J441" i="2"/>
  <c r="L441" i="2"/>
  <c r="I804" i="2"/>
  <c r="F394" i="2"/>
  <c r="F401" i="2"/>
  <c r="F389" i="2"/>
  <c r="F326" i="2"/>
  <c r="F325" i="2"/>
  <c r="G738" i="2"/>
  <c r="G806" i="2" a="1"/>
  <c r="G806" i="2"/>
  <c r="G809" i="2" a="1"/>
  <c r="G809" i="2"/>
  <c r="L493" i="2"/>
  <c r="L658" i="2"/>
  <c r="L495" i="2"/>
  <c r="G485" i="2"/>
  <c r="G490" i="2"/>
  <c r="N417" i="2"/>
  <c r="D494" i="2"/>
  <c r="D497" i="2"/>
  <c r="D514" i="2"/>
  <c r="C696" i="2"/>
  <c r="G331" i="2"/>
  <c r="G395" i="2"/>
  <c r="L409" i="2"/>
  <c r="I738" i="2"/>
  <c r="I806" i="2" a="1"/>
  <c r="I806" i="2"/>
  <c r="J729" i="2"/>
  <c r="J735" i="2"/>
  <c r="O472" i="2"/>
  <c r="O483" i="2"/>
  <c r="N416" i="2"/>
  <c r="D510" i="2"/>
  <c r="D511" i="2"/>
  <c r="D512" i="2"/>
  <c r="D513" i="2"/>
  <c r="D496" i="2"/>
  <c r="K59" i="2"/>
  <c r="K75" i="2"/>
  <c r="H75" i="2"/>
  <c r="C806" i="2" a="1"/>
  <c r="C806" i="2"/>
  <c r="C738" i="2"/>
  <c r="O804" i="2"/>
  <c r="O793" i="2"/>
  <c r="E485" i="2"/>
  <c r="E490" i="2"/>
  <c r="K809" i="2" a="1"/>
  <c r="K809" i="2"/>
  <c r="K816" i="2" a="1"/>
  <c r="K816" i="2"/>
  <c r="M806" i="2" a="1"/>
  <c r="M806" i="2"/>
  <c r="M738" i="2"/>
  <c r="C510" i="2"/>
  <c r="C511" i="2"/>
  <c r="C512" i="2"/>
  <c r="C513" i="2"/>
  <c r="J797" i="2" a="1"/>
  <c r="J797" i="2"/>
  <c r="E494" i="2"/>
  <c r="E497" i="2"/>
  <c r="E514" i="2"/>
  <c r="G409" i="2"/>
  <c r="G797" i="2" a="1"/>
  <c r="G797" i="2"/>
  <c r="G796" i="2" a="1"/>
  <c r="G796" i="2"/>
  <c r="N302" i="2"/>
  <c r="N303" i="2"/>
  <c r="I409" i="2"/>
  <c r="I797" i="2" a="1"/>
  <c r="I797" i="2"/>
  <c r="I796" i="2" a="1"/>
  <c r="I796" i="2"/>
  <c r="M485" i="2"/>
  <c r="M490" i="2"/>
  <c r="J497" i="2"/>
  <c r="J514" i="2"/>
  <c r="J515" i="2"/>
  <c r="J516" i="2"/>
  <c r="J517" i="2"/>
  <c r="J494" i="2"/>
  <c r="E510" i="2"/>
  <c r="E511" i="2"/>
  <c r="E512" i="2"/>
  <c r="E513" i="2"/>
  <c r="E496" i="2"/>
  <c r="K485" i="2"/>
  <c r="K490" i="2"/>
  <c r="O61" i="2"/>
  <c r="O237" i="2"/>
  <c r="O238" i="2"/>
  <c r="J496" i="2"/>
  <c r="J510" i="2"/>
  <c r="J511" i="2"/>
  <c r="J512" i="2"/>
  <c r="J513" i="2"/>
  <c r="N804" i="2"/>
  <c r="K696" i="2"/>
  <c r="K801" i="2" a="1"/>
  <c r="K801" i="2"/>
  <c r="I472" i="2"/>
  <c r="I483" i="2"/>
  <c r="BH7" i="16"/>
  <c r="BE21" i="3"/>
  <c r="BF21" i="3"/>
  <c r="AL18" i="5"/>
  <c r="N27" i="16"/>
  <c r="R18" i="5"/>
  <c r="Y27" i="16"/>
  <c r="AI27" i="16"/>
  <c r="AB27" i="16"/>
  <c r="AZ27" i="16"/>
  <c r="AZ31" i="16"/>
  <c r="AZ34" i="16"/>
  <c r="AD27" i="16"/>
  <c r="AD31" i="16"/>
  <c r="AD34" i="16"/>
  <c r="W27" i="16"/>
  <c r="AA27" i="16"/>
  <c r="AA31" i="16"/>
  <c r="AA34" i="16"/>
  <c r="S27" i="16"/>
  <c r="S31" i="16"/>
  <c r="S34" i="16"/>
  <c r="AK27" i="16"/>
  <c r="AK31" i="16"/>
  <c r="AK34" i="16"/>
  <c r="AU27" i="16"/>
  <c r="AJ27" i="16"/>
  <c r="AJ31" i="16"/>
  <c r="AJ34" i="16"/>
  <c r="AE27" i="16"/>
  <c r="AE31" i="16"/>
  <c r="AE34" i="16"/>
  <c r="T27" i="16"/>
  <c r="T31" i="16"/>
  <c r="T34" i="16"/>
  <c r="AY27" i="16"/>
  <c r="AY31" i="16"/>
  <c r="AY34" i="16"/>
  <c r="Z27" i="16"/>
  <c r="Z31" i="16"/>
  <c r="Z34" i="16"/>
  <c r="AP27" i="16"/>
  <c r="AP31" i="16"/>
  <c r="AP34" i="16"/>
  <c r="U27" i="16"/>
  <c r="U31" i="16"/>
  <c r="U34" i="16"/>
  <c r="BG27" i="16"/>
  <c r="BG31" i="16"/>
  <c r="BG34" i="16"/>
  <c r="AT27" i="16"/>
  <c r="AT31" i="16"/>
  <c r="AT34" i="16"/>
  <c r="AO27" i="16"/>
  <c r="AO31" i="16"/>
  <c r="AO34" i="16"/>
  <c r="AG27" i="16"/>
  <c r="AG31" i="16"/>
  <c r="AG34" i="16"/>
  <c r="BE12" i="3"/>
  <c r="BF9" i="3"/>
  <c r="BF12" i="3"/>
  <c r="BG9" i="3"/>
  <c r="BG12" i="3"/>
  <c r="BH9" i="3"/>
  <c r="BH12" i="3"/>
  <c r="BH14" i="3"/>
  <c r="BH17" i="3"/>
  <c r="BJ49" i="11"/>
  <c r="BI7" i="16"/>
  <c r="AX7" i="17"/>
  <c r="AY7" i="17"/>
  <c r="BF22" i="16"/>
  <c r="AV22" i="16"/>
  <c r="AV31" i="16"/>
  <c r="AV34" i="16"/>
  <c r="AQ22" i="16"/>
  <c r="AQ31" i="16"/>
  <c r="AQ34" i="16"/>
  <c r="AL22" i="16"/>
  <c r="AL31" i="16"/>
  <c r="AL34" i="16"/>
  <c r="BA22" i="16"/>
  <c r="BI52" i="11"/>
  <c r="AF21" i="17"/>
  <c r="AK21" i="17"/>
  <c r="AU21" i="17"/>
  <c r="O27" i="16"/>
  <c r="AS27" i="16"/>
  <c r="J21" i="17"/>
  <c r="Q21" i="17"/>
  <c r="AP21" i="17"/>
  <c r="P21" i="17"/>
  <c r="AE21" i="17"/>
  <c r="P27" i="16"/>
  <c r="BC27" i="16"/>
  <c r="AM21" i="17"/>
  <c r="V27" i="16"/>
  <c r="I21" i="17"/>
  <c r="AJ21" i="17"/>
  <c r="AS21" i="17"/>
  <c r="AX27" i="16"/>
  <c r="AF27" i="16"/>
  <c r="AL21" i="17"/>
  <c r="AR27" i="16"/>
  <c r="AV21" i="17"/>
  <c r="N21" i="17"/>
  <c r="BD14" i="3"/>
  <c r="BD17" i="3"/>
  <c r="BB29" i="12"/>
  <c r="BA30" i="12"/>
  <c r="AQ21" i="17"/>
  <c r="P31" i="12"/>
  <c r="Z31" i="12"/>
  <c r="AB31" i="12"/>
  <c r="Z32" i="12"/>
  <c r="AA32" i="12"/>
  <c r="V32" i="12"/>
  <c r="F6" i="18"/>
  <c r="BI37" i="1"/>
  <c r="BJ37" i="1"/>
  <c r="BK37" i="1"/>
  <c r="BL37" i="1"/>
  <c r="BH37" i="1"/>
  <c r="F7" i="18"/>
  <c r="BH35" i="1"/>
  <c r="BI35" i="1"/>
  <c r="BJ35" i="1"/>
  <c r="BK35" i="1"/>
  <c r="BL35" i="1"/>
  <c r="BI11" i="1"/>
  <c r="BJ11" i="1"/>
  <c r="BK11" i="1"/>
  <c r="BL11" i="1"/>
  <c r="BH12" i="1"/>
  <c r="BH15" i="16"/>
  <c r="AH21" i="17"/>
  <c r="AH27" i="16"/>
  <c r="AB21" i="17"/>
  <c r="AM27" i="16"/>
  <c r="AG21" i="17"/>
  <c r="R31" i="12"/>
  <c r="M21" i="17"/>
  <c r="P32" i="12"/>
  <c r="Q32" i="12"/>
  <c r="AC27" i="16"/>
  <c r="W21" i="17"/>
  <c r="X27" i="16"/>
  <c r="R21" i="17"/>
  <c r="BB27" i="16"/>
  <c r="K32" i="12"/>
  <c r="L32" i="12"/>
  <c r="AC21" i="17"/>
  <c r="AW27" i="16"/>
  <c r="AN27" i="16"/>
  <c r="AD24" i="11"/>
  <c r="AE21" i="11"/>
  <c r="AB24" i="11"/>
  <c r="L41" i="11"/>
  <c r="L44" i="11"/>
  <c r="L24" i="11"/>
  <c r="M21" i="11"/>
  <c r="AC26" i="11"/>
  <c r="Y26" i="11"/>
  <c r="O41" i="11"/>
  <c r="O44" i="11"/>
  <c r="O24" i="11"/>
  <c r="P21" i="11"/>
  <c r="S41" i="11"/>
  <c r="S44" i="11"/>
  <c r="S24" i="11"/>
  <c r="AE32" i="12"/>
  <c r="AF32" i="12"/>
  <c r="AG31" i="12"/>
  <c r="AE31" i="12"/>
  <c r="AJ32" i="12"/>
  <c r="AK32" i="12"/>
  <c r="AL31" i="12"/>
  <c r="AJ31" i="12"/>
  <c r="J485" i="2"/>
  <c r="O70" i="9"/>
  <c r="N71" i="9"/>
  <c r="I71" i="9"/>
  <c r="J71" i="9"/>
  <c r="L71" i="9"/>
  <c r="K71" i="9"/>
  <c r="N722" i="2"/>
  <c r="N723" i="2"/>
  <c r="N739" i="2"/>
  <c r="L722" i="2"/>
  <c r="L723" i="2"/>
  <c r="L739" i="2"/>
  <c r="H722" i="2"/>
  <c r="H723" i="2"/>
  <c r="H739" i="2"/>
  <c r="F722" i="2"/>
  <c r="F723" i="2"/>
  <c r="F739" i="2"/>
  <c r="D722" i="2"/>
  <c r="D723" i="2"/>
  <c r="D739" i="2"/>
  <c r="AB18" i="5"/>
  <c r="BA18" i="5"/>
  <c r="W18" i="5"/>
  <c r="BG14" i="5"/>
  <c r="BB14" i="5"/>
  <c r="AR14" i="5"/>
  <c r="C395" i="2"/>
  <c r="O304" i="2"/>
  <c r="L797" i="2" a="1"/>
  <c r="L797" i="2"/>
  <c r="N797" i="2" a="1"/>
  <c r="N797" i="2"/>
  <c r="I395" i="2"/>
  <c r="C416" i="2"/>
  <c r="AS13" i="3"/>
  <c r="AS9" i="3"/>
  <c r="AN13" i="3"/>
  <c r="AO9" i="3"/>
  <c r="AJ11" i="3"/>
  <c r="AN11" i="3"/>
  <c r="AJ14" i="3"/>
  <c r="AJ18" i="3"/>
  <c r="AJ22" i="3"/>
  <c r="D395" i="2"/>
  <c r="D332" i="2"/>
  <c r="J803" i="2" a="1"/>
  <c r="J803" i="2"/>
  <c r="E395" i="2"/>
  <c r="E332" i="2"/>
  <c r="L331" i="2"/>
  <c r="X18" i="1"/>
  <c r="X51" i="1"/>
  <c r="AH18" i="1"/>
  <c r="AH51" i="1"/>
  <c r="AW18" i="1"/>
  <c r="AW51" i="1"/>
  <c r="BB18" i="1"/>
  <c r="BB51" i="1"/>
  <c r="S18" i="1"/>
  <c r="S51" i="1"/>
  <c r="N18" i="1"/>
  <c r="N51" i="1"/>
  <c r="AM18" i="1"/>
  <c r="AM51" i="1"/>
  <c r="AR18" i="1"/>
  <c r="AR51" i="1"/>
  <c r="AC18" i="1"/>
  <c r="AC51" i="1"/>
  <c r="K304" i="2"/>
  <c r="J304" i="2"/>
  <c r="BG14" i="1"/>
  <c r="BC51" i="1"/>
  <c r="M395" i="2"/>
  <c r="M331" i="2"/>
  <c r="K69" i="2"/>
  <c r="K80" i="2"/>
  <c r="O490" i="2"/>
  <c r="O485" i="2"/>
  <c r="N510" i="2"/>
  <c r="N511" i="2"/>
  <c r="N512" i="2"/>
  <c r="N513" i="2"/>
  <c r="N496" i="2"/>
  <c r="I627" i="2"/>
  <c r="H628" i="2"/>
  <c r="N414" i="2"/>
  <c r="N421" i="2"/>
  <c r="N411" i="2"/>
  <c r="N419" i="2"/>
  <c r="L696" i="2"/>
  <c r="J722" i="2"/>
  <c r="J723" i="2"/>
  <c r="J739" i="2"/>
  <c r="J332" i="2"/>
  <c r="J534" i="2"/>
  <c r="H490" i="2"/>
  <c r="H485" i="2"/>
  <c r="H405" i="2"/>
  <c r="K810" i="2"/>
  <c r="H417" i="2"/>
  <c r="D545" i="2"/>
  <c r="M722" i="2"/>
  <c r="M723" i="2"/>
  <c r="M739" i="2"/>
  <c r="L411" i="2"/>
  <c r="L419" i="2"/>
  <c r="L414" i="2"/>
  <c r="L421" i="2"/>
  <c r="D515" i="2"/>
  <c r="D516" i="2"/>
  <c r="D517" i="2"/>
  <c r="C803" i="2" a="1"/>
  <c r="C803" i="2"/>
  <c r="C797" i="2" a="1"/>
  <c r="C797" i="2"/>
  <c r="C409" i="2"/>
  <c r="C796" i="2" a="1"/>
  <c r="C796" i="2"/>
  <c r="O493" i="2"/>
  <c r="O658" i="2"/>
  <c r="G411" i="2"/>
  <c r="G419" i="2"/>
  <c r="G414" i="2"/>
  <c r="G421" i="2"/>
  <c r="J411" i="2"/>
  <c r="J419" i="2"/>
  <c r="J414" i="2"/>
  <c r="J421" i="2"/>
  <c r="H331" i="2"/>
  <c r="H395" i="2"/>
  <c r="I722" i="2"/>
  <c r="I723" i="2"/>
  <c r="I739" i="2"/>
  <c r="L497" i="2"/>
  <c r="L514" i="2"/>
  <c r="L515" i="2"/>
  <c r="L516" i="2"/>
  <c r="L517" i="2"/>
  <c r="L494" i="2"/>
  <c r="C515" i="2"/>
  <c r="C516" i="2"/>
  <c r="C517" i="2"/>
  <c r="K515" i="2"/>
  <c r="K516" i="2"/>
  <c r="K517" i="2"/>
  <c r="J801" i="2" a="1"/>
  <c r="J801" i="2"/>
  <c r="L496" i="2"/>
  <c r="L510" i="2"/>
  <c r="L511" i="2"/>
  <c r="L512" i="2"/>
  <c r="L513" i="2"/>
  <c r="C535" i="2"/>
  <c r="C534" i="2"/>
  <c r="C332" i="2"/>
  <c r="F515" i="2"/>
  <c r="F516" i="2"/>
  <c r="F517" i="2"/>
  <c r="O409" i="2"/>
  <c r="O797" i="2" a="1"/>
  <c r="O797" i="2"/>
  <c r="H494" i="2"/>
  <c r="H497" i="2"/>
  <c r="H514" i="2"/>
  <c r="H515" i="2"/>
  <c r="H516" i="2"/>
  <c r="H517" i="2"/>
  <c r="E515" i="2"/>
  <c r="E516" i="2"/>
  <c r="E517" i="2"/>
  <c r="M405" i="2"/>
  <c r="M417" i="2"/>
  <c r="H496" i="2"/>
  <c r="H510" i="2"/>
  <c r="H511" i="2"/>
  <c r="H512" i="2"/>
  <c r="H513" i="2"/>
  <c r="O534" i="2"/>
  <c r="O332" i="2"/>
  <c r="O738" i="2"/>
  <c r="O806" i="2" a="1"/>
  <c r="O806" i="2"/>
  <c r="O809" i="2" a="1"/>
  <c r="O809" i="2"/>
  <c r="G332" i="2"/>
  <c r="G534" i="2"/>
  <c r="E409" i="2"/>
  <c r="E796" i="2" a="1"/>
  <c r="E796" i="2"/>
  <c r="E797" i="2" a="1"/>
  <c r="E797" i="2"/>
  <c r="M416" i="2"/>
  <c r="K534" i="2"/>
  <c r="K332" i="2"/>
  <c r="I332" i="2"/>
  <c r="I534" i="2"/>
  <c r="K545" i="2"/>
  <c r="I490" i="2"/>
  <c r="I485" i="2"/>
  <c r="H69" i="2"/>
  <c r="H80" i="2"/>
  <c r="C801" i="2" a="1"/>
  <c r="C801" i="2"/>
  <c r="C699" i="2"/>
  <c r="F405" i="2"/>
  <c r="K803" i="2" a="1"/>
  <c r="K803" i="2"/>
  <c r="F417" i="2"/>
  <c r="J449" i="2"/>
  <c r="I453" i="2"/>
  <c r="F416" i="2"/>
  <c r="D240" i="2"/>
  <c r="C540" i="2" a="1"/>
  <c r="C540" i="2"/>
  <c r="C541" i="2"/>
  <c r="C544" i="2"/>
  <c r="C545" i="2"/>
  <c r="N534" i="2"/>
  <c r="N332" i="2"/>
  <c r="E739" i="2"/>
  <c r="E722" i="2"/>
  <c r="E723" i="2"/>
  <c r="D185" i="2"/>
  <c r="D239" i="2"/>
  <c r="H696" i="2"/>
  <c r="I801" i="2" a="1"/>
  <c r="I801" i="2"/>
  <c r="E545" i="2"/>
  <c r="D801" i="2" a="1"/>
  <c r="D801" i="2"/>
  <c r="F331" i="2"/>
  <c r="F395" i="2"/>
  <c r="G495" i="2"/>
  <c r="G696" i="2"/>
  <c r="E184" i="2"/>
  <c r="E235" i="2"/>
  <c r="E186" i="2"/>
  <c r="F545" i="2"/>
  <c r="F801" i="2" a="1"/>
  <c r="F801" i="2"/>
  <c r="G722" i="2"/>
  <c r="G723" i="2"/>
  <c r="G739" i="2"/>
  <c r="D409" i="2"/>
  <c r="D796" i="2" a="1"/>
  <c r="D796" i="2"/>
  <c r="D803" i="2" a="1"/>
  <c r="D803" i="2"/>
  <c r="D797" i="2" a="1"/>
  <c r="D797" i="2"/>
  <c r="N495" i="2"/>
  <c r="N696" i="2"/>
  <c r="F164" i="2"/>
  <c r="F181" i="2"/>
  <c r="K409" i="2"/>
  <c r="K797" i="2" a="1"/>
  <c r="K797" i="2"/>
  <c r="K796" i="2" a="1"/>
  <c r="K796" i="2"/>
  <c r="L534" i="2"/>
  <c r="L332" i="2"/>
  <c r="G496" i="2"/>
  <c r="G510" i="2"/>
  <c r="G511" i="2"/>
  <c r="G512" i="2"/>
  <c r="G513" i="2"/>
  <c r="I411" i="2"/>
  <c r="I419" i="2"/>
  <c r="I414" i="2"/>
  <c r="I421" i="2"/>
  <c r="BE22" i="3"/>
  <c r="BF14" i="3"/>
  <c r="BF17" i="3"/>
  <c r="AV27" i="16"/>
  <c r="AL27" i="16"/>
  <c r="BA27" i="16"/>
  <c r="BA31" i="16"/>
  <c r="BA34" i="16"/>
  <c r="BF27" i="16"/>
  <c r="BF31" i="16"/>
  <c r="BF34" i="16"/>
  <c r="AQ27" i="16"/>
  <c r="BE14" i="3"/>
  <c r="BE17" i="3"/>
  <c r="BA33" i="12"/>
  <c r="BA35" i="12"/>
  <c r="BG14" i="3"/>
  <c r="BG17" i="3"/>
  <c r="L20" i="15"/>
  <c r="L24" i="15"/>
  <c r="BK49" i="11"/>
  <c r="BJ7" i="16"/>
  <c r="BD24" i="3"/>
  <c r="BH6" i="16"/>
  <c r="BG21" i="3"/>
  <c r="BF22" i="3"/>
  <c r="AZ7" i="17"/>
  <c r="BA7" i="17"/>
  <c r="BB7" i="17"/>
  <c r="BJ52" i="11"/>
  <c r="BH18" i="16"/>
  <c r="AX13" i="17"/>
  <c r="AX11" i="17"/>
  <c r="AY11" i="17"/>
  <c r="BA32" i="12"/>
  <c r="BA31" i="12"/>
  <c r="BA38" i="12"/>
  <c r="BA36" i="12"/>
  <c r="BH10" i="16"/>
  <c r="BC29" i="12"/>
  <c r="BB30" i="12"/>
  <c r="AX15" i="17"/>
  <c r="BL32" i="1"/>
  <c r="BL34" i="1"/>
  <c r="BI41" i="1"/>
  <c r="BI21" i="1"/>
  <c r="BI32" i="1"/>
  <c r="BI34" i="1"/>
  <c r="BH41" i="1"/>
  <c r="BH50" i="1"/>
  <c r="BH51" i="1"/>
  <c r="BH32" i="1"/>
  <c r="BH34" i="1"/>
  <c r="BK32" i="1"/>
  <c r="BK34" i="1"/>
  <c r="BJ34" i="1"/>
  <c r="BJ32" i="1"/>
  <c r="BL41" i="1"/>
  <c r="BL21" i="1"/>
  <c r="BK41" i="1"/>
  <c r="BK21" i="1"/>
  <c r="BJ41" i="1"/>
  <c r="BJ50" i="1"/>
  <c r="BJ51" i="1"/>
  <c r="AX9" i="17"/>
  <c r="BH14" i="1"/>
  <c r="BH13" i="1"/>
  <c r="BI9" i="1"/>
  <c r="M41" i="11"/>
  <c r="M44" i="11"/>
  <c r="M24" i="11"/>
  <c r="T21" i="11"/>
  <c r="X21" i="11"/>
  <c r="X41" i="11"/>
  <c r="X44" i="11"/>
  <c r="P24" i="11"/>
  <c r="Q21" i="11"/>
  <c r="P41" i="11"/>
  <c r="P44" i="11"/>
  <c r="Y29" i="11"/>
  <c r="Z26" i="11"/>
  <c r="Y41" i="11"/>
  <c r="Y44" i="11"/>
  <c r="AC29" i="11"/>
  <c r="AC41" i="11"/>
  <c r="AC44" i="11"/>
  <c r="AE24" i="11"/>
  <c r="AF21" i="11"/>
  <c r="P70" i="9"/>
  <c r="O71" i="9"/>
  <c r="O495" i="2"/>
  <c r="O696" i="2"/>
  <c r="N801" i="2" a="1"/>
  <c r="N801" i="2"/>
  <c r="D534" i="2"/>
  <c r="E534" i="2"/>
  <c r="AO11" i="3"/>
  <c r="AS11" i="3"/>
  <c r="AO14" i="3"/>
  <c r="AO18" i="3"/>
  <c r="AO22" i="3"/>
  <c r="BG18" i="1"/>
  <c r="F409" i="2"/>
  <c r="F796" i="2" a="1"/>
  <c r="F796" i="2"/>
  <c r="F803" i="2" a="1"/>
  <c r="F803" i="2"/>
  <c r="F797" i="2" a="1"/>
  <c r="F797" i="2"/>
  <c r="M409" i="2"/>
  <c r="M796" i="2" a="1"/>
  <c r="M796" i="2"/>
  <c r="M803" i="2" a="1"/>
  <c r="M803" i="2"/>
  <c r="M797" i="2" a="1"/>
  <c r="M797" i="2"/>
  <c r="N803" i="2" a="1"/>
  <c r="N803" i="2"/>
  <c r="L803" i="2" a="1"/>
  <c r="L803" i="2"/>
  <c r="H332" i="2"/>
  <c r="H534" i="2"/>
  <c r="M534" i="2"/>
  <c r="M332" i="2"/>
  <c r="H801" i="2" a="1"/>
  <c r="H801" i="2"/>
  <c r="M801" i="2" a="1"/>
  <c r="M801" i="2"/>
  <c r="D698" i="2"/>
  <c r="D699" i="2"/>
  <c r="C704" i="2"/>
  <c r="C805" i="2" a="1"/>
  <c r="C805" i="2"/>
  <c r="E803" i="2" a="1"/>
  <c r="E803" i="2"/>
  <c r="I803" i="2" a="1"/>
  <c r="I803" i="2"/>
  <c r="L801" i="2" a="1"/>
  <c r="L801" i="2"/>
  <c r="K449" i="2"/>
  <c r="K453" i="2"/>
  <c r="L449" i="2"/>
  <c r="J453" i="2"/>
  <c r="I420" i="2"/>
  <c r="I444" i="2"/>
  <c r="F332" i="2"/>
  <c r="F534" i="2"/>
  <c r="E414" i="2"/>
  <c r="E421" i="2"/>
  <c r="E543" i="2"/>
  <c r="E411" i="2"/>
  <c r="E419" i="2"/>
  <c r="J420" i="2"/>
  <c r="J444" i="2"/>
  <c r="L420" i="2"/>
  <c r="L444" i="2"/>
  <c r="N444" i="2"/>
  <c r="N420" i="2"/>
  <c r="K411" i="2"/>
  <c r="K420" i="2"/>
  <c r="K419" i="2"/>
  <c r="K414" i="2"/>
  <c r="K421" i="2"/>
  <c r="K543" i="2"/>
  <c r="E240" i="2"/>
  <c r="F184" i="2"/>
  <c r="F186" i="2"/>
  <c r="F235" i="2"/>
  <c r="E185" i="2"/>
  <c r="E239" i="2"/>
  <c r="G444" i="2"/>
  <c r="G420" i="2"/>
  <c r="G161" i="2"/>
  <c r="K161" i="2"/>
  <c r="G801" i="2" a="1"/>
  <c r="G801" i="2"/>
  <c r="C546" i="2"/>
  <c r="O497" i="2"/>
  <c r="O514" i="2"/>
  <c r="O515" i="2"/>
  <c r="O516" i="2"/>
  <c r="O517" i="2"/>
  <c r="O494" i="2"/>
  <c r="J627" i="2"/>
  <c r="I628" i="2"/>
  <c r="O414" i="2"/>
  <c r="O421" i="2"/>
  <c r="O411" i="2"/>
  <c r="O419" i="2"/>
  <c r="O510" i="2"/>
  <c r="O511" i="2"/>
  <c r="O512" i="2"/>
  <c r="O513" i="2"/>
  <c r="O496" i="2"/>
  <c r="N497" i="2"/>
  <c r="N514" i="2"/>
  <c r="N515" i="2"/>
  <c r="N516" i="2"/>
  <c r="N517" i="2"/>
  <c r="N494" i="2"/>
  <c r="G494" i="2"/>
  <c r="G497" i="2"/>
  <c r="G514" i="2"/>
  <c r="G515" i="2"/>
  <c r="G516" i="2"/>
  <c r="G517" i="2"/>
  <c r="O722" i="2"/>
  <c r="O723" i="2"/>
  <c r="O739" i="2"/>
  <c r="C547" i="2"/>
  <c r="C414" i="2"/>
  <c r="C421" i="2"/>
  <c r="C543" i="2"/>
  <c r="C411" i="2"/>
  <c r="C420" i="2"/>
  <c r="C419" i="2"/>
  <c r="H409" i="2"/>
  <c r="H797" i="2" a="1"/>
  <c r="H797" i="2"/>
  <c r="H803" i="2" a="1"/>
  <c r="H803" i="2"/>
  <c r="H796" i="2" a="1"/>
  <c r="H796" i="2"/>
  <c r="G803" i="2" a="1"/>
  <c r="G803" i="2"/>
  <c r="D414" i="2"/>
  <c r="D421" i="2"/>
  <c r="D543" i="2"/>
  <c r="D411" i="2"/>
  <c r="D419" i="2"/>
  <c r="BF24" i="3"/>
  <c r="BJ6" i="16"/>
  <c r="BE24" i="3"/>
  <c r="BI6" i="16"/>
  <c r="BL49" i="11"/>
  <c r="BL7" i="16"/>
  <c r="BK7" i="16"/>
  <c r="N12" i="15"/>
  <c r="D21" i="15"/>
  <c r="AX20" i="17"/>
  <c r="BH21" i="3"/>
  <c r="BH22" i="3"/>
  <c r="BH24" i="3"/>
  <c r="BL6" i="16"/>
  <c r="BG22" i="3"/>
  <c r="BG24" i="3"/>
  <c r="BK6" i="16"/>
  <c r="BK52" i="11"/>
  <c r="AY13" i="17"/>
  <c r="AZ13" i="17"/>
  <c r="BB32" i="12"/>
  <c r="BB31" i="12"/>
  <c r="BB38" i="12"/>
  <c r="BB36" i="12"/>
  <c r="BI10" i="16"/>
  <c r="BD29" i="12"/>
  <c r="BC30" i="12"/>
  <c r="BC32" i="12"/>
  <c r="AY15" i="17"/>
  <c r="AY9" i="17"/>
  <c r="AZ11" i="17"/>
  <c r="BH53" i="1"/>
  <c r="BL36" i="1"/>
  <c r="BI36" i="1"/>
  <c r="BK36" i="1"/>
  <c r="BI50" i="1"/>
  <c r="BI51" i="1"/>
  <c r="BH36" i="1"/>
  <c r="BH21" i="1"/>
  <c r="BJ36" i="1"/>
  <c r="BK50" i="1"/>
  <c r="BK51" i="1"/>
  <c r="BJ21" i="1"/>
  <c r="BL50" i="1"/>
  <c r="BL51" i="1"/>
  <c r="BG51" i="1"/>
  <c r="BH18" i="1"/>
  <c r="BI18" i="1"/>
  <c r="BJ18" i="1"/>
  <c r="BK18" i="1"/>
  <c r="BL18" i="1"/>
  <c r="BI12" i="1"/>
  <c r="BH17" i="1"/>
  <c r="T41" i="11"/>
  <c r="T44" i="11"/>
  <c r="T24" i="11"/>
  <c r="U21" i="11"/>
  <c r="AF24" i="11"/>
  <c r="AG21" i="11"/>
  <c r="Z29" i="11"/>
  <c r="AA26" i="11"/>
  <c r="Z41" i="11"/>
  <c r="Z44" i="11"/>
  <c r="Q41" i="11"/>
  <c r="Q44" i="11"/>
  <c r="Q24" i="11"/>
  <c r="R21" i="11"/>
  <c r="AD26" i="11"/>
  <c r="AH26" i="11"/>
  <c r="Q70" i="9"/>
  <c r="P71" i="9"/>
  <c r="K627" i="2"/>
  <c r="K628" i="2"/>
  <c r="L627" i="2"/>
  <c r="J628" i="2"/>
  <c r="D444" i="2"/>
  <c r="D420" i="2"/>
  <c r="G181" i="2"/>
  <c r="G164" i="2"/>
  <c r="H161" i="2"/>
  <c r="E698" i="2"/>
  <c r="E699" i="2"/>
  <c r="D704" i="2"/>
  <c r="D805" i="2" a="1"/>
  <c r="D805" i="2"/>
  <c r="F419" i="2"/>
  <c r="F414" i="2"/>
  <c r="F421" i="2"/>
  <c r="F543" i="2"/>
  <c r="F411" i="2"/>
  <c r="G447" i="2"/>
  <c r="G540" i="2" a="1"/>
  <c r="G540" i="2"/>
  <c r="G541" i="2"/>
  <c r="G445" i="2"/>
  <c r="J445" i="2"/>
  <c r="K444" i="2"/>
  <c r="J447" i="2"/>
  <c r="J540" i="2" a="1"/>
  <c r="J540" i="2"/>
  <c r="J541" i="2"/>
  <c r="E444" i="2"/>
  <c r="E420" i="2"/>
  <c r="M449" i="2"/>
  <c r="L453" i="2"/>
  <c r="H411" i="2"/>
  <c r="H419" i="2"/>
  <c r="H414" i="2"/>
  <c r="H421" i="2"/>
  <c r="O444" i="2"/>
  <c r="O420" i="2"/>
  <c r="F185" i="2"/>
  <c r="F239" i="2"/>
  <c r="F240" i="2"/>
  <c r="I445" i="2"/>
  <c r="I447" i="2"/>
  <c r="I540" i="2" a="1"/>
  <c r="I540" i="2"/>
  <c r="I541" i="2"/>
  <c r="N447" i="2"/>
  <c r="N540" i="2" a="1"/>
  <c r="N540" i="2"/>
  <c r="N541" i="2"/>
  <c r="N445" i="2"/>
  <c r="M414" i="2"/>
  <c r="M421" i="2"/>
  <c r="M411" i="2"/>
  <c r="M419" i="2"/>
  <c r="L447" i="2"/>
  <c r="L540" i="2" a="1"/>
  <c r="L540" i="2"/>
  <c r="L541" i="2"/>
  <c r="L445" i="2"/>
  <c r="K181" i="2"/>
  <c r="K164" i="2"/>
  <c r="L161" i="2"/>
  <c r="AY26" i="17"/>
  <c r="AX21" i="17"/>
  <c r="BB33" i="12"/>
  <c r="BB35" i="12"/>
  <c r="BI15" i="16"/>
  <c r="BL52" i="11"/>
  <c r="BE29" i="12"/>
  <c r="BE30" i="12"/>
  <c r="BD30" i="12"/>
  <c r="BC31" i="12"/>
  <c r="BC38" i="12"/>
  <c r="BC36" i="12"/>
  <c r="BJ10" i="16"/>
  <c r="BA11" i="17"/>
  <c r="AZ9" i="17"/>
  <c r="AZ15" i="17"/>
  <c r="BA13" i="17"/>
  <c r="BJ9" i="1"/>
  <c r="BI13" i="1"/>
  <c r="BI14" i="1"/>
  <c r="AD29" i="11"/>
  <c r="AE26" i="11"/>
  <c r="AD41" i="11"/>
  <c r="AD44" i="11"/>
  <c r="R41" i="11"/>
  <c r="R44" i="11"/>
  <c r="R24" i="11"/>
  <c r="AA29" i="11"/>
  <c r="AB26" i="11"/>
  <c r="AA41" i="11"/>
  <c r="AA44" i="11"/>
  <c r="AG23" i="11"/>
  <c r="U24" i="11"/>
  <c r="V21" i="11"/>
  <c r="U41" i="11"/>
  <c r="U44" i="11"/>
  <c r="AH41" i="11"/>
  <c r="R70" i="9"/>
  <c r="R71" i="9"/>
  <c r="S70" i="9"/>
  <c r="Q71" i="9"/>
  <c r="F280" i="2"/>
  <c r="F293" i="2"/>
  <c r="F444" i="2"/>
  <c r="F420" i="2"/>
  <c r="O445" i="2"/>
  <c r="O447" i="2"/>
  <c r="O540" i="2" a="1"/>
  <c r="O540" i="2"/>
  <c r="O541" i="2"/>
  <c r="N449" i="2"/>
  <c r="M453" i="2"/>
  <c r="M444" i="2"/>
  <c r="M420" i="2"/>
  <c r="D447" i="2"/>
  <c r="D540" i="2" a="1"/>
  <c r="D540" i="2"/>
  <c r="D445" i="2"/>
  <c r="K184" i="2"/>
  <c r="K235" i="2"/>
  <c r="H444" i="2"/>
  <c r="H420" i="2"/>
  <c r="F698" i="2"/>
  <c r="F699" i="2"/>
  <c r="E704" i="2"/>
  <c r="E805" i="2" a="1"/>
  <c r="E805" i="2"/>
  <c r="H181" i="2"/>
  <c r="H164" i="2"/>
  <c r="I161" i="2"/>
  <c r="G184" i="2"/>
  <c r="G239" i="2"/>
  <c r="G235" i="2"/>
  <c r="G240" i="2"/>
  <c r="G186" i="2"/>
  <c r="E447" i="2"/>
  <c r="E540" i="2" a="1"/>
  <c r="E540" i="2"/>
  <c r="E445" i="2"/>
  <c r="K447" i="2"/>
  <c r="K540" i="2" a="1"/>
  <c r="K540" i="2"/>
  <c r="K445" i="2"/>
  <c r="L181" i="2"/>
  <c r="L164" i="2"/>
  <c r="M161" i="2"/>
  <c r="L628" i="2"/>
  <c r="M627" i="2"/>
  <c r="AZ23" i="17"/>
  <c r="BJ20" i="16"/>
  <c r="BJ25" i="16"/>
  <c r="F16" i="15"/>
  <c r="P10" i="15"/>
  <c r="M20" i="15"/>
  <c r="M24" i="15"/>
  <c r="BI18" i="16"/>
  <c r="BE32" i="12"/>
  <c r="BD31" i="12"/>
  <c r="BD38" i="12"/>
  <c r="BD36" i="12"/>
  <c r="BK10" i="16"/>
  <c r="BD32" i="12"/>
  <c r="BE31" i="12"/>
  <c r="BB13" i="17"/>
  <c r="BA15" i="17"/>
  <c r="BA9" i="17"/>
  <c r="BB11" i="17"/>
  <c r="BI17" i="1"/>
  <c r="BI53" i="1"/>
  <c r="BJ12" i="1"/>
  <c r="AE29" i="11"/>
  <c r="AF26" i="11"/>
  <c r="AE41" i="11"/>
  <c r="AE44" i="11"/>
  <c r="V24" i="11"/>
  <c r="W21" i="11"/>
  <c r="V41" i="11"/>
  <c r="V44" i="11"/>
  <c r="AH23" i="11"/>
  <c r="AB29" i="11"/>
  <c r="AB41" i="11"/>
  <c r="AB44" i="11"/>
  <c r="T70" i="9"/>
  <c r="S71" i="9"/>
  <c r="M181" i="2"/>
  <c r="M164" i="2"/>
  <c r="N161" i="2"/>
  <c r="G280" i="2"/>
  <c r="E541" i="2"/>
  <c r="E546" i="2"/>
  <c r="H184" i="2"/>
  <c r="H239" i="2"/>
  <c r="H235" i="2"/>
  <c r="H240" i="2"/>
  <c r="H280" i="2"/>
  <c r="H186" i="2"/>
  <c r="N627" i="2"/>
  <c r="M628" i="2"/>
  <c r="K185" i="2"/>
  <c r="K239" i="2"/>
  <c r="D541" i="2"/>
  <c r="D546" i="2"/>
  <c r="F445" i="2"/>
  <c r="F447" i="2"/>
  <c r="F540" i="2" a="1"/>
  <c r="F540" i="2"/>
  <c r="K541" i="2"/>
  <c r="K546" i="2"/>
  <c r="M447" i="2"/>
  <c r="M540" i="2" a="1"/>
  <c r="M540" i="2"/>
  <c r="M541" i="2"/>
  <c r="M445" i="2"/>
  <c r="H445" i="2"/>
  <c r="H447" i="2"/>
  <c r="H540" i="2" a="1"/>
  <c r="H540" i="2"/>
  <c r="H541" i="2"/>
  <c r="L184" i="2"/>
  <c r="L186" i="2"/>
  <c r="L235" i="2"/>
  <c r="O449" i="2"/>
  <c r="O453" i="2"/>
  <c r="N453" i="2"/>
  <c r="I181" i="2"/>
  <c r="I164" i="2"/>
  <c r="J161" i="2"/>
  <c r="G698" i="2"/>
  <c r="G699" i="2"/>
  <c r="F704" i="2"/>
  <c r="K698" i="2"/>
  <c r="K699" i="2"/>
  <c r="F805" i="2" a="1"/>
  <c r="F805" i="2"/>
  <c r="BJ14" i="1"/>
  <c r="BJ53" i="1"/>
  <c r="BJ15" i="16"/>
  <c r="BC33" i="12"/>
  <c r="BC35" i="12"/>
  <c r="AY20" i="17"/>
  <c r="O12" i="15"/>
  <c r="E21" i="15"/>
  <c r="BE38" i="12"/>
  <c r="BE36" i="12"/>
  <c r="BL10" i="16"/>
  <c r="BB9" i="17"/>
  <c r="BB15" i="17"/>
  <c r="BJ13" i="1"/>
  <c r="BK9" i="1"/>
  <c r="AF29" i="11"/>
  <c r="AG26" i="11"/>
  <c r="AF41" i="11"/>
  <c r="AF44" i="11"/>
  <c r="AH24" i="11"/>
  <c r="W24" i="11"/>
  <c r="W41" i="11"/>
  <c r="W44" i="11"/>
  <c r="U70" i="9"/>
  <c r="T71" i="9"/>
  <c r="I184" i="2"/>
  <c r="I239" i="2"/>
  <c r="I235" i="2"/>
  <c r="I240" i="2"/>
  <c r="I280" i="2"/>
  <c r="I186" i="2"/>
  <c r="D544" i="2"/>
  <c r="D547" i="2"/>
  <c r="J181" i="2"/>
  <c r="J164" i="2"/>
  <c r="O627" i="2"/>
  <c r="O628" i="2"/>
  <c r="N628" i="2"/>
  <c r="E544" i="2"/>
  <c r="E547" i="2"/>
  <c r="L239" i="2"/>
  <c r="L240" i="2"/>
  <c r="L185" i="2"/>
  <c r="L698" i="2"/>
  <c r="L699" i="2"/>
  <c r="K805" i="2" a="1"/>
  <c r="K805" i="2"/>
  <c r="K704" i="2"/>
  <c r="K544" i="2"/>
  <c r="K547" i="2"/>
  <c r="N181" i="2"/>
  <c r="N164" i="2"/>
  <c r="O161" i="2"/>
  <c r="G805" i="2" a="1"/>
  <c r="G805" i="2"/>
  <c r="H698" i="2"/>
  <c r="H699" i="2"/>
  <c r="G704" i="2"/>
  <c r="F541" i="2"/>
  <c r="F546" i="2"/>
  <c r="M186" i="2"/>
  <c r="M184" i="2"/>
  <c r="M235" i="2"/>
  <c r="BJ18" i="16"/>
  <c r="BJ17" i="1"/>
  <c r="AY21" i="17"/>
  <c r="AZ26" i="17"/>
  <c r="N20" i="15"/>
  <c r="N24" i="15"/>
  <c r="BK12" i="1"/>
  <c r="AM21" i="11"/>
  <c r="AI21" i="11"/>
  <c r="AG28" i="11"/>
  <c r="AG41" i="11"/>
  <c r="V70" i="9"/>
  <c r="U71" i="9"/>
  <c r="L280" i="2"/>
  <c r="M698" i="2"/>
  <c r="M699" i="2"/>
  <c r="L805" i="2" a="1"/>
  <c r="L805" i="2"/>
  <c r="L704" i="2"/>
  <c r="H805" i="2" a="1"/>
  <c r="H805" i="2"/>
  <c r="I698" i="2"/>
  <c r="I699" i="2"/>
  <c r="H704" i="2"/>
  <c r="O164" i="2"/>
  <c r="O181" i="2"/>
  <c r="M240" i="2"/>
  <c r="N186" i="2"/>
  <c r="N184" i="2"/>
  <c r="N235" i="2"/>
  <c r="J184" i="2"/>
  <c r="J239" i="2"/>
  <c r="J235" i="2"/>
  <c r="M239" i="2"/>
  <c r="M185" i="2"/>
  <c r="F544" i="2"/>
  <c r="F547" i="2"/>
  <c r="BK14" i="1"/>
  <c r="BK17" i="1"/>
  <c r="BK15" i="16"/>
  <c r="BD33" i="12"/>
  <c r="BD35" i="12"/>
  <c r="BA23" i="17"/>
  <c r="BK20" i="16"/>
  <c r="BK25" i="16"/>
  <c r="G16" i="15"/>
  <c r="Q10" i="15"/>
  <c r="AZ20" i="17"/>
  <c r="AZ21" i="17"/>
  <c r="P12" i="15"/>
  <c r="F21" i="15"/>
  <c r="BL9" i="1"/>
  <c r="BK13" i="1"/>
  <c r="AH28" i="11"/>
  <c r="AG43" i="11"/>
  <c r="AI23" i="11"/>
  <c r="AG44" i="11"/>
  <c r="W70" i="9"/>
  <c r="W71" i="9"/>
  <c r="X70" i="9"/>
  <c r="V71" i="9"/>
  <c r="M280" i="2"/>
  <c r="I805" i="2" a="1"/>
  <c r="I805" i="2"/>
  <c r="J698" i="2"/>
  <c r="J699" i="2"/>
  <c r="I704" i="2"/>
  <c r="N698" i="2"/>
  <c r="N699" i="2"/>
  <c r="M805" i="2" a="1"/>
  <c r="M805" i="2"/>
  <c r="M704" i="2"/>
  <c r="O235" i="2"/>
  <c r="O184" i="2"/>
  <c r="J186" i="2"/>
  <c r="K186" i="2"/>
  <c r="N239" i="2"/>
  <c r="N240" i="2"/>
  <c r="N185" i="2"/>
  <c r="J240" i="2"/>
  <c r="BA26" i="17"/>
  <c r="BB23" i="17"/>
  <c r="BL20" i="16"/>
  <c r="BL25" i="16"/>
  <c r="H16" i="15"/>
  <c r="R10" i="15"/>
  <c r="O20" i="15"/>
  <c r="O24" i="15"/>
  <c r="BK18" i="16"/>
  <c r="BK53" i="1"/>
  <c r="BL12" i="1"/>
  <c r="AM23" i="11"/>
  <c r="AH29" i="11"/>
  <c r="AH43" i="11"/>
  <c r="AH44" i="11"/>
  <c r="Y70" i="9"/>
  <c r="X71" i="9"/>
  <c r="N280" i="2"/>
  <c r="N293" i="2"/>
  <c r="O698" i="2"/>
  <c r="O699" i="2"/>
  <c r="N704" i="2"/>
  <c r="N805" i="2" a="1"/>
  <c r="N805" i="2"/>
  <c r="O185" i="2"/>
  <c r="O239" i="2"/>
  <c r="O186" i="2"/>
  <c r="J805" i="2" a="1"/>
  <c r="J805" i="2"/>
  <c r="J704" i="2"/>
  <c r="J280" i="2"/>
  <c r="J293" i="2"/>
  <c r="K293" i="2"/>
  <c r="K240" i="2"/>
  <c r="K280" i="2"/>
  <c r="L293" i="2"/>
  <c r="O240" i="2"/>
  <c r="M293" i="2"/>
  <c r="BL13" i="1"/>
  <c r="BL15" i="16"/>
  <c r="BE33" i="12"/>
  <c r="BE35" i="12"/>
  <c r="G21" i="15"/>
  <c r="Q12" i="15"/>
  <c r="BA20" i="17"/>
  <c r="BL14" i="1"/>
  <c r="AM26" i="11"/>
  <c r="AI26" i="11"/>
  <c r="AM24" i="11"/>
  <c r="AN21" i="11"/>
  <c r="AN23" i="11"/>
  <c r="Z70" i="9"/>
  <c r="Y71" i="9"/>
  <c r="O280" i="2"/>
  <c r="O293" i="2"/>
  <c r="O805" i="2" a="1"/>
  <c r="O805" i="2"/>
  <c r="O704" i="2"/>
  <c r="C918" i="2"/>
  <c r="D918" i="2"/>
  <c r="E918" i="2"/>
  <c r="F918" i="2"/>
  <c r="G918" i="2"/>
  <c r="H918" i="2"/>
  <c r="I918" i="2"/>
  <c r="J918" i="2"/>
  <c r="K918" i="2"/>
  <c r="L918" i="2"/>
  <c r="M918" i="2"/>
  <c r="N918" i="2"/>
  <c r="O918" i="2"/>
  <c r="C920" i="2" a="1"/>
  <c r="C920" i="2"/>
  <c r="D920" i="2" a="1"/>
  <c r="D920" i="2"/>
  <c r="E920" i="2" a="1"/>
  <c r="E920" i="2"/>
  <c r="F920" i="2" a="1"/>
  <c r="F920" i="2"/>
  <c r="G920" i="2" a="1"/>
  <c r="G920" i="2"/>
  <c r="H920" i="2" a="1"/>
  <c r="H920" i="2"/>
  <c r="I920" i="2" a="1"/>
  <c r="I920" i="2"/>
  <c r="J920" i="2" a="1"/>
  <c r="J920" i="2"/>
  <c r="K920" i="2" a="1"/>
  <c r="K920" i="2"/>
  <c r="L920" i="2" a="1"/>
  <c r="L920" i="2"/>
  <c r="M920" i="2" a="1"/>
  <c r="M920" i="2"/>
  <c r="N920" i="2" a="1"/>
  <c r="N920" i="2"/>
  <c r="O920" i="2" a="1"/>
  <c r="O920" i="2"/>
  <c r="B940" i="2"/>
  <c r="B939" i="2"/>
  <c r="B938" i="2"/>
  <c r="B930" i="2"/>
  <c r="BI920" i="2" a="1"/>
  <c r="BI920" i="2"/>
  <c r="BG920" i="2" a="1"/>
  <c r="BG920" i="2"/>
  <c r="BF920" i="2" a="1"/>
  <c r="BF920" i="2"/>
  <c r="BE920" i="2" a="1"/>
  <c r="BE920" i="2"/>
  <c r="BD920" i="2" a="1"/>
  <c r="BD920" i="2"/>
  <c r="BB920" i="2" a="1"/>
  <c r="BB920" i="2"/>
  <c r="BA920" i="2" a="1"/>
  <c r="BA920" i="2"/>
  <c r="AZ920" i="2" a="1"/>
  <c r="AZ920" i="2"/>
  <c r="AY920" i="2" a="1"/>
  <c r="AY920" i="2"/>
  <c r="AW920" i="2" a="1"/>
  <c r="AW920" i="2"/>
  <c r="AV920" i="2" a="1"/>
  <c r="AV920" i="2"/>
  <c r="AU920" i="2" a="1"/>
  <c r="AU920" i="2"/>
  <c r="AT920" i="2" a="1"/>
  <c r="AT920" i="2"/>
  <c r="AR920" i="2" a="1"/>
  <c r="AR920" i="2"/>
  <c r="AQ920" i="2" a="1"/>
  <c r="AQ920" i="2"/>
  <c r="AP920" i="2" a="1"/>
  <c r="AP920" i="2"/>
  <c r="AO920" i="2" a="1"/>
  <c r="AO920" i="2"/>
  <c r="AM920" i="2" a="1"/>
  <c r="AM920" i="2"/>
  <c r="AL920" i="2" a="1"/>
  <c r="AL920" i="2"/>
  <c r="AK920" i="2" a="1"/>
  <c r="AK920" i="2"/>
  <c r="AJ920" i="2" a="1"/>
  <c r="AJ920" i="2"/>
  <c r="AH920" i="2" a="1"/>
  <c r="AH920" i="2"/>
  <c r="AG920" i="2" a="1"/>
  <c r="AG920" i="2"/>
  <c r="AF920" i="2" a="1"/>
  <c r="AF920" i="2"/>
  <c r="AE920" i="2" a="1"/>
  <c r="AE920" i="2"/>
  <c r="AC920" i="2" a="1"/>
  <c r="AC920" i="2"/>
  <c r="AB920" i="2" a="1"/>
  <c r="AB920" i="2"/>
  <c r="AA920" i="2" a="1"/>
  <c r="AA920" i="2"/>
  <c r="Z920" i="2" a="1"/>
  <c r="Z920" i="2"/>
  <c r="X920" i="2" a="1"/>
  <c r="X920" i="2"/>
  <c r="W920" i="2" a="1"/>
  <c r="W920" i="2"/>
  <c r="V920" i="2" a="1"/>
  <c r="V920" i="2"/>
  <c r="U920" i="2" a="1"/>
  <c r="U920" i="2"/>
  <c r="S920" i="2" a="1"/>
  <c r="S920" i="2"/>
  <c r="R920" i="2" a="1"/>
  <c r="R920" i="2"/>
  <c r="Q920" i="2" a="1"/>
  <c r="Q920" i="2"/>
  <c r="P920" i="2" a="1"/>
  <c r="P920" i="2"/>
  <c r="BV918" i="2"/>
  <c r="BU918" i="2"/>
  <c r="BT918" i="2"/>
  <c r="BS918" i="2"/>
  <c r="BR918" i="2"/>
  <c r="BQ918" i="2"/>
  <c r="BP918" i="2"/>
  <c r="BO918" i="2"/>
  <c r="BN918" i="2"/>
  <c r="BM918" i="2"/>
  <c r="BL918" i="2"/>
  <c r="BK918" i="2"/>
  <c r="BJ918" i="2"/>
  <c r="BI918" i="2"/>
  <c r="BH918" i="2"/>
  <c r="BG918" i="2"/>
  <c r="BF918" i="2"/>
  <c r="BE918" i="2"/>
  <c r="BD918" i="2"/>
  <c r="BC918" i="2"/>
  <c r="BB918" i="2"/>
  <c r="BA918" i="2"/>
  <c r="AZ918" i="2"/>
  <c r="AY918" i="2"/>
  <c r="AX918" i="2"/>
  <c r="AW918" i="2"/>
  <c r="AV918" i="2"/>
  <c r="AU918" i="2"/>
  <c r="AT918" i="2"/>
  <c r="AS918" i="2"/>
  <c r="AR918" i="2"/>
  <c r="AQ918" i="2"/>
  <c r="AP918" i="2"/>
  <c r="AO918" i="2"/>
  <c r="AN918" i="2"/>
  <c r="AM918" i="2"/>
  <c r="AL918" i="2"/>
  <c r="AK918" i="2"/>
  <c r="AJ918" i="2"/>
  <c r="AI918" i="2"/>
  <c r="AH918" i="2"/>
  <c r="AG918" i="2"/>
  <c r="AF918" i="2"/>
  <c r="AE918" i="2"/>
  <c r="AD918" i="2"/>
  <c r="AC918" i="2"/>
  <c r="AB918" i="2"/>
  <c r="AA918" i="2"/>
  <c r="Z918" i="2"/>
  <c r="Y918" i="2"/>
  <c r="X918" i="2"/>
  <c r="W918" i="2"/>
  <c r="V918" i="2"/>
  <c r="U918" i="2"/>
  <c r="T918" i="2"/>
  <c r="S918" i="2"/>
  <c r="R918" i="2"/>
  <c r="Q918" i="2"/>
  <c r="P918" i="2"/>
  <c r="BV914" i="2"/>
  <c r="BU914" i="2"/>
  <c r="BT914" i="2"/>
  <c r="BS914" i="2"/>
  <c r="BR914" i="2"/>
  <c r="BQ914" i="2"/>
  <c r="BP914" i="2"/>
  <c r="BO914" i="2"/>
  <c r="BN914" i="2"/>
  <c r="BM914" i="2"/>
  <c r="BL914" i="2"/>
  <c r="BK914" i="2"/>
  <c r="BJ914" i="2"/>
  <c r="BV891" i="2"/>
  <c r="BU891" i="2"/>
  <c r="BT891" i="2"/>
  <c r="BT549" i="2" a="1"/>
  <c r="BT549" i="2"/>
  <c r="BS891" i="2"/>
  <c r="BS549" i="2" a="1"/>
  <c r="BS549" i="2"/>
  <c r="BR891" i="2"/>
  <c r="BR551" i="2" a="1"/>
  <c r="BR551" i="2"/>
  <c r="BQ891" i="2"/>
  <c r="BP891" i="2"/>
  <c r="BO891" i="2"/>
  <c r="BN891" i="2"/>
  <c r="BM891" i="2"/>
  <c r="BM551" i="2" a="1"/>
  <c r="BM551" i="2"/>
  <c r="BL891" i="2"/>
  <c r="BL550" i="2" a="1"/>
  <c r="BL550" i="2"/>
  <c r="BK891" i="2"/>
  <c r="BK550" i="2" a="1"/>
  <c r="BK550" i="2"/>
  <c r="BJ891" i="2"/>
  <c r="BI891" i="2"/>
  <c r="BH891" i="2"/>
  <c r="BG891" i="2"/>
  <c r="BF891" i="2"/>
  <c r="BE891" i="2"/>
  <c r="BD891" i="2"/>
  <c r="BD552" i="2" a="1"/>
  <c r="BD552" i="2"/>
  <c r="BC891" i="2"/>
  <c r="BC552" i="2" a="1"/>
  <c r="BC552" i="2"/>
  <c r="BB891" i="2"/>
  <c r="BB552" i="2" a="1"/>
  <c r="BB552" i="2"/>
  <c r="BA891" i="2"/>
  <c r="AZ891" i="2"/>
  <c r="AY891" i="2"/>
  <c r="AX891" i="2"/>
  <c r="AW891" i="2"/>
  <c r="AW554" i="2" a="1"/>
  <c r="AW554" i="2"/>
  <c r="AV891" i="2"/>
  <c r="AV552" i="2" a="1"/>
  <c r="AV552" i="2"/>
  <c r="AV555" i="2" a="1"/>
  <c r="AV555" i="2"/>
  <c r="AU891" i="2"/>
  <c r="AU552" i="2" a="1"/>
  <c r="AU552" i="2"/>
  <c r="AT891" i="2"/>
  <c r="AS891" i="2"/>
  <c r="AR891" i="2"/>
  <c r="AQ891" i="2"/>
  <c r="AP891" i="2"/>
  <c r="AO891" i="2"/>
  <c r="AN891" i="2"/>
  <c r="AN552" i="2" a="1"/>
  <c r="AN552" i="2"/>
  <c r="AN555" i="2" a="1"/>
  <c r="AN555" i="2"/>
  <c r="AM891" i="2"/>
  <c r="AM552" i="2" a="1"/>
  <c r="AM552" i="2"/>
  <c r="AL891" i="2"/>
  <c r="AL554" i="2" a="1"/>
  <c r="AL554" i="2"/>
  <c r="AK891" i="2"/>
  <c r="AJ891" i="2"/>
  <c r="AI891" i="2"/>
  <c r="AH891" i="2"/>
  <c r="AG891" i="2"/>
  <c r="AG554" i="2" a="1"/>
  <c r="AG554" i="2"/>
  <c r="AF891" i="2"/>
  <c r="AF554" i="2" a="1"/>
  <c r="AF554" i="2"/>
  <c r="AE891" i="2"/>
  <c r="AE554" i="2" a="1"/>
  <c r="AE554" i="2"/>
  <c r="AD891" i="2"/>
  <c r="AC891" i="2"/>
  <c r="AB891" i="2"/>
  <c r="AA891" i="2"/>
  <c r="Z891" i="2"/>
  <c r="Y891" i="2"/>
  <c r="X891" i="2"/>
  <c r="X552" i="2" a="1"/>
  <c r="X552" i="2"/>
  <c r="W891" i="2"/>
  <c r="W552" i="2" a="1"/>
  <c r="W552" i="2"/>
  <c r="V891" i="2"/>
  <c r="V552" i="2" a="1"/>
  <c r="V552" i="2"/>
  <c r="U891" i="2"/>
  <c r="T891" i="2"/>
  <c r="S891" i="2"/>
  <c r="R891" i="2"/>
  <c r="Q891" i="2"/>
  <c r="Q554" i="2" a="1"/>
  <c r="Q554" i="2"/>
  <c r="P891" i="2"/>
  <c r="P554" i="2" a="1"/>
  <c r="P554" i="2"/>
  <c r="A885" i="2"/>
  <c r="A883" i="2"/>
  <c r="BI873" i="2"/>
  <c r="BH873" i="2"/>
  <c r="BG873" i="2"/>
  <c r="BF873" i="2"/>
  <c r="BE873" i="2"/>
  <c r="BD873" i="2"/>
  <c r="BC873" i="2"/>
  <c r="BB873" i="2"/>
  <c r="BA873" i="2"/>
  <c r="AZ873" i="2"/>
  <c r="AW873" i="2"/>
  <c r="AV873" i="2"/>
  <c r="AU873" i="2"/>
  <c r="AT873" i="2"/>
  <c r="AS873" i="2"/>
  <c r="AR873" i="2"/>
  <c r="AO873" i="2"/>
  <c r="AN873" i="2"/>
  <c r="AM873" i="2"/>
  <c r="AL873" i="2"/>
  <c r="AK873" i="2"/>
  <c r="AJ873" i="2"/>
  <c r="AI873" i="2"/>
  <c r="AG873" i="2"/>
  <c r="AF873" i="2"/>
  <c r="AE873" i="2"/>
  <c r="AD873" i="2"/>
  <c r="AC873" i="2"/>
  <c r="A837" i="2"/>
  <c r="A834" i="2"/>
  <c r="BV807" i="2" a="1"/>
  <c r="BV807" i="2"/>
  <c r="BU807" i="2" a="1"/>
  <c r="BU807" i="2"/>
  <c r="BT807" i="2" a="1"/>
  <c r="BT807" i="2"/>
  <c r="BS807" i="2" a="1"/>
  <c r="BS807" i="2"/>
  <c r="BR807" i="2" a="1"/>
  <c r="BR807" i="2"/>
  <c r="BQ807" i="2" a="1"/>
  <c r="BQ807" i="2"/>
  <c r="BP807" i="2" a="1"/>
  <c r="BP807" i="2"/>
  <c r="BO807" i="2" a="1"/>
  <c r="BO807" i="2"/>
  <c r="BN807" i="2" a="1"/>
  <c r="BN807" i="2"/>
  <c r="BM807" i="2" a="1"/>
  <c r="BM807" i="2"/>
  <c r="BL807" i="2" a="1"/>
  <c r="BL807" i="2"/>
  <c r="BK807" i="2" a="1"/>
  <c r="BK807" i="2"/>
  <c r="BJ807" i="2" a="1"/>
  <c r="BJ807" i="2"/>
  <c r="BV805" i="2" a="1"/>
  <c r="BV805" i="2"/>
  <c r="BU805" i="2" a="1"/>
  <c r="BU805" i="2"/>
  <c r="BT805" i="2" a="1"/>
  <c r="BT805" i="2"/>
  <c r="BS805" i="2" a="1"/>
  <c r="BS805" i="2"/>
  <c r="BR805" i="2" a="1"/>
  <c r="BR805" i="2"/>
  <c r="BQ805" i="2" a="1"/>
  <c r="BQ805" i="2"/>
  <c r="BP805" i="2" a="1"/>
  <c r="BP805" i="2"/>
  <c r="BO805" i="2" a="1"/>
  <c r="BO805" i="2"/>
  <c r="BN805" i="2" a="1"/>
  <c r="BN805" i="2"/>
  <c r="BM805" i="2" a="1"/>
  <c r="BM805" i="2"/>
  <c r="BL805" i="2" a="1"/>
  <c r="BL805" i="2"/>
  <c r="BK805" i="2" a="1"/>
  <c r="BK805" i="2"/>
  <c r="BJ805" i="2" a="1"/>
  <c r="BJ805" i="2"/>
  <c r="BV802" i="2" a="1"/>
  <c r="BV802" i="2"/>
  <c r="BU802" i="2" a="1"/>
  <c r="BU802" i="2"/>
  <c r="BT802" i="2" a="1"/>
  <c r="BT802" i="2"/>
  <c r="BS802" i="2" a="1"/>
  <c r="BS802" i="2"/>
  <c r="BR802" i="2" a="1"/>
  <c r="BR802" i="2"/>
  <c r="BQ802" i="2" a="1"/>
  <c r="BQ802" i="2"/>
  <c r="BP802" i="2" a="1"/>
  <c r="BP802" i="2"/>
  <c r="BO802" i="2" a="1"/>
  <c r="BO802" i="2"/>
  <c r="BN802" i="2" a="1"/>
  <c r="BN802" i="2"/>
  <c r="BM802" i="2" a="1"/>
  <c r="BM802" i="2"/>
  <c r="BL802" i="2" a="1"/>
  <c r="BL802" i="2"/>
  <c r="BK802" i="2" a="1"/>
  <c r="BK802" i="2"/>
  <c r="BJ802" i="2" a="1"/>
  <c r="BJ802" i="2"/>
  <c r="BI802" i="2" a="1"/>
  <c r="BI802" i="2"/>
  <c r="BG802" i="2" a="1"/>
  <c r="BG802" i="2"/>
  <c r="BF802" i="2" a="1"/>
  <c r="BF802" i="2"/>
  <c r="BE802" i="2" a="1"/>
  <c r="BE802" i="2"/>
  <c r="BD802" i="2" a="1"/>
  <c r="BD802" i="2"/>
  <c r="BB802" i="2" a="1"/>
  <c r="BB802" i="2"/>
  <c r="BA802" i="2" a="1"/>
  <c r="BA802" i="2"/>
  <c r="AZ802" i="2" a="1"/>
  <c r="AZ802" i="2"/>
  <c r="AY802" i="2" a="1"/>
  <c r="AY802" i="2"/>
  <c r="AW802" i="2" a="1"/>
  <c r="AW802" i="2"/>
  <c r="AV802" i="2" a="1"/>
  <c r="AV802" i="2"/>
  <c r="AU802" i="2" a="1"/>
  <c r="AU802" i="2"/>
  <c r="AT802" i="2" a="1"/>
  <c r="AT802" i="2"/>
  <c r="AR802" i="2" a="1"/>
  <c r="AR802" i="2"/>
  <c r="AQ802" i="2" a="1"/>
  <c r="AQ802" i="2"/>
  <c r="AP802" i="2" a="1"/>
  <c r="AP802" i="2"/>
  <c r="AO802" i="2" a="1"/>
  <c r="AO802" i="2"/>
  <c r="AM802" i="2" a="1"/>
  <c r="AM802" i="2"/>
  <c r="AL802" i="2" a="1"/>
  <c r="AL802" i="2"/>
  <c r="AK802" i="2" a="1"/>
  <c r="AK802" i="2"/>
  <c r="AJ802" i="2" a="1"/>
  <c r="AJ802" i="2"/>
  <c r="AI802" i="2" a="1"/>
  <c r="AI802" i="2"/>
  <c r="AH802" i="2" a="1"/>
  <c r="AH802" i="2"/>
  <c r="AG802" i="2" a="1"/>
  <c r="AG802" i="2"/>
  <c r="AF802" i="2" a="1"/>
  <c r="AF802" i="2"/>
  <c r="AE802" i="2" a="1"/>
  <c r="AE802" i="2"/>
  <c r="AD802" i="2" a="1"/>
  <c r="AD802" i="2"/>
  <c r="AC802" i="2" a="1"/>
  <c r="AC802" i="2"/>
  <c r="AB802" i="2" a="1"/>
  <c r="AB802" i="2"/>
  <c r="AA802" i="2" a="1"/>
  <c r="AA802" i="2"/>
  <c r="Z802" i="2" a="1"/>
  <c r="Z802" i="2"/>
  <c r="Y802" i="2" a="1"/>
  <c r="Y802" i="2"/>
  <c r="X802" i="2" a="1"/>
  <c r="X802" i="2"/>
  <c r="W802" i="2" a="1"/>
  <c r="W802" i="2"/>
  <c r="V802" i="2" a="1"/>
  <c r="V802" i="2"/>
  <c r="U802" i="2" a="1"/>
  <c r="U802" i="2"/>
  <c r="T802" i="2" a="1"/>
  <c r="T802" i="2"/>
  <c r="S802" i="2" a="1"/>
  <c r="S802" i="2"/>
  <c r="R802" i="2" a="1"/>
  <c r="R802" i="2"/>
  <c r="Q802" i="2" a="1"/>
  <c r="Q802" i="2"/>
  <c r="P802" i="2" a="1"/>
  <c r="P802" i="2"/>
  <c r="BV797" i="2" a="1"/>
  <c r="BV797" i="2"/>
  <c r="BU797" i="2" a="1"/>
  <c r="BU797" i="2"/>
  <c r="BT797" i="2" a="1"/>
  <c r="BT797" i="2"/>
  <c r="BS797" i="2" a="1"/>
  <c r="BS797" i="2"/>
  <c r="BR797" i="2" a="1"/>
  <c r="BR797" i="2"/>
  <c r="BQ797" i="2" a="1"/>
  <c r="BQ797" i="2"/>
  <c r="BP797" i="2" a="1"/>
  <c r="BP797" i="2"/>
  <c r="BO797" i="2" a="1"/>
  <c r="BO797" i="2"/>
  <c r="BN797" i="2" a="1"/>
  <c r="BN797" i="2"/>
  <c r="BM797" i="2" a="1"/>
  <c r="BM797" i="2"/>
  <c r="BL797" i="2" a="1"/>
  <c r="BL797" i="2"/>
  <c r="BK797" i="2" a="1"/>
  <c r="BK797" i="2"/>
  <c r="BJ797" i="2" a="1"/>
  <c r="BJ797" i="2"/>
  <c r="BV796" i="2" a="1"/>
  <c r="BV796" i="2"/>
  <c r="BU796" i="2" a="1"/>
  <c r="BU796" i="2"/>
  <c r="BT796" i="2" a="1"/>
  <c r="BT796" i="2"/>
  <c r="BS796" i="2" a="1"/>
  <c r="BS796" i="2"/>
  <c r="BR796" i="2" a="1"/>
  <c r="BR796" i="2"/>
  <c r="BQ796" i="2" a="1"/>
  <c r="BQ796" i="2"/>
  <c r="BP796" i="2" a="1"/>
  <c r="BP796" i="2"/>
  <c r="BO796" i="2" a="1"/>
  <c r="BO796" i="2"/>
  <c r="BN796" i="2" a="1"/>
  <c r="BN796" i="2"/>
  <c r="BM796" i="2" a="1"/>
  <c r="BM796" i="2"/>
  <c r="BL796" i="2" a="1"/>
  <c r="BL796" i="2"/>
  <c r="BK796" i="2" a="1"/>
  <c r="BK796" i="2"/>
  <c r="BJ796" i="2" a="1"/>
  <c r="BJ796" i="2"/>
  <c r="BJ790" i="2"/>
  <c r="BK790" i="2"/>
  <c r="BL790" i="2"/>
  <c r="BM790" i="2"/>
  <c r="BN790" i="2"/>
  <c r="BO790" i="2"/>
  <c r="BP790" i="2"/>
  <c r="BQ790" i="2"/>
  <c r="BR790" i="2"/>
  <c r="BS790" i="2"/>
  <c r="BT790" i="2"/>
  <c r="BU790" i="2"/>
  <c r="BV790" i="2"/>
  <c r="BV558" i="2"/>
  <c r="BI789" i="2"/>
  <c r="BG789" i="2"/>
  <c r="BF789" i="2"/>
  <c r="BE789" i="2"/>
  <c r="BD789" i="2"/>
  <c r="BB789" i="2"/>
  <c r="BA789" i="2"/>
  <c r="AZ789" i="2"/>
  <c r="AY789" i="2"/>
  <c r="AW789" i="2"/>
  <c r="AV789" i="2"/>
  <c r="AU789" i="2"/>
  <c r="AT789" i="2"/>
  <c r="AR789" i="2"/>
  <c r="AQ789" i="2"/>
  <c r="AP789" i="2"/>
  <c r="AO789" i="2"/>
  <c r="AM789" i="2"/>
  <c r="AL789" i="2"/>
  <c r="AK789" i="2"/>
  <c r="AJ789" i="2"/>
  <c r="AH789" i="2"/>
  <c r="AG789" i="2"/>
  <c r="AF789" i="2"/>
  <c r="AE789" i="2"/>
  <c r="AC789" i="2"/>
  <c r="AB789" i="2"/>
  <c r="AA789" i="2"/>
  <c r="Z789" i="2"/>
  <c r="X789" i="2"/>
  <c r="W789" i="2"/>
  <c r="V789" i="2"/>
  <c r="U789" i="2"/>
  <c r="S789" i="2"/>
  <c r="R789" i="2"/>
  <c r="Q789" i="2"/>
  <c r="P789" i="2"/>
  <c r="BJ788" i="2"/>
  <c r="BK788" i="2"/>
  <c r="BL788" i="2"/>
  <c r="BM788" i="2"/>
  <c r="BN788" i="2"/>
  <c r="BO788" i="2"/>
  <c r="BP788" i="2"/>
  <c r="BQ788" i="2"/>
  <c r="BR788" i="2"/>
  <c r="BS788" i="2"/>
  <c r="BT788" i="2"/>
  <c r="BU788" i="2"/>
  <c r="BV788" i="2"/>
  <c r="BH788" i="2"/>
  <c r="BC788" i="2"/>
  <c r="AX788" i="2"/>
  <c r="AS788" i="2"/>
  <c r="AN788" i="2"/>
  <c r="AI788" i="2"/>
  <c r="AD788" i="2"/>
  <c r="Y788" i="2"/>
  <c r="T788" i="2"/>
  <c r="BJ787" i="2"/>
  <c r="BK787" i="2"/>
  <c r="BL787" i="2"/>
  <c r="BM787" i="2"/>
  <c r="BN787" i="2"/>
  <c r="BO787" i="2"/>
  <c r="BP787" i="2"/>
  <c r="BQ787" i="2"/>
  <c r="BR787" i="2"/>
  <c r="BS787" i="2"/>
  <c r="BT787" i="2"/>
  <c r="BU787" i="2"/>
  <c r="BV787" i="2"/>
  <c r="BH787" i="2"/>
  <c r="BC787" i="2"/>
  <c r="AX787" i="2"/>
  <c r="AS787" i="2"/>
  <c r="AN787" i="2"/>
  <c r="AI787" i="2"/>
  <c r="AD787" i="2"/>
  <c r="Y787" i="2"/>
  <c r="T787" i="2"/>
  <c r="BH786" i="2"/>
  <c r="BC786" i="2"/>
  <c r="AX786" i="2"/>
  <c r="AS786" i="2"/>
  <c r="AN786" i="2"/>
  <c r="AI786" i="2"/>
  <c r="AD786" i="2"/>
  <c r="Y786" i="2"/>
  <c r="T786" i="2"/>
  <c r="BH785" i="2"/>
  <c r="BC785" i="2"/>
  <c r="AX785" i="2"/>
  <c r="AS785" i="2"/>
  <c r="AN785" i="2"/>
  <c r="AI785" i="2"/>
  <c r="AD785" i="2"/>
  <c r="Y785" i="2"/>
  <c r="T785" i="2"/>
  <c r="BJ784" i="2"/>
  <c r="BK784" i="2"/>
  <c r="BH784" i="2"/>
  <c r="BC784" i="2"/>
  <c r="AX784" i="2"/>
  <c r="AS784" i="2"/>
  <c r="AN784" i="2"/>
  <c r="AI784" i="2"/>
  <c r="AD784" i="2"/>
  <c r="Y784" i="2"/>
  <c r="T784" i="2"/>
  <c r="BG780" i="2"/>
  <c r="BF780" i="2"/>
  <c r="BE780" i="2"/>
  <c r="BB780" i="2"/>
  <c r="BA780" i="2"/>
  <c r="AZ780" i="2"/>
  <c r="AY780" i="2"/>
  <c r="AW780" i="2"/>
  <c r="AV780" i="2"/>
  <c r="AU780" i="2"/>
  <c r="AT780" i="2"/>
  <c r="AR780" i="2"/>
  <c r="AQ780" i="2"/>
  <c r="AP780" i="2"/>
  <c r="AO780" i="2"/>
  <c r="AM780" i="2"/>
  <c r="AL780" i="2"/>
  <c r="AK780" i="2"/>
  <c r="AJ780" i="2"/>
  <c r="AH780" i="2"/>
  <c r="AG780" i="2"/>
  <c r="AF780" i="2"/>
  <c r="AE780" i="2"/>
  <c r="AC780" i="2"/>
  <c r="AB780" i="2"/>
  <c r="AA780" i="2"/>
  <c r="Z780" i="2"/>
  <c r="X780" i="2"/>
  <c r="W780" i="2"/>
  <c r="V780" i="2"/>
  <c r="U780" i="2"/>
  <c r="S780" i="2"/>
  <c r="R780" i="2"/>
  <c r="Q780" i="2"/>
  <c r="P780" i="2"/>
  <c r="BI779" i="2"/>
  <c r="BJ779" i="2"/>
  <c r="BD779" i="2"/>
  <c r="BD780" i="2"/>
  <c r="AS779" i="2"/>
  <c r="BJ778" i="2"/>
  <c r="BK778" i="2"/>
  <c r="BL778" i="2"/>
  <c r="BM778" i="2"/>
  <c r="BN778" i="2"/>
  <c r="BO778" i="2"/>
  <c r="BP778" i="2"/>
  <c r="BQ778" i="2"/>
  <c r="BR778" i="2"/>
  <c r="BS778" i="2"/>
  <c r="BT778" i="2"/>
  <c r="BU778" i="2"/>
  <c r="BV778" i="2"/>
  <c r="BH778" i="2"/>
  <c r="BC778" i="2"/>
  <c r="AX778" i="2"/>
  <c r="AS778" i="2"/>
  <c r="AN778" i="2"/>
  <c r="AI778" i="2"/>
  <c r="AD778" i="2"/>
  <c r="Y778" i="2"/>
  <c r="T778" i="2"/>
  <c r="BJ777" i="2"/>
  <c r="BK777" i="2"/>
  <c r="BH777" i="2"/>
  <c r="BC777" i="2"/>
  <c r="AX777" i="2"/>
  <c r="AS777" i="2"/>
  <c r="AN777" i="2"/>
  <c r="BH776" i="2"/>
  <c r="BC776" i="2"/>
  <c r="AX776" i="2"/>
  <c r="AS776" i="2"/>
  <c r="AN776" i="2"/>
  <c r="AI776" i="2"/>
  <c r="AD776" i="2"/>
  <c r="Y776" i="2"/>
  <c r="T776" i="2"/>
  <c r="T522" i="2"/>
  <c r="BJ775" i="2"/>
  <c r="BK775" i="2"/>
  <c r="BL775" i="2"/>
  <c r="BM775" i="2"/>
  <c r="BN775" i="2"/>
  <c r="BO775" i="2"/>
  <c r="BP775" i="2"/>
  <c r="BQ775" i="2"/>
  <c r="BR775" i="2"/>
  <c r="BS775" i="2"/>
  <c r="BT775" i="2"/>
  <c r="BU775" i="2"/>
  <c r="BV775" i="2"/>
  <c r="AS775" i="2"/>
  <c r="AN775" i="2"/>
  <c r="AI775" i="2"/>
  <c r="AD775" i="2"/>
  <c r="Y775" i="2"/>
  <c r="T775" i="2"/>
  <c r="BJ774" i="2"/>
  <c r="BK774" i="2"/>
  <c r="BL774" i="2"/>
  <c r="BM774" i="2"/>
  <c r="BN774" i="2"/>
  <c r="BO774" i="2"/>
  <c r="BP774" i="2"/>
  <c r="BQ774" i="2"/>
  <c r="BR774" i="2"/>
  <c r="BS774" i="2"/>
  <c r="BT774" i="2"/>
  <c r="BU774" i="2"/>
  <c r="BV774" i="2"/>
  <c r="AS774" i="2"/>
  <c r="AN774" i="2"/>
  <c r="AI774" i="2"/>
  <c r="AD774" i="2"/>
  <c r="Y774" i="2"/>
  <c r="T774" i="2"/>
  <c r="AS773" i="2"/>
  <c r="AN773" i="2"/>
  <c r="AI773" i="2"/>
  <c r="AD773" i="2"/>
  <c r="Y773" i="2"/>
  <c r="T773" i="2"/>
  <c r="Y772" i="2"/>
  <c r="T772" i="2"/>
  <c r="BI769" i="2"/>
  <c r="BG769" i="2"/>
  <c r="BF769" i="2"/>
  <c r="BF781" i="2"/>
  <c r="BF791" i="2"/>
  <c r="BE769" i="2"/>
  <c r="BE781" i="2"/>
  <c r="BD769" i="2"/>
  <c r="BD781" i="2"/>
  <c r="BB769" i="2"/>
  <c r="BA769" i="2"/>
  <c r="BA781" i="2"/>
  <c r="BA791" i="2"/>
  <c r="AZ769" i="2"/>
  <c r="AY769" i="2"/>
  <c r="AW769" i="2"/>
  <c r="AV769" i="2"/>
  <c r="AV781" i="2"/>
  <c r="AU769" i="2"/>
  <c r="AU781" i="2"/>
  <c r="AT769" i="2"/>
  <c r="AT781" i="2"/>
  <c r="AR769" i="2"/>
  <c r="AR781" i="2"/>
  <c r="AQ769" i="2"/>
  <c r="AQ781" i="2"/>
  <c r="AP769" i="2"/>
  <c r="AP781" i="2"/>
  <c r="AO769" i="2"/>
  <c r="AM769" i="2"/>
  <c r="AL769" i="2"/>
  <c r="AK769" i="2"/>
  <c r="AK781" i="2"/>
  <c r="AJ769" i="2"/>
  <c r="AJ781" i="2"/>
  <c r="AH769" i="2"/>
  <c r="AH781" i="2"/>
  <c r="AG769" i="2"/>
  <c r="AG781" i="2"/>
  <c r="AE769" i="2"/>
  <c r="AC769" i="2"/>
  <c r="AB769" i="2"/>
  <c r="AB781" i="2"/>
  <c r="AB791" i="2"/>
  <c r="AA769" i="2"/>
  <c r="AA781" i="2"/>
  <c r="AA791" i="2"/>
  <c r="Z769" i="2"/>
  <c r="Z781" i="2"/>
  <c r="X769" i="2"/>
  <c r="X781" i="2"/>
  <c r="W769" i="2"/>
  <c r="W781" i="2"/>
  <c r="V769" i="2"/>
  <c r="V781" i="2"/>
  <c r="V791" i="2"/>
  <c r="U769" i="2"/>
  <c r="S769" i="2"/>
  <c r="R769" i="2"/>
  <c r="Q769" i="2"/>
  <c r="Q781" i="2"/>
  <c r="P769" i="2"/>
  <c r="P781" i="2"/>
  <c r="BH768" i="2"/>
  <c r="BC768" i="2"/>
  <c r="AX768" i="2"/>
  <c r="AS768" i="2"/>
  <c r="AN768" i="2"/>
  <c r="AI768" i="2"/>
  <c r="AD768" i="2"/>
  <c r="Y768" i="2"/>
  <c r="T768" i="2"/>
  <c r="BJ767" i="2"/>
  <c r="BK767" i="2"/>
  <c r="BL767" i="2"/>
  <c r="BM767" i="2"/>
  <c r="BN767" i="2"/>
  <c r="BO767" i="2"/>
  <c r="BP767" i="2"/>
  <c r="BQ767" i="2"/>
  <c r="BR767" i="2"/>
  <c r="BS767" i="2"/>
  <c r="BT767" i="2"/>
  <c r="BU767" i="2"/>
  <c r="BV767" i="2"/>
  <c r="BH767" i="2"/>
  <c r="BC767" i="2"/>
  <c r="AX767" i="2"/>
  <c r="AS767" i="2"/>
  <c r="AN767" i="2"/>
  <c r="BH766" i="2"/>
  <c r="BC766" i="2"/>
  <c r="AX766" i="2"/>
  <c r="AS766" i="2"/>
  <c r="AN766" i="2"/>
  <c r="AI766" i="2"/>
  <c r="AD766" i="2"/>
  <c r="Y766" i="2"/>
  <c r="T766" i="2"/>
  <c r="BJ765" i="2"/>
  <c r="BK765" i="2"/>
  <c r="BL765" i="2"/>
  <c r="BM765" i="2"/>
  <c r="BN765" i="2"/>
  <c r="BO765" i="2"/>
  <c r="BP765" i="2"/>
  <c r="BQ765" i="2"/>
  <c r="BR765" i="2"/>
  <c r="BS765" i="2"/>
  <c r="BT765" i="2"/>
  <c r="BU765" i="2"/>
  <c r="BV765" i="2"/>
  <c r="BH765" i="2"/>
  <c r="BC765" i="2"/>
  <c r="AX765" i="2"/>
  <c r="AS765" i="2"/>
  <c r="AN765" i="2"/>
  <c r="AI765" i="2"/>
  <c r="AF765" i="2"/>
  <c r="AF769" i="2"/>
  <c r="AD765" i="2"/>
  <c r="Y765" i="2"/>
  <c r="T765" i="2"/>
  <c r="BH764" i="2"/>
  <c r="BC764" i="2"/>
  <c r="AX764" i="2"/>
  <c r="AX769" i="2"/>
  <c r="AS764" i="2"/>
  <c r="AN764" i="2"/>
  <c r="AI764" i="2"/>
  <c r="AD764" i="2"/>
  <c r="Y764" i="2"/>
  <c r="T764" i="2"/>
  <c r="BI760" i="2"/>
  <c r="BG760" i="2"/>
  <c r="BF760" i="2"/>
  <c r="BE760" i="2"/>
  <c r="BD760" i="2"/>
  <c r="BB760" i="2"/>
  <c r="BA760" i="2"/>
  <c r="AZ760" i="2"/>
  <c r="AY760" i="2"/>
  <c r="AW760" i="2"/>
  <c r="AV760" i="2"/>
  <c r="AU760" i="2"/>
  <c r="AT760" i="2"/>
  <c r="AR760" i="2"/>
  <c r="AQ760" i="2"/>
  <c r="AP760" i="2"/>
  <c r="AO760" i="2"/>
  <c r="AM760" i="2"/>
  <c r="AL760" i="2"/>
  <c r="AK760" i="2"/>
  <c r="AJ760" i="2"/>
  <c r="AH760" i="2"/>
  <c r="AG760" i="2"/>
  <c r="AF760" i="2"/>
  <c r="AE760" i="2"/>
  <c r="AC760" i="2"/>
  <c r="AB760" i="2"/>
  <c r="AA760" i="2"/>
  <c r="Z760" i="2"/>
  <c r="X760" i="2"/>
  <c r="W760" i="2"/>
  <c r="V760" i="2"/>
  <c r="U760" i="2"/>
  <c r="S760" i="2"/>
  <c r="R760" i="2"/>
  <c r="Q760" i="2"/>
  <c r="P760" i="2"/>
  <c r="BJ759" i="2"/>
  <c r="BK759" i="2"/>
  <c r="BL759" i="2"/>
  <c r="BM759" i="2"/>
  <c r="BN759" i="2"/>
  <c r="BO759" i="2"/>
  <c r="BP759" i="2"/>
  <c r="BQ759" i="2"/>
  <c r="BR759" i="2"/>
  <c r="BS759" i="2"/>
  <c r="BT759" i="2"/>
  <c r="BU759" i="2"/>
  <c r="BV759" i="2"/>
  <c r="BH759" i="2"/>
  <c r="BC759" i="2"/>
  <c r="AX759" i="2"/>
  <c r="AS759" i="2"/>
  <c r="AN759" i="2"/>
  <c r="AI759" i="2"/>
  <c r="AD759" i="2"/>
  <c r="Y759" i="2"/>
  <c r="T759" i="2"/>
  <c r="BJ758" i="2"/>
  <c r="BK758" i="2"/>
  <c r="BL758" i="2"/>
  <c r="BM758" i="2"/>
  <c r="BN758" i="2"/>
  <c r="BO758" i="2"/>
  <c r="BP758" i="2"/>
  <c r="BQ758" i="2"/>
  <c r="BR758" i="2"/>
  <c r="BS758" i="2"/>
  <c r="BT758" i="2"/>
  <c r="BU758" i="2"/>
  <c r="BV758" i="2"/>
  <c r="BH758" i="2"/>
  <c r="BC758" i="2"/>
  <c r="AX758" i="2"/>
  <c r="AS758" i="2"/>
  <c r="AN758" i="2"/>
  <c r="AI758" i="2"/>
  <c r="BJ757" i="2"/>
  <c r="BK757" i="2"/>
  <c r="BL757" i="2"/>
  <c r="BM757" i="2"/>
  <c r="BN757" i="2"/>
  <c r="BO757" i="2"/>
  <c r="BP757" i="2"/>
  <c r="BQ757" i="2"/>
  <c r="BR757" i="2"/>
  <c r="BS757" i="2"/>
  <c r="BT757" i="2"/>
  <c r="BU757" i="2"/>
  <c r="BV757" i="2"/>
  <c r="BH757" i="2"/>
  <c r="BC757" i="2"/>
  <c r="AX757" i="2"/>
  <c r="AS757" i="2"/>
  <c r="AN757" i="2"/>
  <c r="AI757" i="2"/>
  <c r="AD757" i="2"/>
  <c r="Y757" i="2"/>
  <c r="T757" i="2"/>
  <c r="BJ756" i="2"/>
  <c r="BK756" i="2"/>
  <c r="BL756" i="2"/>
  <c r="BM756" i="2"/>
  <c r="BN756" i="2"/>
  <c r="BO756" i="2"/>
  <c r="BP756" i="2"/>
  <c r="BQ756" i="2"/>
  <c r="BR756" i="2"/>
  <c r="BS756" i="2"/>
  <c r="BT756" i="2"/>
  <c r="BU756" i="2"/>
  <c r="BV756" i="2"/>
  <c r="BH756" i="2"/>
  <c r="BC756" i="2"/>
  <c r="AX756" i="2"/>
  <c r="AS756" i="2"/>
  <c r="AN756" i="2"/>
  <c r="BH755" i="2"/>
  <c r="BH730" i="2"/>
  <c r="BC755" i="2"/>
  <c r="AX755" i="2"/>
  <c r="AS755" i="2"/>
  <c r="AN755" i="2"/>
  <c r="AN730" i="2"/>
  <c r="AI755" i="2"/>
  <c r="AI730" i="2"/>
  <c r="AD755" i="2"/>
  <c r="Y755" i="2"/>
  <c r="T755" i="2"/>
  <c r="BH754" i="2"/>
  <c r="BC754" i="2"/>
  <c r="AX754" i="2"/>
  <c r="AS754" i="2"/>
  <c r="AN754" i="2"/>
  <c r="AI754" i="2"/>
  <c r="AD754" i="2"/>
  <c r="Y754" i="2"/>
  <c r="Y724" i="2"/>
  <c r="T754" i="2"/>
  <c r="T760" i="2"/>
  <c r="BI751" i="2"/>
  <c r="BI761" i="2"/>
  <c r="BG751" i="2"/>
  <c r="BG761" i="2"/>
  <c r="BF751" i="2"/>
  <c r="BF761" i="2"/>
  <c r="BE751" i="2"/>
  <c r="BE761" i="2"/>
  <c r="BD751" i="2"/>
  <c r="BD761" i="2"/>
  <c r="BB751" i="2"/>
  <c r="BB761" i="2"/>
  <c r="BA751" i="2"/>
  <c r="AZ751" i="2"/>
  <c r="AZ761" i="2"/>
  <c r="AY751" i="2"/>
  <c r="AW751" i="2"/>
  <c r="AV751" i="2"/>
  <c r="AU751" i="2"/>
  <c r="AT751" i="2"/>
  <c r="AT761" i="2"/>
  <c r="BH750" i="2"/>
  <c r="BC750" i="2"/>
  <c r="AX750" i="2"/>
  <c r="AD750" i="2"/>
  <c r="Y750" i="2"/>
  <c r="T750" i="2"/>
  <c r="BJ749" i="2"/>
  <c r="BK749" i="2"/>
  <c r="BL749" i="2"/>
  <c r="BM749" i="2"/>
  <c r="BN749" i="2"/>
  <c r="BO749" i="2"/>
  <c r="BP749" i="2"/>
  <c r="BQ749" i="2"/>
  <c r="BR749" i="2"/>
  <c r="BS749" i="2"/>
  <c r="BT749" i="2"/>
  <c r="BU749" i="2"/>
  <c r="BV749" i="2"/>
  <c r="BH749" i="2"/>
  <c r="BC749" i="2"/>
  <c r="AX749" i="2"/>
  <c r="AS749" i="2"/>
  <c r="AN749" i="2"/>
  <c r="AI749" i="2"/>
  <c r="AD749" i="2"/>
  <c r="Y749" i="2"/>
  <c r="T749" i="2"/>
  <c r="BH748" i="2"/>
  <c r="BC748" i="2"/>
  <c r="AX748" i="2"/>
  <c r="AS748" i="2"/>
  <c r="AN748" i="2"/>
  <c r="AI748" i="2"/>
  <c r="AD748" i="2"/>
  <c r="Y748" i="2"/>
  <c r="T748" i="2"/>
  <c r="BJ747" i="2"/>
  <c r="BK747" i="2"/>
  <c r="BL747" i="2"/>
  <c r="BM747" i="2"/>
  <c r="BN747" i="2"/>
  <c r="BO747" i="2"/>
  <c r="BP747" i="2"/>
  <c r="BQ747" i="2"/>
  <c r="BR747" i="2"/>
  <c r="BS747" i="2"/>
  <c r="BT747" i="2"/>
  <c r="BU747" i="2"/>
  <c r="BV747" i="2"/>
  <c r="BH747" i="2"/>
  <c r="BC747" i="2"/>
  <c r="AX747" i="2"/>
  <c r="AS747" i="2"/>
  <c r="AN747" i="2"/>
  <c r="AI747" i="2"/>
  <c r="AD747" i="2"/>
  <c r="Y747" i="2"/>
  <c r="T747" i="2"/>
  <c r="BH746" i="2"/>
  <c r="BC746" i="2"/>
  <c r="AX746" i="2"/>
  <c r="AS746" i="2"/>
  <c r="AR746" i="2"/>
  <c r="AR751" i="2"/>
  <c r="AR761" i="2"/>
  <c r="AQ746" i="2"/>
  <c r="AQ751" i="2"/>
  <c r="AP746" i="2"/>
  <c r="AP751" i="2"/>
  <c r="AP761" i="2"/>
  <c r="AO746" i="2"/>
  <c r="AO751" i="2"/>
  <c r="AM746" i="2"/>
  <c r="AM751" i="2"/>
  <c r="AM761" i="2"/>
  <c r="AL746" i="2"/>
  <c r="AL751" i="2"/>
  <c r="AL761" i="2"/>
  <c r="AK746" i="2"/>
  <c r="AK751" i="2"/>
  <c r="AK761" i="2"/>
  <c r="AJ746" i="2"/>
  <c r="AJ751" i="2"/>
  <c r="AJ761" i="2"/>
  <c r="AH746" i="2"/>
  <c r="AH751" i="2"/>
  <c r="AH761" i="2"/>
  <c r="AG746" i="2"/>
  <c r="AG751" i="2"/>
  <c r="AG761" i="2"/>
  <c r="AF746" i="2"/>
  <c r="AF751" i="2"/>
  <c r="AF761" i="2"/>
  <c r="AE746" i="2"/>
  <c r="AE751" i="2"/>
  <c r="AC746" i="2"/>
  <c r="AC751" i="2"/>
  <c r="AB746" i="2"/>
  <c r="AB751" i="2"/>
  <c r="AA746" i="2"/>
  <c r="AA751" i="2"/>
  <c r="Z746" i="2"/>
  <c r="Z751" i="2"/>
  <c r="Z761" i="2"/>
  <c r="X746" i="2"/>
  <c r="X751" i="2"/>
  <c r="X761" i="2"/>
  <c r="W746" i="2"/>
  <c r="W751" i="2"/>
  <c r="W761" i="2"/>
  <c r="V746" i="2"/>
  <c r="V751" i="2"/>
  <c r="V761" i="2"/>
  <c r="U746" i="2"/>
  <c r="U751" i="2"/>
  <c r="S746" i="2"/>
  <c r="S751" i="2"/>
  <c r="S761" i="2"/>
  <c r="R746" i="2"/>
  <c r="R751" i="2"/>
  <c r="Q746" i="2"/>
  <c r="Q751" i="2"/>
  <c r="Q761" i="2"/>
  <c r="P746" i="2"/>
  <c r="P751" i="2"/>
  <c r="P761" i="2"/>
  <c r="AX745" i="2"/>
  <c r="AN745" i="2"/>
  <c r="AI745" i="2"/>
  <c r="AD745" i="2"/>
  <c r="Y745" i="2"/>
  <c r="T745" i="2"/>
  <c r="AX744" i="2"/>
  <c r="AN744" i="2"/>
  <c r="AN746" i="2"/>
  <c r="AI744" i="2"/>
  <c r="AI746" i="2"/>
  <c r="AD744" i="2"/>
  <c r="Y744" i="2"/>
  <c r="Y746" i="2"/>
  <c r="T744" i="2"/>
  <c r="BH743" i="2"/>
  <c r="BC743" i="2"/>
  <c r="AX743" i="2"/>
  <c r="AS743" i="2"/>
  <c r="AN743" i="2"/>
  <c r="AI743" i="2"/>
  <c r="AD743" i="2"/>
  <c r="Y743" i="2"/>
  <c r="T743" i="2"/>
  <c r="BS739" i="2"/>
  <c r="BN739" i="2"/>
  <c r="BV738" i="2"/>
  <c r="BV728" i="2"/>
  <c r="BV662" i="2"/>
  <c r="BU738" i="2"/>
  <c r="BU722" i="2"/>
  <c r="BU661" i="2"/>
  <c r="BT738" i="2"/>
  <c r="BR738" i="2"/>
  <c r="BQ738" i="2"/>
  <c r="BQ728" i="2"/>
  <c r="BP738" i="2"/>
  <c r="BO738" i="2"/>
  <c r="BM738" i="2"/>
  <c r="BL738" i="2"/>
  <c r="BK738" i="2"/>
  <c r="BJ738" i="2"/>
  <c r="BS733" i="2"/>
  <c r="BN733" i="2"/>
  <c r="BS732" i="2"/>
  <c r="BN732" i="2"/>
  <c r="BI730" i="2"/>
  <c r="BN726" i="2"/>
  <c r="BG730" i="2"/>
  <c r="BH726" i="2"/>
  <c r="BF730" i="2"/>
  <c r="BE730" i="2"/>
  <c r="BD730" i="2"/>
  <c r="BC730" i="2"/>
  <c r="BB730" i="2"/>
  <c r="BA730" i="2"/>
  <c r="AZ730" i="2"/>
  <c r="AY730" i="2"/>
  <c r="AX730" i="2"/>
  <c r="AW730" i="2"/>
  <c r="AV730" i="2"/>
  <c r="AW726" i="2"/>
  <c r="AU730" i="2"/>
  <c r="AV726" i="2"/>
  <c r="AT730" i="2"/>
  <c r="AU726" i="2"/>
  <c r="AS730" i="2"/>
  <c r="AR730" i="2"/>
  <c r="AS726" i="2"/>
  <c r="AQ730" i="2"/>
  <c r="AR726" i="2"/>
  <c r="AP730" i="2"/>
  <c r="AO730" i="2"/>
  <c r="AM730" i="2"/>
  <c r="AL730" i="2"/>
  <c r="AK730" i="2"/>
  <c r="AJ730" i="2"/>
  <c r="AH730" i="2"/>
  <c r="AG730" i="2"/>
  <c r="AF730" i="2"/>
  <c r="AG726" i="2"/>
  <c r="AE730" i="2"/>
  <c r="AD730" i="2"/>
  <c r="AC730" i="2"/>
  <c r="AD726" i="2"/>
  <c r="AB730" i="2"/>
  <c r="AA730" i="2"/>
  <c r="AB726" i="2"/>
  <c r="Z730" i="2"/>
  <c r="Y730" i="2"/>
  <c r="X730" i="2"/>
  <c r="W730" i="2"/>
  <c r="V730" i="2"/>
  <c r="U730" i="2"/>
  <c r="T730" i="2"/>
  <c r="S730" i="2"/>
  <c r="R730" i="2"/>
  <c r="Q730" i="2"/>
  <c r="P730" i="2"/>
  <c r="U726" i="2"/>
  <c r="U735" i="2"/>
  <c r="BT728" i="2"/>
  <c r="BR728" i="2"/>
  <c r="BP728" i="2"/>
  <c r="BO728" i="2"/>
  <c r="BO662" i="2"/>
  <c r="BM728" i="2"/>
  <c r="BM662" i="2"/>
  <c r="BL728" i="2"/>
  <c r="BJ728" i="2"/>
  <c r="BI727" i="2"/>
  <c r="BG727" i="2"/>
  <c r="BF727" i="2"/>
  <c r="BE727" i="2"/>
  <c r="BD727" i="2"/>
  <c r="BB727" i="2"/>
  <c r="BA727" i="2"/>
  <c r="AZ727" i="2"/>
  <c r="AY727" i="2"/>
  <c r="AW727" i="2"/>
  <c r="AV727" i="2"/>
  <c r="AU727" i="2"/>
  <c r="AT727" i="2"/>
  <c r="AT733" i="2"/>
  <c r="BI726" i="2"/>
  <c r="BI735" i="2"/>
  <c r="BG726" i="2"/>
  <c r="BF726" i="2"/>
  <c r="BE726" i="2"/>
  <c r="BD726" i="2"/>
  <c r="BD735" i="2"/>
  <c r="BC726" i="2"/>
  <c r="AZ726" i="2"/>
  <c r="AX726" i="2"/>
  <c r="AT726" i="2"/>
  <c r="AQ726" i="2"/>
  <c r="AP726" i="2"/>
  <c r="AM726" i="2"/>
  <c r="AI726" i="2"/>
  <c r="AE726" i="2"/>
  <c r="AA726" i="2"/>
  <c r="Z726" i="2"/>
  <c r="Z735" i="2"/>
  <c r="Y726" i="2"/>
  <c r="W726" i="2"/>
  <c r="T726" i="2"/>
  <c r="S726" i="2"/>
  <c r="R726" i="2"/>
  <c r="P726" i="2"/>
  <c r="P735" i="2"/>
  <c r="BI724" i="2"/>
  <c r="BN720" i="2"/>
  <c r="BH724" i="2"/>
  <c r="BG724" i="2"/>
  <c r="BF724" i="2"/>
  <c r="BE724" i="2"/>
  <c r="BF720" i="2"/>
  <c r="BD724" i="2"/>
  <c r="BC724" i="2"/>
  <c r="BB724" i="2"/>
  <c r="BC720" i="2"/>
  <c r="BA724" i="2"/>
  <c r="BB720" i="2"/>
  <c r="AZ724" i="2"/>
  <c r="BA720" i="2"/>
  <c r="AY724" i="2"/>
  <c r="AX724" i="2"/>
  <c r="AW724" i="2"/>
  <c r="AX720" i="2"/>
  <c r="AV724" i="2"/>
  <c r="AU724" i="2"/>
  <c r="AT724" i="2"/>
  <c r="AU720" i="2"/>
  <c r="AS724" i="2"/>
  <c r="AR724" i="2"/>
  <c r="AQ724" i="2"/>
  <c r="AP724" i="2"/>
  <c r="AO724" i="2"/>
  <c r="AN724" i="2"/>
  <c r="AM724" i="2"/>
  <c r="AN720" i="2"/>
  <c r="AL724" i="2"/>
  <c r="AM720" i="2"/>
  <c r="AK724" i="2"/>
  <c r="AL720" i="2"/>
  <c r="AJ724" i="2"/>
  <c r="AO720" i="2"/>
  <c r="AH724" i="2"/>
  <c r="AG724" i="2"/>
  <c r="AH720" i="2"/>
  <c r="AF724" i="2"/>
  <c r="AE724" i="2"/>
  <c r="AC724" i="2"/>
  <c r="AB724" i="2"/>
  <c r="AC720" i="2"/>
  <c r="AA724" i="2"/>
  <c r="Z724" i="2"/>
  <c r="X724" i="2"/>
  <c r="W724" i="2"/>
  <c r="V724" i="2"/>
  <c r="W720" i="2"/>
  <c r="U724" i="2"/>
  <c r="Z720" i="2"/>
  <c r="T724" i="2"/>
  <c r="S724" i="2"/>
  <c r="T720" i="2"/>
  <c r="R724" i="2"/>
  <c r="Q724" i="2"/>
  <c r="R720" i="2"/>
  <c r="P724" i="2"/>
  <c r="BT722" i="2"/>
  <c r="BR722" i="2"/>
  <c r="BQ722" i="2"/>
  <c r="BP722" i="2"/>
  <c r="BO722" i="2"/>
  <c r="BM722" i="2"/>
  <c r="BM661" i="2"/>
  <c r="BL722" i="2"/>
  <c r="BL661" i="2"/>
  <c r="BJ722" i="2"/>
  <c r="BJ661" i="2"/>
  <c r="BI720" i="2"/>
  <c r="BH720" i="2"/>
  <c r="BG720" i="2"/>
  <c r="BE720" i="2"/>
  <c r="BD720" i="2"/>
  <c r="AZ720" i="2"/>
  <c r="AY720" i="2"/>
  <c r="AW720" i="2"/>
  <c r="AS720" i="2"/>
  <c r="AR720" i="2"/>
  <c r="AQ720" i="2"/>
  <c r="AI720" i="2"/>
  <c r="AG720" i="2"/>
  <c r="AE720" i="2"/>
  <c r="AD720" i="2"/>
  <c r="AA720" i="2"/>
  <c r="Y720" i="2"/>
  <c r="X720" i="2"/>
  <c r="U720" i="2"/>
  <c r="S720" i="2"/>
  <c r="Q720" i="2"/>
  <c r="BI702" i="2"/>
  <c r="BG702" i="2"/>
  <c r="BF702" i="2"/>
  <c r="BE702" i="2"/>
  <c r="BD702" i="2"/>
  <c r="BB702" i="2"/>
  <c r="BA702" i="2"/>
  <c r="AZ702" i="2"/>
  <c r="AY702" i="2"/>
  <c r="AW702" i="2"/>
  <c r="AV702" i="2"/>
  <c r="AU702" i="2"/>
  <c r="AT702" i="2"/>
  <c r="AR702" i="2"/>
  <c r="AQ702" i="2"/>
  <c r="AP702" i="2"/>
  <c r="AO702" i="2"/>
  <c r="AM702" i="2"/>
  <c r="AL702" i="2"/>
  <c r="AK702" i="2"/>
  <c r="AJ702" i="2"/>
  <c r="AH702" i="2"/>
  <c r="AG702" i="2"/>
  <c r="AF702" i="2"/>
  <c r="AE702" i="2"/>
  <c r="AC702" i="2"/>
  <c r="AB702" i="2"/>
  <c r="AA702" i="2"/>
  <c r="Z702" i="2"/>
  <c r="X702" i="2"/>
  <c r="W702" i="2"/>
  <c r="V702" i="2"/>
  <c r="U702" i="2"/>
  <c r="S702" i="2"/>
  <c r="R702" i="2"/>
  <c r="Q702" i="2"/>
  <c r="P702" i="2"/>
  <c r="BI701" i="2"/>
  <c r="BG701" i="2"/>
  <c r="BF701" i="2"/>
  <c r="BE701" i="2"/>
  <c r="BD701" i="2"/>
  <c r="BB701" i="2"/>
  <c r="BA701" i="2"/>
  <c r="AZ701" i="2"/>
  <c r="AY701" i="2"/>
  <c r="AW701" i="2"/>
  <c r="AV701" i="2"/>
  <c r="AU701" i="2"/>
  <c r="AT701" i="2"/>
  <c r="AR701" i="2"/>
  <c r="AQ701" i="2"/>
  <c r="AP701" i="2"/>
  <c r="AO701" i="2"/>
  <c r="AM701" i="2"/>
  <c r="AL701" i="2"/>
  <c r="AK701" i="2"/>
  <c r="AJ701" i="2"/>
  <c r="AH701" i="2"/>
  <c r="AG701" i="2"/>
  <c r="AF701" i="2"/>
  <c r="AE701" i="2"/>
  <c r="AC701" i="2"/>
  <c r="AB701" i="2"/>
  <c r="AA701" i="2"/>
  <c r="Z701" i="2"/>
  <c r="X701" i="2"/>
  <c r="W701" i="2"/>
  <c r="V701" i="2"/>
  <c r="U701" i="2"/>
  <c r="S701" i="2"/>
  <c r="R701" i="2"/>
  <c r="Q701" i="2"/>
  <c r="P701" i="2"/>
  <c r="A699" i="2"/>
  <c r="A698" i="2"/>
  <c r="A696" i="2"/>
  <c r="BS695" i="2"/>
  <c r="BN695" i="2"/>
  <c r="BI695" i="2"/>
  <c r="BG695" i="2"/>
  <c r="BF695" i="2"/>
  <c r="BE695" i="2"/>
  <c r="BD695" i="2"/>
  <c r="BB695" i="2"/>
  <c r="BA695" i="2"/>
  <c r="AZ695" i="2"/>
  <c r="AY695" i="2"/>
  <c r="AW695" i="2"/>
  <c r="AV695" i="2"/>
  <c r="AU695" i="2"/>
  <c r="AT695" i="2"/>
  <c r="AR695" i="2"/>
  <c r="AQ695" i="2"/>
  <c r="AP695" i="2"/>
  <c r="AO695" i="2"/>
  <c r="AM695" i="2"/>
  <c r="AL695" i="2"/>
  <c r="AK695" i="2"/>
  <c r="AJ695" i="2"/>
  <c r="AH695" i="2"/>
  <c r="AG695" i="2"/>
  <c r="AF695" i="2"/>
  <c r="AE695" i="2"/>
  <c r="AC695" i="2"/>
  <c r="AB695" i="2"/>
  <c r="AA695" i="2"/>
  <c r="Z695" i="2"/>
  <c r="X695" i="2"/>
  <c r="W695" i="2"/>
  <c r="V695" i="2"/>
  <c r="U695" i="2"/>
  <c r="S695" i="2"/>
  <c r="R695" i="2"/>
  <c r="Q695" i="2"/>
  <c r="P695" i="2"/>
  <c r="A695" i="2"/>
  <c r="A693" i="2"/>
  <c r="BS692" i="2"/>
  <c r="BN692" i="2"/>
  <c r="BI692" i="2"/>
  <c r="BG692" i="2"/>
  <c r="BF692" i="2"/>
  <c r="BE692" i="2"/>
  <c r="BD692" i="2"/>
  <c r="BB692" i="2"/>
  <c r="BA692" i="2"/>
  <c r="AZ692" i="2"/>
  <c r="AY692" i="2"/>
  <c r="AW692" i="2"/>
  <c r="AV692" i="2"/>
  <c r="AU692" i="2"/>
  <c r="AT692" i="2"/>
  <c r="AR692" i="2"/>
  <c r="AQ692" i="2"/>
  <c r="AP692" i="2"/>
  <c r="AO692" i="2"/>
  <c r="AM692" i="2"/>
  <c r="AL692" i="2"/>
  <c r="AK692" i="2"/>
  <c r="AJ692" i="2"/>
  <c r="AH692" i="2"/>
  <c r="AG692" i="2"/>
  <c r="AF692" i="2"/>
  <c r="AE692" i="2"/>
  <c r="AC692" i="2"/>
  <c r="AB692" i="2"/>
  <c r="AA692" i="2"/>
  <c r="Z692" i="2"/>
  <c r="X692" i="2"/>
  <c r="W692" i="2"/>
  <c r="V692" i="2"/>
  <c r="U692" i="2"/>
  <c r="S692" i="2"/>
  <c r="R692" i="2"/>
  <c r="Q692" i="2"/>
  <c r="P692" i="2"/>
  <c r="A692" i="2"/>
  <c r="BV691" i="2"/>
  <c r="BU691" i="2"/>
  <c r="BT691" i="2"/>
  <c r="BR691" i="2"/>
  <c r="BQ691" i="2"/>
  <c r="BP691" i="2"/>
  <c r="BO691" i="2"/>
  <c r="BM691" i="2"/>
  <c r="BL691" i="2"/>
  <c r="BK691" i="2"/>
  <c r="BJ691" i="2"/>
  <c r="BI691" i="2"/>
  <c r="BG691" i="2"/>
  <c r="BF691" i="2"/>
  <c r="BE691" i="2"/>
  <c r="BD691" i="2"/>
  <c r="BB691" i="2"/>
  <c r="BA691" i="2"/>
  <c r="AZ691" i="2"/>
  <c r="AY691" i="2"/>
  <c r="AW691" i="2"/>
  <c r="AV691" i="2"/>
  <c r="AU691" i="2"/>
  <c r="AT691" i="2"/>
  <c r="AR691" i="2"/>
  <c r="AQ691" i="2"/>
  <c r="AP691" i="2"/>
  <c r="AO691" i="2"/>
  <c r="AM691" i="2"/>
  <c r="AL691" i="2"/>
  <c r="AK691" i="2"/>
  <c r="AJ691" i="2"/>
  <c r="AH691" i="2"/>
  <c r="AG691" i="2"/>
  <c r="AF691" i="2"/>
  <c r="AE691" i="2"/>
  <c r="AC691" i="2"/>
  <c r="AB691" i="2"/>
  <c r="AA691" i="2"/>
  <c r="Z691" i="2"/>
  <c r="X691" i="2"/>
  <c r="W691" i="2"/>
  <c r="V691" i="2"/>
  <c r="U691" i="2"/>
  <c r="S691" i="2"/>
  <c r="R691" i="2"/>
  <c r="Q691" i="2"/>
  <c r="P691" i="2"/>
  <c r="A691" i="2"/>
  <c r="BS690" i="2"/>
  <c r="BN690" i="2"/>
  <c r="BI690" i="2"/>
  <c r="BG690" i="2"/>
  <c r="BF690" i="2"/>
  <c r="BE690" i="2"/>
  <c r="BD690" i="2"/>
  <c r="BB690" i="2"/>
  <c r="BA690" i="2"/>
  <c r="AZ690" i="2"/>
  <c r="AY690" i="2"/>
  <c r="AW690" i="2"/>
  <c r="AV690" i="2"/>
  <c r="AU690" i="2"/>
  <c r="AT690" i="2"/>
  <c r="AS690" i="2"/>
  <c r="AR690" i="2"/>
  <c r="AQ690" i="2"/>
  <c r="AP690" i="2"/>
  <c r="AO690" i="2"/>
  <c r="AN690" i="2"/>
  <c r="AM690" i="2"/>
  <c r="AL690" i="2"/>
  <c r="AK690" i="2"/>
  <c r="AJ690" i="2"/>
  <c r="AI690" i="2"/>
  <c r="AH690" i="2"/>
  <c r="AG690" i="2"/>
  <c r="AF690" i="2"/>
  <c r="AE690" i="2"/>
  <c r="AD690" i="2"/>
  <c r="AC690" i="2"/>
  <c r="AB690" i="2"/>
  <c r="AA690" i="2"/>
  <c r="Z690" i="2"/>
  <c r="Y690" i="2"/>
  <c r="X690" i="2"/>
  <c r="W690" i="2"/>
  <c r="V690" i="2"/>
  <c r="U690" i="2"/>
  <c r="T690" i="2"/>
  <c r="S690" i="2"/>
  <c r="R690" i="2"/>
  <c r="Q690" i="2"/>
  <c r="P690" i="2"/>
  <c r="A690" i="2"/>
  <c r="BS689" i="2"/>
  <c r="BN689" i="2"/>
  <c r="BI689" i="2"/>
  <c r="BG689" i="2"/>
  <c r="BF689" i="2"/>
  <c r="BE689" i="2"/>
  <c r="BD689" i="2"/>
  <c r="BB689" i="2"/>
  <c r="BA689" i="2"/>
  <c r="AZ689" i="2"/>
  <c r="AY689" i="2"/>
  <c r="AW689" i="2"/>
  <c r="AV689" i="2"/>
  <c r="AU689" i="2"/>
  <c r="AT689" i="2"/>
  <c r="AS689" i="2"/>
  <c r="AR689" i="2"/>
  <c r="AQ689" i="2"/>
  <c r="AP689" i="2"/>
  <c r="AO689" i="2"/>
  <c r="AN689" i="2"/>
  <c r="AM689" i="2"/>
  <c r="AL689" i="2"/>
  <c r="AK689" i="2"/>
  <c r="AJ689" i="2"/>
  <c r="AI689" i="2"/>
  <c r="AH689" i="2"/>
  <c r="AG689" i="2"/>
  <c r="AF689" i="2"/>
  <c r="AE689" i="2"/>
  <c r="AD689" i="2"/>
  <c r="AC689" i="2"/>
  <c r="AB689" i="2"/>
  <c r="AA689" i="2"/>
  <c r="Z689" i="2"/>
  <c r="Y689" i="2"/>
  <c r="X689" i="2"/>
  <c r="W689" i="2"/>
  <c r="V689" i="2"/>
  <c r="U689" i="2"/>
  <c r="T689" i="2"/>
  <c r="S689" i="2"/>
  <c r="R689" i="2"/>
  <c r="Q689" i="2"/>
  <c r="P689" i="2"/>
  <c r="A689" i="2"/>
  <c r="BS688" i="2"/>
  <c r="BN688" i="2"/>
  <c r="BI688" i="2"/>
  <c r="BG688" i="2"/>
  <c r="BF688" i="2"/>
  <c r="BE688" i="2"/>
  <c r="BD688" i="2"/>
  <c r="BB688" i="2"/>
  <c r="BA688" i="2"/>
  <c r="AZ688" i="2"/>
  <c r="AY688" i="2"/>
  <c r="AW688" i="2"/>
  <c r="AV688" i="2"/>
  <c r="AU688" i="2"/>
  <c r="AT688" i="2"/>
  <c r="AS688" i="2"/>
  <c r="AR688" i="2"/>
  <c r="AQ688" i="2"/>
  <c r="AP688" i="2"/>
  <c r="AO688" i="2"/>
  <c r="AN688" i="2"/>
  <c r="AM688" i="2"/>
  <c r="AL688" i="2"/>
  <c r="AK688" i="2"/>
  <c r="AJ688" i="2"/>
  <c r="AI688" i="2"/>
  <c r="AH688" i="2"/>
  <c r="AG688" i="2"/>
  <c r="AF688" i="2"/>
  <c r="AE688" i="2"/>
  <c r="AD688" i="2"/>
  <c r="AC688" i="2"/>
  <c r="AB688" i="2"/>
  <c r="AA688" i="2"/>
  <c r="Z688" i="2"/>
  <c r="Y688" i="2"/>
  <c r="X688" i="2"/>
  <c r="W688" i="2"/>
  <c r="V688" i="2"/>
  <c r="U688" i="2"/>
  <c r="T688" i="2"/>
  <c r="S688" i="2"/>
  <c r="R688" i="2"/>
  <c r="Q688" i="2"/>
  <c r="P688" i="2"/>
  <c r="A688" i="2"/>
  <c r="BS687" i="2"/>
  <c r="BN687" i="2"/>
  <c r="BI687" i="2"/>
  <c r="BG687" i="2"/>
  <c r="BF687" i="2"/>
  <c r="BE687" i="2"/>
  <c r="BD687" i="2"/>
  <c r="BB687" i="2"/>
  <c r="BA687" i="2"/>
  <c r="AZ687" i="2"/>
  <c r="AY687" i="2"/>
  <c r="AW687" i="2"/>
  <c r="AV687" i="2"/>
  <c r="AU687" i="2"/>
  <c r="AT687" i="2"/>
  <c r="AS687" i="2"/>
  <c r="AR687" i="2"/>
  <c r="AQ687" i="2"/>
  <c r="AP687" i="2"/>
  <c r="AO687" i="2"/>
  <c r="AN687" i="2"/>
  <c r="AM687" i="2"/>
  <c r="AL687" i="2"/>
  <c r="AK687" i="2"/>
  <c r="AJ687" i="2"/>
  <c r="AI687" i="2"/>
  <c r="AH687" i="2"/>
  <c r="AG687" i="2"/>
  <c r="AF687" i="2"/>
  <c r="AE687" i="2"/>
  <c r="AD687" i="2"/>
  <c r="AC687" i="2"/>
  <c r="AB687" i="2"/>
  <c r="AA687" i="2"/>
  <c r="Z687" i="2"/>
  <c r="Y687" i="2"/>
  <c r="X687" i="2"/>
  <c r="W687" i="2"/>
  <c r="V687" i="2"/>
  <c r="U687" i="2"/>
  <c r="T687" i="2"/>
  <c r="S687" i="2"/>
  <c r="R687" i="2"/>
  <c r="Q687" i="2"/>
  <c r="P687" i="2"/>
  <c r="A687" i="2"/>
  <c r="BS686" i="2"/>
  <c r="BN686" i="2"/>
  <c r="BI686" i="2"/>
  <c r="BG686" i="2"/>
  <c r="BF686" i="2"/>
  <c r="BE686" i="2"/>
  <c r="BD686" i="2"/>
  <c r="BB686" i="2"/>
  <c r="BA686" i="2"/>
  <c r="AZ686" i="2"/>
  <c r="AY686" i="2"/>
  <c r="AW686" i="2"/>
  <c r="AV686" i="2"/>
  <c r="AU686" i="2"/>
  <c r="AT686" i="2"/>
  <c r="AS686" i="2"/>
  <c r="AR686" i="2"/>
  <c r="AQ686" i="2"/>
  <c r="AP686" i="2"/>
  <c r="AO686" i="2"/>
  <c r="AN686" i="2"/>
  <c r="AM686" i="2"/>
  <c r="AL686" i="2"/>
  <c r="AK686" i="2"/>
  <c r="AJ686" i="2"/>
  <c r="AI686" i="2"/>
  <c r="AH686" i="2"/>
  <c r="AG686" i="2"/>
  <c r="AF686" i="2"/>
  <c r="AE686" i="2"/>
  <c r="AD686" i="2"/>
  <c r="AC686" i="2"/>
  <c r="AB686" i="2"/>
  <c r="AA686" i="2"/>
  <c r="Z686" i="2"/>
  <c r="Y686" i="2"/>
  <c r="X686" i="2"/>
  <c r="W686" i="2"/>
  <c r="V686" i="2"/>
  <c r="U686" i="2"/>
  <c r="T686" i="2"/>
  <c r="S686" i="2"/>
  <c r="R686" i="2"/>
  <c r="Q686" i="2"/>
  <c r="P686" i="2"/>
  <c r="A686" i="2"/>
  <c r="BS685" i="2"/>
  <c r="BN685" i="2"/>
  <c r="BI685" i="2"/>
  <c r="BG685" i="2"/>
  <c r="BF685" i="2"/>
  <c r="BE685" i="2"/>
  <c r="BD685" i="2"/>
  <c r="BB685" i="2"/>
  <c r="BA685" i="2"/>
  <c r="AZ685" i="2"/>
  <c r="AY685" i="2"/>
  <c r="AW685" i="2"/>
  <c r="AV685" i="2"/>
  <c r="AU685" i="2"/>
  <c r="AT685" i="2"/>
  <c r="AR685" i="2"/>
  <c r="AQ685" i="2"/>
  <c r="AP685" i="2"/>
  <c r="AO685" i="2"/>
  <c r="AN685" i="2"/>
  <c r="AM685" i="2"/>
  <c r="AL685" i="2"/>
  <c r="AK685" i="2"/>
  <c r="AJ685" i="2"/>
  <c r="AI685" i="2"/>
  <c r="AH685" i="2"/>
  <c r="AG685" i="2"/>
  <c r="AF685" i="2"/>
  <c r="AE685" i="2"/>
  <c r="AD685" i="2"/>
  <c r="AC685" i="2"/>
  <c r="AB685" i="2"/>
  <c r="AA685" i="2"/>
  <c r="Z685" i="2"/>
  <c r="Y685" i="2"/>
  <c r="X685" i="2"/>
  <c r="W685" i="2"/>
  <c r="V685" i="2"/>
  <c r="U685" i="2"/>
  <c r="T685" i="2"/>
  <c r="S685" i="2"/>
  <c r="R685" i="2"/>
  <c r="Q685" i="2"/>
  <c r="P685" i="2"/>
  <c r="A685" i="2"/>
  <c r="BS684" i="2"/>
  <c r="BN684" i="2"/>
  <c r="BI684" i="2"/>
  <c r="BG684" i="2"/>
  <c r="BF684" i="2"/>
  <c r="BE684" i="2"/>
  <c r="BD684" i="2"/>
  <c r="BB684" i="2"/>
  <c r="BA684" i="2"/>
  <c r="AZ684" i="2"/>
  <c r="AY684" i="2"/>
  <c r="AW684" i="2"/>
  <c r="AV684" i="2"/>
  <c r="AU684" i="2"/>
  <c r="AT684" i="2"/>
  <c r="AR684" i="2"/>
  <c r="AQ684" i="2"/>
  <c r="AP684" i="2"/>
  <c r="AO684" i="2"/>
  <c r="AN684" i="2"/>
  <c r="AM684" i="2"/>
  <c r="AL684" i="2"/>
  <c r="AK684" i="2"/>
  <c r="AJ684" i="2"/>
  <c r="AI684" i="2"/>
  <c r="AH684" i="2"/>
  <c r="AG684" i="2"/>
  <c r="AF684" i="2"/>
  <c r="AE684" i="2"/>
  <c r="AD684" i="2"/>
  <c r="AC684" i="2"/>
  <c r="AB684" i="2"/>
  <c r="AA684" i="2"/>
  <c r="Z684" i="2"/>
  <c r="Y684" i="2"/>
  <c r="X684" i="2"/>
  <c r="W684" i="2"/>
  <c r="V684" i="2"/>
  <c r="U684" i="2"/>
  <c r="T684" i="2"/>
  <c r="S684" i="2"/>
  <c r="R684" i="2"/>
  <c r="Q684" i="2"/>
  <c r="P684" i="2"/>
  <c r="A684" i="2"/>
  <c r="BI683" i="2"/>
  <c r="BG683" i="2"/>
  <c r="BF683" i="2"/>
  <c r="BE683" i="2"/>
  <c r="BD683" i="2"/>
  <c r="BB683" i="2"/>
  <c r="BA683" i="2"/>
  <c r="AZ683" i="2"/>
  <c r="AY683" i="2"/>
  <c r="AW683" i="2"/>
  <c r="AV683" i="2"/>
  <c r="AU683" i="2"/>
  <c r="AT683" i="2"/>
  <c r="AR683" i="2"/>
  <c r="AQ683" i="2"/>
  <c r="AP683" i="2"/>
  <c r="AO683" i="2"/>
  <c r="AM683" i="2"/>
  <c r="AL683" i="2"/>
  <c r="AK683" i="2"/>
  <c r="AJ683" i="2"/>
  <c r="AH683" i="2"/>
  <c r="AG683" i="2"/>
  <c r="AF683" i="2"/>
  <c r="AE683" i="2"/>
  <c r="AC683" i="2"/>
  <c r="AB683" i="2"/>
  <c r="AA683" i="2"/>
  <c r="Z683" i="2"/>
  <c r="X683" i="2"/>
  <c r="W683" i="2"/>
  <c r="V683" i="2"/>
  <c r="U683" i="2"/>
  <c r="S683" i="2"/>
  <c r="R683" i="2"/>
  <c r="Q683" i="2"/>
  <c r="P683" i="2"/>
  <c r="A683" i="2"/>
  <c r="BS682" i="2"/>
  <c r="BN682" i="2"/>
  <c r="BI682" i="2"/>
  <c r="BG682" i="2"/>
  <c r="BF682" i="2"/>
  <c r="BE682" i="2"/>
  <c r="BD682" i="2"/>
  <c r="BB682" i="2"/>
  <c r="BA682" i="2"/>
  <c r="AZ682" i="2"/>
  <c r="AY682" i="2"/>
  <c r="AW682" i="2"/>
  <c r="AV682" i="2"/>
  <c r="AU682" i="2"/>
  <c r="AT682" i="2"/>
  <c r="AR682" i="2"/>
  <c r="AQ682" i="2"/>
  <c r="AP682" i="2"/>
  <c r="AO682" i="2"/>
  <c r="AM682" i="2"/>
  <c r="AL682" i="2"/>
  <c r="AK682" i="2"/>
  <c r="AJ682" i="2"/>
  <c r="AH682" i="2"/>
  <c r="AG682" i="2"/>
  <c r="AF682" i="2"/>
  <c r="AE682" i="2"/>
  <c r="AC682" i="2"/>
  <c r="AB682" i="2"/>
  <c r="AA682" i="2"/>
  <c r="Z682" i="2"/>
  <c r="X682" i="2"/>
  <c r="W682" i="2"/>
  <c r="V682" i="2"/>
  <c r="U682" i="2"/>
  <c r="S682" i="2"/>
  <c r="R682" i="2"/>
  <c r="Q682" i="2"/>
  <c r="P682" i="2"/>
  <c r="A682" i="2"/>
  <c r="BS681" i="2"/>
  <c r="BN681" i="2"/>
  <c r="BI681" i="2"/>
  <c r="BG681" i="2"/>
  <c r="BF681" i="2"/>
  <c r="BE681" i="2"/>
  <c r="BD681" i="2"/>
  <c r="BB681" i="2"/>
  <c r="BA681" i="2"/>
  <c r="AZ681" i="2"/>
  <c r="AY681" i="2"/>
  <c r="AW681" i="2"/>
  <c r="AV681" i="2"/>
  <c r="AU681" i="2"/>
  <c r="AT681" i="2"/>
  <c r="AR681" i="2"/>
  <c r="AQ681" i="2"/>
  <c r="AP681" i="2"/>
  <c r="AO681" i="2"/>
  <c r="AM681" i="2"/>
  <c r="AL681" i="2"/>
  <c r="AK681" i="2"/>
  <c r="AJ681" i="2"/>
  <c r="AH681" i="2"/>
  <c r="AG681" i="2"/>
  <c r="AF681" i="2"/>
  <c r="AE681" i="2"/>
  <c r="AC681" i="2"/>
  <c r="AB681" i="2"/>
  <c r="AA681" i="2"/>
  <c r="Z681" i="2"/>
  <c r="X681" i="2"/>
  <c r="W681" i="2"/>
  <c r="V681" i="2"/>
  <c r="U681" i="2"/>
  <c r="S681" i="2"/>
  <c r="R681" i="2"/>
  <c r="Q681" i="2"/>
  <c r="P681" i="2"/>
  <c r="A681" i="2"/>
  <c r="BS680" i="2"/>
  <c r="BN680" i="2"/>
  <c r="BI680" i="2"/>
  <c r="BG680" i="2"/>
  <c r="BF680" i="2"/>
  <c r="BE680" i="2"/>
  <c r="BD680" i="2"/>
  <c r="BD507" i="2"/>
  <c r="BB680" i="2"/>
  <c r="BA680" i="2"/>
  <c r="AZ680" i="2"/>
  <c r="AY680" i="2"/>
  <c r="AW680" i="2"/>
  <c r="AV680" i="2"/>
  <c r="AU680" i="2"/>
  <c r="AT680" i="2"/>
  <c r="AR680" i="2"/>
  <c r="AQ680" i="2"/>
  <c r="AP680" i="2"/>
  <c r="AO680" i="2"/>
  <c r="AM680" i="2"/>
  <c r="AL680" i="2"/>
  <c r="AK680" i="2"/>
  <c r="AJ680" i="2"/>
  <c r="AJ507" i="2"/>
  <c r="AH680" i="2"/>
  <c r="AG680" i="2"/>
  <c r="AF680" i="2"/>
  <c r="AE680" i="2"/>
  <c r="AC680" i="2"/>
  <c r="AB680" i="2"/>
  <c r="AA680" i="2"/>
  <c r="Z680" i="2"/>
  <c r="X680" i="2"/>
  <c r="W680" i="2"/>
  <c r="V680" i="2"/>
  <c r="U680" i="2"/>
  <c r="S680" i="2"/>
  <c r="R680" i="2"/>
  <c r="Q680" i="2"/>
  <c r="Q507" i="2"/>
  <c r="P680" i="2"/>
  <c r="P507" i="2"/>
  <c r="A680" i="2"/>
  <c r="BS679" i="2"/>
  <c r="BN679" i="2"/>
  <c r="BI679" i="2"/>
  <c r="BG679" i="2"/>
  <c r="BF679" i="2"/>
  <c r="BE679" i="2"/>
  <c r="BD679" i="2"/>
  <c r="BB679" i="2"/>
  <c r="BA679" i="2"/>
  <c r="AZ679" i="2"/>
  <c r="AY679" i="2"/>
  <c r="AW679" i="2"/>
  <c r="AV679" i="2"/>
  <c r="AU679" i="2"/>
  <c r="AT679" i="2"/>
  <c r="AS679" i="2"/>
  <c r="AR679" i="2"/>
  <c r="AQ679" i="2"/>
  <c r="AP679" i="2"/>
  <c r="AO679" i="2"/>
  <c r="AN679" i="2"/>
  <c r="AM679" i="2"/>
  <c r="AL679" i="2"/>
  <c r="AK679" i="2"/>
  <c r="AJ679" i="2"/>
  <c r="AI679" i="2"/>
  <c r="AH679" i="2"/>
  <c r="AG679" i="2"/>
  <c r="AF679" i="2"/>
  <c r="AE679" i="2"/>
  <c r="AD679" i="2"/>
  <c r="AC679" i="2"/>
  <c r="AB679" i="2"/>
  <c r="AA679" i="2"/>
  <c r="Z679" i="2"/>
  <c r="Y679" i="2"/>
  <c r="X679" i="2"/>
  <c r="W679" i="2"/>
  <c r="V679" i="2"/>
  <c r="U679" i="2"/>
  <c r="T679" i="2"/>
  <c r="S679" i="2"/>
  <c r="R679" i="2"/>
  <c r="Q679" i="2"/>
  <c r="P679" i="2"/>
  <c r="A679" i="2"/>
  <c r="BS678" i="2"/>
  <c r="BN678" i="2"/>
  <c r="BI678" i="2"/>
  <c r="BG678" i="2"/>
  <c r="BF678" i="2"/>
  <c r="BE678" i="2"/>
  <c r="BD678" i="2"/>
  <c r="BB678" i="2"/>
  <c r="BA678" i="2"/>
  <c r="AZ678" i="2"/>
  <c r="AY678" i="2"/>
  <c r="AW678" i="2"/>
  <c r="AV678" i="2"/>
  <c r="AU678" i="2"/>
  <c r="AT678" i="2"/>
  <c r="AS678" i="2"/>
  <c r="AR678" i="2"/>
  <c r="AQ678" i="2"/>
  <c r="AP678" i="2"/>
  <c r="AO678" i="2"/>
  <c r="AN678" i="2"/>
  <c r="AM678" i="2"/>
  <c r="AL678" i="2"/>
  <c r="AK678" i="2"/>
  <c r="AJ678" i="2"/>
  <c r="AI678" i="2"/>
  <c r="AH678" i="2"/>
  <c r="AG678" i="2"/>
  <c r="AF678" i="2"/>
  <c r="AE678" i="2"/>
  <c r="AD678" i="2"/>
  <c r="AC678" i="2"/>
  <c r="AB678" i="2"/>
  <c r="AA678" i="2"/>
  <c r="Z678" i="2"/>
  <c r="Y678" i="2"/>
  <c r="X678" i="2"/>
  <c r="W678" i="2"/>
  <c r="V678" i="2"/>
  <c r="U678" i="2"/>
  <c r="T678" i="2"/>
  <c r="S678" i="2"/>
  <c r="R678" i="2"/>
  <c r="Q678" i="2"/>
  <c r="P678" i="2"/>
  <c r="A678" i="2"/>
  <c r="BS677" i="2"/>
  <c r="BN677" i="2"/>
  <c r="BI677" i="2"/>
  <c r="BG677" i="2"/>
  <c r="BF677" i="2"/>
  <c r="BE677" i="2"/>
  <c r="BD677" i="2"/>
  <c r="BB677" i="2"/>
  <c r="BA677" i="2"/>
  <c r="AZ677" i="2"/>
  <c r="AY677" i="2"/>
  <c r="AW677" i="2"/>
  <c r="AV677" i="2"/>
  <c r="AU677" i="2"/>
  <c r="AT677" i="2"/>
  <c r="AR677" i="2"/>
  <c r="AQ677" i="2"/>
  <c r="AP677" i="2"/>
  <c r="AO677" i="2"/>
  <c r="AM677" i="2"/>
  <c r="AL677" i="2"/>
  <c r="AK677" i="2"/>
  <c r="AJ677" i="2"/>
  <c r="AH677" i="2"/>
  <c r="AG677" i="2"/>
  <c r="AF677" i="2"/>
  <c r="AE677" i="2"/>
  <c r="AC677" i="2"/>
  <c r="AB677" i="2"/>
  <c r="AA677" i="2"/>
  <c r="Z677" i="2"/>
  <c r="X677" i="2"/>
  <c r="W677" i="2"/>
  <c r="V677" i="2"/>
  <c r="U677" i="2"/>
  <c r="S677" i="2"/>
  <c r="R677" i="2"/>
  <c r="Q677" i="2"/>
  <c r="P677" i="2"/>
  <c r="A677" i="2"/>
  <c r="BV676" i="2"/>
  <c r="BU676" i="2"/>
  <c r="BT676" i="2"/>
  <c r="BR676" i="2"/>
  <c r="BQ676" i="2"/>
  <c r="BP676" i="2"/>
  <c r="BO676" i="2"/>
  <c r="BM676" i="2"/>
  <c r="BL676" i="2"/>
  <c r="BK676" i="2"/>
  <c r="BJ676" i="2"/>
  <c r="BI676" i="2"/>
  <c r="BG676" i="2"/>
  <c r="BF676" i="2"/>
  <c r="BF506" i="2"/>
  <c r="BE676" i="2"/>
  <c r="BD676" i="2"/>
  <c r="BB676" i="2"/>
  <c r="BA676" i="2"/>
  <c r="AZ676" i="2"/>
  <c r="AY676" i="2"/>
  <c r="AW676" i="2"/>
  <c r="AV676" i="2"/>
  <c r="AU676" i="2"/>
  <c r="AT676" i="2"/>
  <c r="AR676" i="2"/>
  <c r="AQ676" i="2"/>
  <c r="AP676" i="2"/>
  <c r="AP506" i="2"/>
  <c r="AO676" i="2"/>
  <c r="AM676" i="2"/>
  <c r="AM506" i="2"/>
  <c r="AL676" i="2"/>
  <c r="AL506" i="2"/>
  <c r="AK676" i="2"/>
  <c r="AJ676" i="2"/>
  <c r="AH676" i="2"/>
  <c r="AG676" i="2"/>
  <c r="AF676" i="2"/>
  <c r="AE676" i="2"/>
  <c r="AC676" i="2"/>
  <c r="AB676" i="2"/>
  <c r="AA676" i="2"/>
  <c r="Z676" i="2"/>
  <c r="X676" i="2"/>
  <c r="W676" i="2"/>
  <c r="W506" i="2"/>
  <c r="V676" i="2"/>
  <c r="V506" i="2"/>
  <c r="U676" i="2"/>
  <c r="S676" i="2"/>
  <c r="S506" i="2"/>
  <c r="R676" i="2"/>
  <c r="R506" i="2"/>
  <c r="Q676" i="2"/>
  <c r="P676" i="2"/>
  <c r="A676" i="2"/>
  <c r="BS675" i="2"/>
  <c r="BN675" i="2"/>
  <c r="BI675" i="2"/>
  <c r="BG675" i="2"/>
  <c r="BF675" i="2"/>
  <c r="BE675" i="2"/>
  <c r="BD675" i="2"/>
  <c r="BB675" i="2"/>
  <c r="BA675" i="2"/>
  <c r="AZ675" i="2"/>
  <c r="AY675" i="2"/>
  <c r="AW675" i="2"/>
  <c r="AV675" i="2"/>
  <c r="AU675" i="2"/>
  <c r="AT675" i="2"/>
  <c r="AR675" i="2"/>
  <c r="AQ675" i="2"/>
  <c r="AP675" i="2"/>
  <c r="AO675" i="2"/>
  <c r="AM675" i="2"/>
  <c r="AL675" i="2"/>
  <c r="AK675" i="2"/>
  <c r="AJ675" i="2"/>
  <c r="AH675" i="2"/>
  <c r="AG675" i="2"/>
  <c r="AF675" i="2"/>
  <c r="AE675" i="2"/>
  <c r="AC675" i="2"/>
  <c r="AB675" i="2"/>
  <c r="AA675" i="2"/>
  <c r="Z675" i="2"/>
  <c r="X675" i="2"/>
  <c r="W675" i="2"/>
  <c r="V675" i="2"/>
  <c r="U675" i="2"/>
  <c r="S675" i="2"/>
  <c r="R675" i="2"/>
  <c r="Q675" i="2"/>
  <c r="P675" i="2"/>
  <c r="A675" i="2"/>
  <c r="BS674" i="2"/>
  <c r="BN674" i="2"/>
  <c r="BI674" i="2"/>
  <c r="BG674" i="2"/>
  <c r="BF674" i="2"/>
  <c r="BE674" i="2"/>
  <c r="BD674" i="2"/>
  <c r="BB674" i="2"/>
  <c r="BA674" i="2"/>
  <c r="AZ674" i="2"/>
  <c r="AY674" i="2"/>
  <c r="AW674" i="2"/>
  <c r="AV674" i="2"/>
  <c r="AU674" i="2"/>
  <c r="AT674" i="2"/>
  <c r="AR674" i="2"/>
  <c r="AQ674" i="2"/>
  <c r="AP674" i="2"/>
  <c r="AO674" i="2"/>
  <c r="AM674" i="2"/>
  <c r="AL674" i="2"/>
  <c r="AK674" i="2"/>
  <c r="AJ674" i="2"/>
  <c r="AH674" i="2"/>
  <c r="AG674" i="2"/>
  <c r="AF674" i="2"/>
  <c r="AE674" i="2"/>
  <c r="AC674" i="2"/>
  <c r="AB674" i="2"/>
  <c r="AA674" i="2"/>
  <c r="Z674" i="2"/>
  <c r="X674" i="2"/>
  <c r="W674" i="2"/>
  <c r="V674" i="2"/>
  <c r="U674" i="2"/>
  <c r="S674" i="2"/>
  <c r="R674" i="2"/>
  <c r="Q674" i="2"/>
  <c r="P674" i="2"/>
  <c r="A674" i="2"/>
  <c r="BS673" i="2"/>
  <c r="BN673" i="2"/>
  <c r="BI673" i="2"/>
  <c r="BG673" i="2"/>
  <c r="BF673" i="2"/>
  <c r="BE673" i="2"/>
  <c r="BD673" i="2"/>
  <c r="BB673" i="2"/>
  <c r="BA673" i="2"/>
  <c r="AZ673" i="2"/>
  <c r="AY673" i="2"/>
  <c r="AW673" i="2"/>
  <c r="AV673" i="2"/>
  <c r="AU673" i="2"/>
  <c r="AT673" i="2"/>
  <c r="AR673" i="2"/>
  <c r="AQ673" i="2"/>
  <c r="AP673" i="2"/>
  <c r="AO673" i="2"/>
  <c r="AN673" i="2"/>
  <c r="AM673" i="2"/>
  <c r="AL673" i="2"/>
  <c r="AK673" i="2"/>
  <c r="AJ673" i="2"/>
  <c r="AI673" i="2"/>
  <c r="AH673" i="2"/>
  <c r="AG673" i="2"/>
  <c r="AF673" i="2"/>
  <c r="AE673" i="2"/>
  <c r="AD673" i="2"/>
  <c r="AC673" i="2"/>
  <c r="AB673" i="2"/>
  <c r="AA673" i="2"/>
  <c r="Z673" i="2"/>
  <c r="Y673" i="2"/>
  <c r="X673" i="2"/>
  <c r="W673" i="2"/>
  <c r="V673" i="2"/>
  <c r="U673" i="2"/>
  <c r="T673" i="2"/>
  <c r="S673" i="2"/>
  <c r="R673" i="2"/>
  <c r="Q673" i="2"/>
  <c r="P673" i="2"/>
  <c r="A673" i="2"/>
  <c r="A672" i="2"/>
  <c r="A670" i="2"/>
  <c r="BS669" i="2"/>
  <c r="BN669" i="2"/>
  <c r="BI669" i="2"/>
  <c r="BG669" i="2"/>
  <c r="BF669" i="2"/>
  <c r="BE669" i="2"/>
  <c r="BD669" i="2"/>
  <c r="BB669" i="2"/>
  <c r="BA669" i="2"/>
  <c r="AZ669" i="2"/>
  <c r="AY669" i="2"/>
  <c r="AW669" i="2"/>
  <c r="AV669" i="2"/>
  <c r="AU669" i="2"/>
  <c r="AT669" i="2"/>
  <c r="AS669" i="2"/>
  <c r="AR669" i="2"/>
  <c r="AQ669" i="2"/>
  <c r="AP669" i="2"/>
  <c r="AO669" i="2"/>
  <c r="AN669" i="2"/>
  <c r="AM669" i="2"/>
  <c r="AL669" i="2"/>
  <c r="AK669" i="2"/>
  <c r="AJ669" i="2"/>
  <c r="AI669" i="2"/>
  <c r="AH669" i="2"/>
  <c r="AG669" i="2"/>
  <c r="AF669" i="2"/>
  <c r="AE669" i="2"/>
  <c r="AD669" i="2"/>
  <c r="AC669" i="2"/>
  <c r="AB669" i="2"/>
  <c r="AA669" i="2"/>
  <c r="Z669" i="2"/>
  <c r="Y669" i="2"/>
  <c r="X669" i="2"/>
  <c r="W669" i="2"/>
  <c r="V669" i="2"/>
  <c r="U669" i="2"/>
  <c r="T669" i="2"/>
  <c r="S669" i="2"/>
  <c r="R669" i="2"/>
  <c r="Q669" i="2"/>
  <c r="P669" i="2"/>
  <c r="A669" i="2"/>
  <c r="BV668" i="2"/>
  <c r="BU668" i="2"/>
  <c r="BT668" i="2"/>
  <c r="BR668" i="2"/>
  <c r="BQ668" i="2"/>
  <c r="BP668" i="2"/>
  <c r="BO668" i="2"/>
  <c r="BS668" i="2"/>
  <c r="BM668" i="2"/>
  <c r="BL668" i="2"/>
  <c r="BN668" i="2"/>
  <c r="BK668" i="2"/>
  <c r="BJ668" i="2"/>
  <c r="BI668" i="2"/>
  <c r="BI502" i="2"/>
  <c r="BG668" i="2"/>
  <c r="BG502" i="2"/>
  <c r="BF668" i="2"/>
  <c r="BF502" i="2"/>
  <c r="BE668" i="2"/>
  <c r="BE502" i="2"/>
  <c r="BD668" i="2"/>
  <c r="BD502" i="2"/>
  <c r="BB668" i="2"/>
  <c r="BA668" i="2"/>
  <c r="AZ668" i="2"/>
  <c r="AY668" i="2"/>
  <c r="AW668" i="2"/>
  <c r="AV668" i="2"/>
  <c r="AU668" i="2"/>
  <c r="AT668" i="2"/>
  <c r="AR668" i="2"/>
  <c r="AQ668" i="2"/>
  <c r="AP668" i="2"/>
  <c r="AO668" i="2"/>
  <c r="AO502" i="2"/>
  <c r="AM668" i="2"/>
  <c r="AM502" i="2"/>
  <c r="AL668" i="2"/>
  <c r="AL502" i="2"/>
  <c r="AK668" i="2"/>
  <c r="AK502" i="2"/>
  <c r="AJ668" i="2"/>
  <c r="AJ502" i="2"/>
  <c r="AH668" i="2"/>
  <c r="AG668" i="2"/>
  <c r="AF668" i="2"/>
  <c r="AE668" i="2"/>
  <c r="AC668" i="2"/>
  <c r="AB668" i="2"/>
  <c r="AA668" i="2"/>
  <c r="Z668" i="2"/>
  <c r="X668" i="2"/>
  <c r="W668" i="2"/>
  <c r="V668" i="2"/>
  <c r="U668" i="2"/>
  <c r="U502" i="2"/>
  <c r="S668" i="2"/>
  <c r="S502" i="2"/>
  <c r="R668" i="2"/>
  <c r="R502" i="2"/>
  <c r="Q668" i="2"/>
  <c r="Q502" i="2"/>
  <c r="P668" i="2"/>
  <c r="P502" i="2"/>
  <c r="A668" i="2"/>
  <c r="BV667" i="2"/>
  <c r="BU667" i="2"/>
  <c r="BT667" i="2"/>
  <c r="BR667" i="2"/>
  <c r="BQ667" i="2"/>
  <c r="BP667" i="2"/>
  <c r="BO667" i="2"/>
  <c r="BS667" i="2"/>
  <c r="BM667" i="2"/>
  <c r="BL667" i="2"/>
  <c r="BK667" i="2"/>
  <c r="BJ667" i="2"/>
  <c r="BI667" i="2"/>
  <c r="BG667" i="2"/>
  <c r="BF667" i="2"/>
  <c r="BE667" i="2"/>
  <c r="BE501" i="2"/>
  <c r="BD667" i="2"/>
  <c r="BB667" i="2"/>
  <c r="BA667" i="2"/>
  <c r="AZ667" i="2"/>
  <c r="AY667" i="2"/>
  <c r="AW667" i="2"/>
  <c r="AV667" i="2"/>
  <c r="AU667" i="2"/>
  <c r="AT667" i="2"/>
  <c r="AR667" i="2"/>
  <c r="AR501" i="2"/>
  <c r="AQ667" i="2"/>
  <c r="AQ501" i="2"/>
  <c r="AP667" i="2"/>
  <c r="AP501" i="2"/>
  <c r="AO667" i="2"/>
  <c r="AM667" i="2"/>
  <c r="AL667" i="2"/>
  <c r="AK667" i="2"/>
  <c r="AK501" i="2"/>
  <c r="AJ667" i="2"/>
  <c r="AH667" i="2"/>
  <c r="AG667" i="2"/>
  <c r="AF667" i="2"/>
  <c r="AE667" i="2"/>
  <c r="AC667" i="2"/>
  <c r="AB667" i="2"/>
  <c r="AA667" i="2"/>
  <c r="Z667" i="2"/>
  <c r="X667" i="2"/>
  <c r="X501" i="2"/>
  <c r="W667" i="2"/>
  <c r="W501" i="2"/>
  <c r="V667" i="2"/>
  <c r="V501" i="2"/>
  <c r="U667" i="2"/>
  <c r="U501" i="2"/>
  <c r="S667" i="2"/>
  <c r="R667" i="2"/>
  <c r="Q667" i="2"/>
  <c r="Q501" i="2"/>
  <c r="P667" i="2"/>
  <c r="A667" i="2"/>
  <c r="BS666" i="2"/>
  <c r="BN666" i="2"/>
  <c r="BI666" i="2"/>
  <c r="BG666" i="2"/>
  <c r="BF666" i="2"/>
  <c r="BE666" i="2"/>
  <c r="BD666" i="2"/>
  <c r="BB666" i="2"/>
  <c r="BA666" i="2"/>
  <c r="AZ666" i="2"/>
  <c r="AY666" i="2"/>
  <c r="AW666" i="2"/>
  <c r="AV666" i="2"/>
  <c r="AU666" i="2"/>
  <c r="AT666" i="2"/>
  <c r="AR666" i="2"/>
  <c r="AQ666" i="2"/>
  <c r="AP666" i="2"/>
  <c r="AO666" i="2"/>
  <c r="AN666" i="2"/>
  <c r="AM666" i="2"/>
  <c r="AL666" i="2"/>
  <c r="AK666" i="2"/>
  <c r="AJ666" i="2"/>
  <c r="AH666" i="2"/>
  <c r="AG666" i="2"/>
  <c r="AF666" i="2"/>
  <c r="AE666" i="2"/>
  <c r="AD666" i="2"/>
  <c r="AC666" i="2"/>
  <c r="AB666" i="2"/>
  <c r="AA666" i="2"/>
  <c r="Z666" i="2"/>
  <c r="Y666" i="2"/>
  <c r="X666" i="2"/>
  <c r="W666" i="2"/>
  <c r="V666" i="2"/>
  <c r="U666" i="2"/>
  <c r="T666" i="2"/>
  <c r="S666" i="2"/>
  <c r="R666" i="2"/>
  <c r="Q666" i="2"/>
  <c r="P666" i="2"/>
  <c r="A666" i="2"/>
  <c r="BS665" i="2"/>
  <c r="BN665" i="2"/>
  <c r="BI665" i="2"/>
  <c r="BG665" i="2"/>
  <c r="BF665" i="2"/>
  <c r="BE665" i="2"/>
  <c r="BD665" i="2"/>
  <c r="BB665" i="2"/>
  <c r="BA665" i="2"/>
  <c r="AZ665" i="2"/>
  <c r="AY665" i="2"/>
  <c r="AW665" i="2"/>
  <c r="AV665" i="2"/>
  <c r="AU665" i="2"/>
  <c r="AT665" i="2"/>
  <c r="AR665" i="2"/>
  <c r="AQ665" i="2"/>
  <c r="AP665" i="2"/>
  <c r="AO665" i="2"/>
  <c r="AM665" i="2"/>
  <c r="AL665" i="2"/>
  <c r="AK665" i="2"/>
  <c r="AJ665" i="2"/>
  <c r="AH665" i="2"/>
  <c r="AG665" i="2"/>
  <c r="AF665" i="2"/>
  <c r="AE665" i="2"/>
  <c r="AC665" i="2"/>
  <c r="AB665" i="2"/>
  <c r="AA665" i="2"/>
  <c r="Z665" i="2"/>
  <c r="X665" i="2"/>
  <c r="W665" i="2"/>
  <c r="V665" i="2"/>
  <c r="U665" i="2"/>
  <c r="S665" i="2"/>
  <c r="R665" i="2"/>
  <c r="Q665" i="2"/>
  <c r="P665" i="2"/>
  <c r="A665" i="2"/>
  <c r="BS664" i="2"/>
  <c r="BN664" i="2"/>
  <c r="BI664" i="2"/>
  <c r="BG664" i="2"/>
  <c r="BF664" i="2"/>
  <c r="BE664" i="2"/>
  <c r="BD664" i="2"/>
  <c r="BB664" i="2"/>
  <c r="BA664" i="2"/>
  <c r="AZ664" i="2"/>
  <c r="AY664" i="2"/>
  <c r="AW664" i="2"/>
  <c r="AV664" i="2"/>
  <c r="AU664" i="2"/>
  <c r="AT664" i="2"/>
  <c r="AR664" i="2"/>
  <c r="AQ664" i="2"/>
  <c r="AP664" i="2"/>
  <c r="AO664" i="2"/>
  <c r="AM664" i="2"/>
  <c r="AL664" i="2"/>
  <c r="AK664" i="2"/>
  <c r="AJ664" i="2"/>
  <c r="AI664" i="2"/>
  <c r="AH664" i="2"/>
  <c r="AG664" i="2"/>
  <c r="AF664" i="2"/>
  <c r="AE664" i="2"/>
  <c r="AD664" i="2"/>
  <c r="AC664" i="2"/>
  <c r="AB664" i="2"/>
  <c r="AA664" i="2"/>
  <c r="Z664" i="2"/>
  <c r="Y664" i="2"/>
  <c r="X664" i="2"/>
  <c r="W664" i="2"/>
  <c r="V664" i="2"/>
  <c r="U664" i="2"/>
  <c r="T664" i="2"/>
  <c r="S664" i="2"/>
  <c r="R664" i="2"/>
  <c r="Q664" i="2"/>
  <c r="P664" i="2"/>
  <c r="A664" i="2"/>
  <c r="BS663" i="2"/>
  <c r="BN663" i="2"/>
  <c r="BI663" i="2"/>
  <c r="BG663" i="2"/>
  <c r="BF663" i="2"/>
  <c r="BE663" i="2"/>
  <c r="BD663" i="2"/>
  <c r="BB663" i="2"/>
  <c r="BA663" i="2"/>
  <c r="AZ663" i="2"/>
  <c r="AY663" i="2"/>
  <c r="AW663" i="2"/>
  <c r="AV663" i="2"/>
  <c r="AU663" i="2"/>
  <c r="AT663" i="2"/>
  <c r="AR663" i="2"/>
  <c r="AQ663" i="2"/>
  <c r="AP663" i="2"/>
  <c r="AO663" i="2"/>
  <c r="AM663" i="2"/>
  <c r="AL663" i="2"/>
  <c r="AK663" i="2"/>
  <c r="AJ663" i="2"/>
  <c r="AH663" i="2"/>
  <c r="AG663" i="2"/>
  <c r="AF663" i="2"/>
  <c r="AE663" i="2"/>
  <c r="AC663" i="2"/>
  <c r="AB663" i="2"/>
  <c r="AA663" i="2"/>
  <c r="Z663" i="2"/>
  <c r="X663" i="2"/>
  <c r="W663" i="2"/>
  <c r="V663" i="2"/>
  <c r="U663" i="2"/>
  <c r="S663" i="2"/>
  <c r="R663" i="2"/>
  <c r="Q663" i="2"/>
  <c r="P663" i="2"/>
  <c r="A663" i="2"/>
  <c r="BT662" i="2"/>
  <c r="BR662" i="2"/>
  <c r="BQ662" i="2"/>
  <c r="BP662" i="2"/>
  <c r="BL662" i="2"/>
  <c r="BJ662" i="2"/>
  <c r="BI662" i="2"/>
  <c r="BI728" i="2"/>
  <c r="BG662" i="2"/>
  <c r="BG728" i="2"/>
  <c r="BF662" i="2"/>
  <c r="BF728" i="2"/>
  <c r="BE662" i="2"/>
  <c r="BE728" i="2"/>
  <c r="BD662" i="2"/>
  <c r="BD728" i="2"/>
  <c r="BB662" i="2"/>
  <c r="BB728" i="2"/>
  <c r="BA662" i="2"/>
  <c r="BA728" i="2"/>
  <c r="AZ662" i="2"/>
  <c r="AZ728" i="2"/>
  <c r="AY662" i="2"/>
  <c r="AY728" i="2"/>
  <c r="AW662" i="2"/>
  <c r="AW728" i="2"/>
  <c r="AV662" i="2"/>
  <c r="AV728" i="2"/>
  <c r="AU662" i="2"/>
  <c r="AU728" i="2"/>
  <c r="AT662" i="2"/>
  <c r="AT728" i="2"/>
  <c r="AR662" i="2"/>
  <c r="AR728" i="2"/>
  <c r="AQ662" i="2"/>
  <c r="AQ728" i="2"/>
  <c r="AP662" i="2"/>
  <c r="AP728" i="2"/>
  <c r="AO662" i="2"/>
  <c r="AO728" i="2"/>
  <c r="AM662" i="2"/>
  <c r="AM728" i="2"/>
  <c r="AL662" i="2"/>
  <c r="AL728" i="2"/>
  <c r="AK662" i="2"/>
  <c r="AK728" i="2"/>
  <c r="AJ662" i="2"/>
  <c r="AJ728" i="2"/>
  <c r="AH662" i="2"/>
  <c r="AH728" i="2"/>
  <c r="AG662" i="2"/>
  <c r="AG728" i="2"/>
  <c r="AF662" i="2"/>
  <c r="AF728" i="2"/>
  <c r="AE662" i="2"/>
  <c r="AE728" i="2"/>
  <c r="AC662" i="2"/>
  <c r="AB662" i="2"/>
  <c r="AB728" i="2"/>
  <c r="AA662" i="2"/>
  <c r="AA728" i="2"/>
  <c r="Z662" i="2"/>
  <c r="Z728" i="2"/>
  <c r="X662" i="2"/>
  <c r="X728" i="2"/>
  <c r="W662" i="2"/>
  <c r="W728" i="2"/>
  <c r="V662" i="2"/>
  <c r="V728" i="2"/>
  <c r="U662" i="2"/>
  <c r="U728" i="2"/>
  <c r="S662" i="2"/>
  <c r="S728" i="2"/>
  <c r="R662" i="2"/>
  <c r="R728" i="2"/>
  <c r="Q662" i="2"/>
  <c r="Q728" i="2"/>
  <c r="P662" i="2"/>
  <c r="P728" i="2"/>
  <c r="A662" i="2"/>
  <c r="BT661" i="2"/>
  <c r="BT806" i="2" a="1"/>
  <c r="BT806" i="2"/>
  <c r="BR661" i="2"/>
  <c r="BQ661" i="2"/>
  <c r="BP661" i="2"/>
  <c r="BO661" i="2"/>
  <c r="BI661" i="2"/>
  <c r="BG661" i="2"/>
  <c r="BF661" i="2"/>
  <c r="BF499" i="2"/>
  <c r="BE661" i="2"/>
  <c r="BE499" i="2"/>
  <c r="BD661" i="2"/>
  <c r="BD499" i="2"/>
  <c r="BB661" i="2"/>
  <c r="BA661" i="2"/>
  <c r="AZ661" i="2"/>
  <c r="AY661" i="2"/>
  <c r="AW661" i="2"/>
  <c r="AV661" i="2"/>
  <c r="AU661" i="2"/>
  <c r="AT661" i="2"/>
  <c r="AR661" i="2"/>
  <c r="AQ661" i="2"/>
  <c r="AQ499" i="2"/>
  <c r="AP661" i="2"/>
  <c r="AO661" i="2"/>
  <c r="AM661" i="2"/>
  <c r="AL661" i="2"/>
  <c r="AL499" i="2"/>
  <c r="AK661" i="2"/>
  <c r="AK499" i="2"/>
  <c r="AJ661" i="2"/>
  <c r="AJ499" i="2"/>
  <c r="AH661" i="2"/>
  <c r="AG661" i="2"/>
  <c r="AF661" i="2"/>
  <c r="AE661" i="2"/>
  <c r="AC661" i="2"/>
  <c r="AB661" i="2"/>
  <c r="AA661" i="2"/>
  <c r="Z661" i="2"/>
  <c r="X661" i="2"/>
  <c r="W661" i="2"/>
  <c r="W499" i="2"/>
  <c r="V661" i="2"/>
  <c r="U661" i="2"/>
  <c r="S661" i="2"/>
  <c r="R661" i="2"/>
  <c r="R499" i="2"/>
  <c r="Q661" i="2"/>
  <c r="Q499" i="2"/>
  <c r="P661" i="2"/>
  <c r="A661" i="2"/>
  <c r="A660" i="2"/>
  <c r="A658" i="2"/>
  <c r="BS657" i="2"/>
  <c r="BN657" i="2"/>
  <c r="BI657" i="2"/>
  <c r="BG657" i="2"/>
  <c r="BF657" i="2"/>
  <c r="BE657" i="2"/>
  <c r="BD657" i="2"/>
  <c r="BB657" i="2"/>
  <c r="BA657" i="2"/>
  <c r="AZ657" i="2"/>
  <c r="AY657" i="2"/>
  <c r="AW657" i="2"/>
  <c r="AV657" i="2"/>
  <c r="AU657" i="2"/>
  <c r="AT657" i="2"/>
  <c r="AR657" i="2"/>
  <c r="AQ657" i="2"/>
  <c r="AP657" i="2"/>
  <c r="AO657" i="2"/>
  <c r="AM657" i="2"/>
  <c r="AL657" i="2"/>
  <c r="AK657" i="2"/>
  <c r="AJ657" i="2"/>
  <c r="AH657" i="2"/>
  <c r="AG657" i="2"/>
  <c r="AF657" i="2"/>
  <c r="AE657" i="2"/>
  <c r="AC657" i="2"/>
  <c r="AB657" i="2"/>
  <c r="AA657" i="2"/>
  <c r="Z657" i="2"/>
  <c r="X657" i="2"/>
  <c r="W657" i="2"/>
  <c r="V657" i="2"/>
  <c r="U657" i="2"/>
  <c r="S657" i="2"/>
  <c r="R657" i="2"/>
  <c r="Q657" i="2"/>
  <c r="P657" i="2"/>
  <c r="A657" i="2"/>
  <c r="BS656" i="2"/>
  <c r="BN656" i="2"/>
  <c r="BI656" i="2"/>
  <c r="BG656" i="2"/>
  <c r="BF656" i="2"/>
  <c r="BE656" i="2"/>
  <c r="BD656" i="2"/>
  <c r="BB656" i="2"/>
  <c r="BA656" i="2"/>
  <c r="AZ656" i="2"/>
  <c r="AY656" i="2"/>
  <c r="AW656" i="2"/>
  <c r="AV656" i="2"/>
  <c r="AU656" i="2"/>
  <c r="AT656" i="2"/>
  <c r="AR656" i="2"/>
  <c r="AQ656" i="2"/>
  <c r="AP656" i="2"/>
  <c r="AO656" i="2"/>
  <c r="AM656" i="2"/>
  <c r="AL656" i="2"/>
  <c r="AK656" i="2"/>
  <c r="AJ656" i="2"/>
  <c r="AH656" i="2"/>
  <c r="AG656" i="2"/>
  <c r="AF656" i="2"/>
  <c r="AE656" i="2"/>
  <c r="AC656" i="2"/>
  <c r="AB656" i="2"/>
  <c r="AA656" i="2"/>
  <c r="Z656" i="2"/>
  <c r="X656" i="2"/>
  <c r="W656" i="2"/>
  <c r="V656" i="2"/>
  <c r="U656" i="2"/>
  <c r="S656" i="2"/>
  <c r="R656" i="2"/>
  <c r="Q656" i="2"/>
  <c r="P656" i="2"/>
  <c r="A656" i="2"/>
  <c r="BI655" i="2"/>
  <c r="BG655" i="2"/>
  <c r="BF655" i="2"/>
  <c r="BE655" i="2"/>
  <c r="BD655" i="2"/>
  <c r="BB655" i="2"/>
  <c r="BA655" i="2"/>
  <c r="AZ655" i="2"/>
  <c r="AY655" i="2"/>
  <c r="AW655" i="2"/>
  <c r="AV655" i="2"/>
  <c r="AU655" i="2"/>
  <c r="AT655" i="2"/>
  <c r="AR655" i="2"/>
  <c r="AQ655" i="2"/>
  <c r="AP655" i="2"/>
  <c r="AO655" i="2"/>
  <c r="AM655" i="2"/>
  <c r="AL655" i="2"/>
  <c r="AK655" i="2"/>
  <c r="AJ655" i="2"/>
  <c r="AH655" i="2"/>
  <c r="AG655" i="2"/>
  <c r="AF655" i="2"/>
  <c r="AE655" i="2"/>
  <c r="AC655" i="2"/>
  <c r="AB655" i="2"/>
  <c r="AA655" i="2"/>
  <c r="Z655" i="2"/>
  <c r="X655" i="2"/>
  <c r="W655" i="2"/>
  <c r="V655" i="2"/>
  <c r="U655" i="2"/>
  <c r="S655" i="2"/>
  <c r="R655" i="2"/>
  <c r="Q655" i="2"/>
  <c r="P655" i="2"/>
  <c r="A655" i="2"/>
  <c r="BI654" i="2"/>
  <c r="BG654" i="2"/>
  <c r="BF654" i="2"/>
  <c r="BE654" i="2"/>
  <c r="BD654" i="2"/>
  <c r="BB654" i="2"/>
  <c r="BA654" i="2"/>
  <c r="AZ654" i="2"/>
  <c r="AY654" i="2"/>
  <c r="AW654" i="2"/>
  <c r="AV654" i="2"/>
  <c r="AU654" i="2"/>
  <c r="AT654" i="2"/>
  <c r="AR654" i="2"/>
  <c r="AQ654" i="2"/>
  <c r="AP654" i="2"/>
  <c r="AO654" i="2"/>
  <c r="AM654" i="2"/>
  <c r="AL654" i="2"/>
  <c r="AK654" i="2"/>
  <c r="AJ654" i="2"/>
  <c r="AI654" i="2"/>
  <c r="AH654" i="2"/>
  <c r="AG654" i="2"/>
  <c r="AF654" i="2"/>
  <c r="AE654" i="2"/>
  <c r="AD654" i="2"/>
  <c r="AC654" i="2"/>
  <c r="AB654" i="2"/>
  <c r="AA654" i="2"/>
  <c r="Z654" i="2"/>
  <c r="Y654" i="2"/>
  <c r="X654" i="2"/>
  <c r="W654" i="2"/>
  <c r="V654" i="2"/>
  <c r="U654" i="2"/>
  <c r="T654" i="2"/>
  <c r="S654" i="2"/>
  <c r="R654" i="2"/>
  <c r="Q654" i="2"/>
  <c r="P654" i="2"/>
  <c r="A654" i="2"/>
  <c r="BI653" i="2"/>
  <c r="BG653" i="2"/>
  <c r="BF653" i="2"/>
  <c r="BE653" i="2"/>
  <c r="BD653" i="2"/>
  <c r="BB653" i="2"/>
  <c r="BA653" i="2"/>
  <c r="AZ653" i="2"/>
  <c r="AY653" i="2"/>
  <c r="AW653" i="2"/>
  <c r="AV653" i="2"/>
  <c r="AU653" i="2"/>
  <c r="AT653" i="2"/>
  <c r="AR653" i="2"/>
  <c r="AQ653" i="2"/>
  <c r="AP653" i="2"/>
  <c r="AO653" i="2"/>
  <c r="AM653" i="2"/>
  <c r="AL653" i="2"/>
  <c r="AK653" i="2"/>
  <c r="AJ653" i="2"/>
  <c r="AH653" i="2"/>
  <c r="AG653" i="2"/>
  <c r="AF653" i="2"/>
  <c r="AE653" i="2"/>
  <c r="AC653" i="2"/>
  <c r="AB653" i="2"/>
  <c r="AA653" i="2"/>
  <c r="Z653" i="2"/>
  <c r="X653" i="2"/>
  <c r="W653" i="2"/>
  <c r="V653" i="2"/>
  <c r="U653" i="2"/>
  <c r="S653" i="2"/>
  <c r="R653" i="2"/>
  <c r="Q653" i="2"/>
  <c r="P653" i="2"/>
  <c r="A653" i="2"/>
  <c r="BS652" i="2"/>
  <c r="BN652" i="2"/>
  <c r="BI652" i="2"/>
  <c r="BG652" i="2"/>
  <c r="BF652" i="2"/>
  <c r="BE652" i="2"/>
  <c r="BD652" i="2"/>
  <c r="BB652" i="2"/>
  <c r="BA652" i="2"/>
  <c r="AZ652" i="2"/>
  <c r="AY652" i="2"/>
  <c r="AW652" i="2"/>
  <c r="AV652" i="2"/>
  <c r="AU652" i="2"/>
  <c r="AT652" i="2"/>
  <c r="AR652" i="2"/>
  <c r="AQ652" i="2"/>
  <c r="AP652" i="2"/>
  <c r="AO652" i="2"/>
  <c r="AM652" i="2"/>
  <c r="AL652" i="2"/>
  <c r="AK652" i="2"/>
  <c r="AJ652" i="2"/>
  <c r="AH652" i="2"/>
  <c r="AG652" i="2"/>
  <c r="AF652" i="2"/>
  <c r="AE652" i="2"/>
  <c r="AC652" i="2"/>
  <c r="AB652" i="2"/>
  <c r="AA652" i="2"/>
  <c r="Z652" i="2"/>
  <c r="X652" i="2"/>
  <c r="W652" i="2"/>
  <c r="V652" i="2"/>
  <c r="U652" i="2"/>
  <c r="S652" i="2"/>
  <c r="R652" i="2"/>
  <c r="Q652" i="2"/>
  <c r="P652" i="2"/>
  <c r="A652" i="2"/>
  <c r="BS651" i="2"/>
  <c r="BN651" i="2"/>
  <c r="BI651" i="2"/>
  <c r="BG651" i="2"/>
  <c r="BF651" i="2"/>
  <c r="BE651" i="2"/>
  <c r="BD651" i="2"/>
  <c r="BB651" i="2"/>
  <c r="BA651" i="2"/>
  <c r="AZ651" i="2"/>
  <c r="AY651" i="2"/>
  <c r="AW651" i="2"/>
  <c r="AV651" i="2"/>
  <c r="AU651" i="2"/>
  <c r="AT651" i="2"/>
  <c r="AR651" i="2"/>
  <c r="AQ651" i="2"/>
  <c r="AP651" i="2"/>
  <c r="AO651" i="2"/>
  <c r="AM651" i="2"/>
  <c r="AL651" i="2"/>
  <c r="AK651" i="2"/>
  <c r="AJ651" i="2"/>
  <c r="AI651" i="2"/>
  <c r="AH651" i="2"/>
  <c r="AG651" i="2"/>
  <c r="AF651" i="2"/>
  <c r="AE651" i="2"/>
  <c r="AD651" i="2"/>
  <c r="AC651" i="2"/>
  <c r="AB651" i="2"/>
  <c r="AA651" i="2"/>
  <c r="Z651" i="2"/>
  <c r="Y651" i="2"/>
  <c r="X651" i="2"/>
  <c r="W651" i="2"/>
  <c r="V651" i="2"/>
  <c r="U651" i="2"/>
  <c r="T651" i="2"/>
  <c r="S651" i="2"/>
  <c r="R651" i="2"/>
  <c r="Q651" i="2"/>
  <c r="P651" i="2"/>
  <c r="A651" i="2"/>
  <c r="BS650" i="2"/>
  <c r="BN650" i="2"/>
  <c r="BI650" i="2"/>
  <c r="BG650" i="2"/>
  <c r="BF650" i="2"/>
  <c r="BE650" i="2"/>
  <c r="BD650" i="2"/>
  <c r="BB650" i="2"/>
  <c r="BA650" i="2"/>
  <c r="AZ650" i="2"/>
  <c r="AY650" i="2"/>
  <c r="AW650" i="2"/>
  <c r="AV650" i="2"/>
  <c r="AU650" i="2"/>
  <c r="AT650" i="2"/>
  <c r="AR650" i="2"/>
  <c r="AQ650" i="2"/>
  <c r="AP650" i="2"/>
  <c r="AO650" i="2"/>
  <c r="AM650" i="2"/>
  <c r="AL650" i="2"/>
  <c r="AK650" i="2"/>
  <c r="AJ650" i="2"/>
  <c r="AH650" i="2"/>
  <c r="AG650" i="2"/>
  <c r="AF650" i="2"/>
  <c r="AE650" i="2"/>
  <c r="AC650" i="2"/>
  <c r="AB650" i="2"/>
  <c r="AA650" i="2"/>
  <c r="Z650" i="2"/>
  <c r="X650" i="2"/>
  <c r="W650" i="2"/>
  <c r="V650" i="2"/>
  <c r="U650" i="2"/>
  <c r="S650" i="2"/>
  <c r="R650" i="2"/>
  <c r="Q650" i="2"/>
  <c r="P650" i="2"/>
  <c r="A650" i="2"/>
  <c r="BI649" i="2"/>
  <c r="BG649" i="2"/>
  <c r="BF649" i="2"/>
  <c r="BE649" i="2"/>
  <c r="BD649" i="2"/>
  <c r="BB649" i="2"/>
  <c r="BA649" i="2"/>
  <c r="AZ649" i="2"/>
  <c r="AY649" i="2"/>
  <c r="AW649" i="2"/>
  <c r="AV649" i="2"/>
  <c r="AU649" i="2"/>
  <c r="AT649" i="2"/>
  <c r="AR649" i="2"/>
  <c r="AQ649" i="2"/>
  <c r="AP649" i="2"/>
  <c r="AO649" i="2"/>
  <c r="AM649" i="2"/>
  <c r="AL649" i="2"/>
  <c r="AK649" i="2"/>
  <c r="AJ649" i="2"/>
  <c r="AH649" i="2"/>
  <c r="AG649" i="2"/>
  <c r="AF649" i="2"/>
  <c r="AE649" i="2"/>
  <c r="AC649" i="2"/>
  <c r="AB649" i="2"/>
  <c r="AA649" i="2"/>
  <c r="Z649" i="2"/>
  <c r="X649" i="2"/>
  <c r="W649" i="2"/>
  <c r="V649" i="2"/>
  <c r="U649" i="2"/>
  <c r="S649" i="2"/>
  <c r="R649" i="2"/>
  <c r="Q649" i="2"/>
  <c r="P649" i="2"/>
  <c r="A649" i="2"/>
  <c r="BS648" i="2"/>
  <c r="BN648" i="2"/>
  <c r="BI648" i="2"/>
  <c r="BG648" i="2"/>
  <c r="BF648" i="2"/>
  <c r="BE648" i="2"/>
  <c r="BD648" i="2"/>
  <c r="BB648" i="2"/>
  <c r="BA648" i="2"/>
  <c r="AZ648" i="2"/>
  <c r="AY648" i="2"/>
  <c r="AW648" i="2"/>
  <c r="AV648" i="2"/>
  <c r="AU648" i="2"/>
  <c r="AT648" i="2"/>
  <c r="AR648" i="2"/>
  <c r="AQ648" i="2"/>
  <c r="AP648" i="2"/>
  <c r="AO648" i="2"/>
  <c r="AM648" i="2"/>
  <c r="AL648" i="2"/>
  <c r="AK648" i="2"/>
  <c r="AJ648" i="2"/>
  <c r="AH648" i="2"/>
  <c r="AG648" i="2"/>
  <c r="AF648" i="2"/>
  <c r="AE648" i="2"/>
  <c r="AC648" i="2"/>
  <c r="AB648" i="2"/>
  <c r="AA648" i="2"/>
  <c r="Z648" i="2"/>
  <c r="X648" i="2"/>
  <c r="W648" i="2"/>
  <c r="V648" i="2"/>
  <c r="U648" i="2"/>
  <c r="S648" i="2"/>
  <c r="R648" i="2"/>
  <c r="Q648" i="2"/>
  <c r="P648" i="2"/>
  <c r="A648" i="2"/>
  <c r="BI647" i="2"/>
  <c r="BG647" i="2"/>
  <c r="BF647" i="2"/>
  <c r="BE647" i="2"/>
  <c r="BD647" i="2"/>
  <c r="BB647" i="2"/>
  <c r="BA647" i="2"/>
  <c r="AZ647" i="2"/>
  <c r="AY647" i="2"/>
  <c r="AW647" i="2"/>
  <c r="AV647" i="2"/>
  <c r="AU647" i="2"/>
  <c r="AT647" i="2"/>
  <c r="AR647" i="2"/>
  <c r="AQ647" i="2"/>
  <c r="AP647" i="2"/>
  <c r="AO647" i="2"/>
  <c r="AM647" i="2"/>
  <c r="AL647" i="2"/>
  <c r="AK647" i="2"/>
  <c r="AJ647" i="2"/>
  <c r="AI647" i="2"/>
  <c r="AH647" i="2"/>
  <c r="AG647" i="2"/>
  <c r="AF647" i="2"/>
  <c r="AE647" i="2"/>
  <c r="AD647" i="2"/>
  <c r="AC647" i="2"/>
  <c r="AB647" i="2"/>
  <c r="AA647" i="2"/>
  <c r="Z647" i="2"/>
  <c r="Y647" i="2"/>
  <c r="X647" i="2"/>
  <c r="W647" i="2"/>
  <c r="V647" i="2"/>
  <c r="U647" i="2"/>
  <c r="T647" i="2"/>
  <c r="S647" i="2"/>
  <c r="R647" i="2"/>
  <c r="Q647" i="2"/>
  <c r="P647" i="2"/>
  <c r="A647" i="2"/>
  <c r="AJ646" i="2"/>
  <c r="AH646" i="2"/>
  <c r="AG646" i="2"/>
  <c r="AF646" i="2"/>
  <c r="AE646" i="2"/>
  <c r="AC646" i="2"/>
  <c r="AB646" i="2"/>
  <c r="AA646" i="2"/>
  <c r="Z646" i="2"/>
  <c r="X646" i="2"/>
  <c r="W646" i="2"/>
  <c r="V646" i="2"/>
  <c r="U646" i="2"/>
  <c r="S646" i="2"/>
  <c r="R646" i="2"/>
  <c r="Q646" i="2"/>
  <c r="P646" i="2"/>
  <c r="A646" i="2"/>
  <c r="AJ645" i="2"/>
  <c r="AH645" i="2"/>
  <c r="AG645" i="2"/>
  <c r="AF645" i="2"/>
  <c r="AE645" i="2"/>
  <c r="AC645" i="2"/>
  <c r="AB645" i="2"/>
  <c r="AA645" i="2"/>
  <c r="Z645" i="2"/>
  <c r="X645" i="2"/>
  <c r="W645" i="2"/>
  <c r="V645" i="2"/>
  <c r="U645" i="2"/>
  <c r="S645" i="2"/>
  <c r="R645" i="2"/>
  <c r="Q645" i="2"/>
  <c r="P645" i="2"/>
  <c r="A645" i="2"/>
  <c r="A644" i="2"/>
  <c r="BS643" i="2"/>
  <c r="BN643" i="2"/>
  <c r="BI643" i="2"/>
  <c r="BG643" i="2"/>
  <c r="BF643" i="2"/>
  <c r="BE643" i="2"/>
  <c r="BD643" i="2"/>
  <c r="BB643" i="2"/>
  <c r="BA643" i="2"/>
  <c r="AZ643" i="2"/>
  <c r="AY643" i="2"/>
  <c r="AW643" i="2"/>
  <c r="AV643" i="2"/>
  <c r="AU643" i="2"/>
  <c r="AT643" i="2"/>
  <c r="AR643" i="2"/>
  <c r="AQ643" i="2"/>
  <c r="AP643" i="2"/>
  <c r="AO643" i="2"/>
  <c r="AM643" i="2"/>
  <c r="AL643" i="2"/>
  <c r="AK643" i="2"/>
  <c r="AJ643" i="2"/>
  <c r="AH643" i="2"/>
  <c r="AG643" i="2"/>
  <c r="AF643" i="2"/>
  <c r="AE643" i="2"/>
  <c r="AC643" i="2"/>
  <c r="AB643" i="2"/>
  <c r="AA643" i="2"/>
  <c r="Z643" i="2"/>
  <c r="X643" i="2"/>
  <c r="W643" i="2"/>
  <c r="V643" i="2"/>
  <c r="U643" i="2"/>
  <c r="S643" i="2"/>
  <c r="R643" i="2"/>
  <c r="Q643" i="2"/>
  <c r="P643" i="2"/>
  <c r="A643" i="2"/>
  <c r="BS642" i="2"/>
  <c r="BN642" i="2"/>
  <c r="BI642" i="2"/>
  <c r="BG642" i="2"/>
  <c r="BF642" i="2"/>
  <c r="BE642" i="2"/>
  <c r="BD642" i="2"/>
  <c r="BB642" i="2"/>
  <c r="BA642" i="2"/>
  <c r="AZ642" i="2"/>
  <c r="AY642" i="2"/>
  <c r="AW642" i="2"/>
  <c r="AV642" i="2"/>
  <c r="AU642" i="2"/>
  <c r="AT642" i="2"/>
  <c r="AR642" i="2"/>
  <c r="AQ642" i="2"/>
  <c r="AP642" i="2"/>
  <c r="AO642" i="2"/>
  <c r="AM642" i="2"/>
  <c r="AL642" i="2"/>
  <c r="AK642" i="2"/>
  <c r="AJ642" i="2"/>
  <c r="AH642" i="2"/>
  <c r="AG642" i="2"/>
  <c r="AF642" i="2"/>
  <c r="AE642" i="2"/>
  <c r="AC642" i="2"/>
  <c r="AB642" i="2"/>
  <c r="AA642" i="2"/>
  <c r="Z642" i="2"/>
  <c r="X642" i="2"/>
  <c r="W642" i="2"/>
  <c r="V642" i="2"/>
  <c r="U642" i="2"/>
  <c r="S642" i="2"/>
  <c r="R642" i="2"/>
  <c r="Q642" i="2"/>
  <c r="P642" i="2"/>
  <c r="A642" i="2"/>
  <c r="BS641" i="2"/>
  <c r="BN641" i="2"/>
  <c r="BI641" i="2"/>
  <c r="BG641" i="2"/>
  <c r="BF641" i="2"/>
  <c r="BE641" i="2"/>
  <c r="BD641" i="2"/>
  <c r="BB641" i="2"/>
  <c r="BA641" i="2"/>
  <c r="AZ641" i="2"/>
  <c r="AY641" i="2"/>
  <c r="AW641" i="2"/>
  <c r="AV641" i="2"/>
  <c r="AU641" i="2"/>
  <c r="AT641" i="2"/>
  <c r="AR641" i="2"/>
  <c r="AQ641" i="2"/>
  <c r="AP641" i="2"/>
  <c r="AO641" i="2"/>
  <c r="AM641" i="2"/>
  <c r="AL641" i="2"/>
  <c r="AK641" i="2"/>
  <c r="AJ641" i="2"/>
  <c r="AH641" i="2"/>
  <c r="AG641" i="2"/>
  <c r="AF641" i="2"/>
  <c r="AE641" i="2"/>
  <c r="AC641" i="2"/>
  <c r="AB641" i="2"/>
  <c r="AA641" i="2"/>
  <c r="Z641" i="2"/>
  <c r="X641" i="2"/>
  <c r="W641" i="2"/>
  <c r="V641" i="2"/>
  <c r="U641" i="2"/>
  <c r="S641" i="2"/>
  <c r="R641" i="2"/>
  <c r="Q641" i="2"/>
  <c r="P641" i="2"/>
  <c r="A641" i="2"/>
  <c r="BS640" i="2"/>
  <c r="BN640" i="2"/>
  <c r="BI640" i="2"/>
  <c r="BG640" i="2"/>
  <c r="BF640" i="2"/>
  <c r="BE640" i="2"/>
  <c r="BD640" i="2"/>
  <c r="BB640" i="2"/>
  <c r="BA640" i="2"/>
  <c r="AZ640" i="2"/>
  <c r="AY640" i="2"/>
  <c r="AW640" i="2"/>
  <c r="AV640" i="2"/>
  <c r="AU640" i="2"/>
  <c r="AT640" i="2"/>
  <c r="AR640" i="2"/>
  <c r="AQ640" i="2"/>
  <c r="AP640" i="2"/>
  <c r="AO640" i="2"/>
  <c r="AM640" i="2"/>
  <c r="AL640" i="2"/>
  <c r="AK640" i="2"/>
  <c r="AJ640" i="2"/>
  <c r="AH640" i="2"/>
  <c r="AG640" i="2"/>
  <c r="AF640" i="2"/>
  <c r="AE640" i="2"/>
  <c r="AD640" i="2"/>
  <c r="AC640" i="2"/>
  <c r="AB640" i="2"/>
  <c r="AA640" i="2"/>
  <c r="Z640" i="2"/>
  <c r="Y640" i="2"/>
  <c r="X640" i="2"/>
  <c r="W640" i="2"/>
  <c r="V640" i="2"/>
  <c r="U640" i="2"/>
  <c r="T640" i="2"/>
  <c r="S640" i="2"/>
  <c r="R640" i="2"/>
  <c r="Q640" i="2"/>
  <c r="P640" i="2"/>
  <c r="A640" i="2"/>
  <c r="BV639" i="2"/>
  <c r="BU639" i="2"/>
  <c r="BT639" i="2"/>
  <c r="BR639" i="2"/>
  <c r="BQ639" i="2"/>
  <c r="BP639" i="2"/>
  <c r="BO639" i="2"/>
  <c r="BM639" i="2"/>
  <c r="BL639" i="2"/>
  <c r="BK639" i="2"/>
  <c r="BJ639" i="2"/>
  <c r="BJ785" i="2"/>
  <c r="BK785" i="2"/>
  <c r="BL785" i="2"/>
  <c r="BI639" i="2"/>
  <c r="BG639" i="2"/>
  <c r="BF639" i="2"/>
  <c r="BF393" i="2"/>
  <c r="BE639" i="2"/>
  <c r="BE393" i="2"/>
  <c r="BD639" i="2"/>
  <c r="BD393" i="2"/>
  <c r="BB639" i="2"/>
  <c r="BA639" i="2"/>
  <c r="AZ639" i="2"/>
  <c r="AY639" i="2"/>
  <c r="AW639" i="2"/>
  <c r="AV639" i="2"/>
  <c r="AV393" i="2"/>
  <c r="AU639" i="2"/>
  <c r="AU393" i="2"/>
  <c r="AT639" i="2"/>
  <c r="AR639" i="2"/>
  <c r="AQ639" i="2"/>
  <c r="AP639" i="2"/>
  <c r="AP393" i="2"/>
  <c r="AO639" i="2"/>
  <c r="AM639" i="2"/>
  <c r="AL639" i="2"/>
  <c r="AL393" i="2"/>
  <c r="AK639" i="2"/>
  <c r="AK393" i="2"/>
  <c r="AJ639" i="2"/>
  <c r="AJ393" i="2"/>
  <c r="AH639" i="2"/>
  <c r="AG639" i="2"/>
  <c r="AF639" i="2"/>
  <c r="AE639" i="2"/>
  <c r="AC639" i="2"/>
  <c r="AC393" i="2"/>
  <c r="AB639" i="2"/>
  <c r="AB393" i="2"/>
  <c r="AA639" i="2"/>
  <c r="AA393" i="2"/>
  <c r="Z639" i="2"/>
  <c r="X639" i="2"/>
  <c r="W639" i="2"/>
  <c r="V639" i="2"/>
  <c r="V393" i="2"/>
  <c r="U639" i="2"/>
  <c r="S639" i="2"/>
  <c r="R639" i="2"/>
  <c r="R393" i="2"/>
  <c r="Q639" i="2"/>
  <c r="Q393" i="2"/>
  <c r="P639" i="2"/>
  <c r="P393" i="2"/>
  <c r="A639" i="2"/>
  <c r="BI638" i="2"/>
  <c r="BG638" i="2"/>
  <c r="BF638" i="2"/>
  <c r="BF404" i="2"/>
  <c r="BF403" i="2"/>
  <c r="BE638" i="2"/>
  <c r="BE404" i="2"/>
  <c r="BE403" i="2"/>
  <c r="BD638" i="2"/>
  <c r="BD404" i="2"/>
  <c r="BD403" i="2"/>
  <c r="BB638" i="2"/>
  <c r="BA638" i="2"/>
  <c r="AZ638" i="2"/>
  <c r="AY638" i="2"/>
  <c r="AW638" i="2"/>
  <c r="AW404" i="2"/>
  <c r="AW403" i="2"/>
  <c r="AV638" i="2"/>
  <c r="AV404" i="2"/>
  <c r="AV403" i="2"/>
  <c r="AU638" i="2"/>
  <c r="AT638" i="2"/>
  <c r="AR638" i="2"/>
  <c r="AQ638" i="2"/>
  <c r="AP638" i="2"/>
  <c r="AO638" i="2"/>
  <c r="AM638" i="2"/>
  <c r="AL638" i="2"/>
  <c r="AL404" i="2"/>
  <c r="AL403" i="2"/>
  <c r="AK638" i="2"/>
  <c r="AK404" i="2"/>
  <c r="AK403" i="2"/>
  <c r="AJ638" i="2"/>
  <c r="AH638" i="2"/>
  <c r="AG638" i="2"/>
  <c r="AF638" i="2"/>
  <c r="AE638" i="2"/>
  <c r="AC638" i="2"/>
  <c r="AC404" i="2"/>
  <c r="AC403" i="2"/>
  <c r="AB638" i="2"/>
  <c r="AB404" i="2"/>
  <c r="AB403" i="2"/>
  <c r="AA638" i="2"/>
  <c r="Z638" i="2"/>
  <c r="X638" i="2"/>
  <c r="W638" i="2"/>
  <c r="V638" i="2"/>
  <c r="U638" i="2"/>
  <c r="S638" i="2"/>
  <c r="S404" i="2"/>
  <c r="S403" i="2"/>
  <c r="R638" i="2"/>
  <c r="R404" i="2"/>
  <c r="R403" i="2"/>
  <c r="Q638" i="2"/>
  <c r="Q404" i="2"/>
  <c r="Q403" i="2"/>
  <c r="P638" i="2"/>
  <c r="A638" i="2"/>
  <c r="BS637" i="2"/>
  <c r="BN637" i="2"/>
  <c r="BI637" i="2"/>
  <c r="BG637" i="2"/>
  <c r="BF637" i="2"/>
  <c r="BE637" i="2"/>
  <c r="BD637" i="2"/>
  <c r="BB637" i="2"/>
  <c r="BA637" i="2"/>
  <c r="AZ637" i="2"/>
  <c r="AY637" i="2"/>
  <c r="AW637" i="2"/>
  <c r="AV637" i="2"/>
  <c r="AU637" i="2"/>
  <c r="AT637" i="2"/>
  <c r="AR637" i="2"/>
  <c r="AQ637" i="2"/>
  <c r="AP637" i="2"/>
  <c r="AO637" i="2"/>
  <c r="AM637" i="2"/>
  <c r="AL637" i="2"/>
  <c r="AK637" i="2"/>
  <c r="AJ637" i="2"/>
  <c r="AH637" i="2"/>
  <c r="AG637" i="2"/>
  <c r="AF637" i="2"/>
  <c r="AE637" i="2"/>
  <c r="AC637" i="2"/>
  <c r="AB637" i="2"/>
  <c r="AA637" i="2"/>
  <c r="Z637" i="2"/>
  <c r="X637" i="2"/>
  <c r="W637" i="2"/>
  <c r="V637" i="2"/>
  <c r="U637" i="2"/>
  <c r="S637" i="2"/>
  <c r="R637" i="2"/>
  <c r="Q637" i="2"/>
  <c r="P637" i="2"/>
  <c r="A637" i="2"/>
  <c r="BI636" i="2"/>
  <c r="BG636" i="2"/>
  <c r="BF636" i="2"/>
  <c r="BE636" i="2"/>
  <c r="BD636" i="2"/>
  <c r="BB636" i="2"/>
  <c r="BA636" i="2"/>
  <c r="AZ636" i="2"/>
  <c r="AY636" i="2"/>
  <c r="AW636" i="2"/>
  <c r="AV636" i="2"/>
  <c r="AU636" i="2"/>
  <c r="AT636" i="2"/>
  <c r="AR636" i="2"/>
  <c r="AQ636" i="2"/>
  <c r="AP636" i="2"/>
  <c r="AO636" i="2"/>
  <c r="AM636" i="2"/>
  <c r="AL636" i="2"/>
  <c r="AK636" i="2"/>
  <c r="AJ636" i="2"/>
  <c r="AH636" i="2"/>
  <c r="AG636" i="2"/>
  <c r="AF636" i="2"/>
  <c r="AE636" i="2"/>
  <c r="AC636" i="2"/>
  <c r="AB636" i="2"/>
  <c r="AA636" i="2"/>
  <c r="Z636" i="2"/>
  <c r="X636" i="2"/>
  <c r="W636" i="2"/>
  <c r="V636" i="2"/>
  <c r="U636" i="2"/>
  <c r="S636" i="2"/>
  <c r="R636" i="2"/>
  <c r="Q636" i="2"/>
  <c r="P636" i="2"/>
  <c r="A636" i="2"/>
  <c r="BI635" i="2"/>
  <c r="BG635" i="2"/>
  <c r="BF635" i="2"/>
  <c r="BE635" i="2"/>
  <c r="BD635" i="2"/>
  <c r="BB635" i="2"/>
  <c r="BA635" i="2"/>
  <c r="AZ635" i="2"/>
  <c r="AY635" i="2"/>
  <c r="AW635" i="2"/>
  <c r="AV635" i="2"/>
  <c r="AU635" i="2"/>
  <c r="AT635" i="2"/>
  <c r="AR635" i="2"/>
  <c r="AQ635" i="2"/>
  <c r="AP635" i="2"/>
  <c r="AO635" i="2"/>
  <c r="AM635" i="2"/>
  <c r="AL635" i="2"/>
  <c r="AK635" i="2"/>
  <c r="AJ635" i="2"/>
  <c r="AH635" i="2"/>
  <c r="AG635" i="2"/>
  <c r="AF635" i="2"/>
  <c r="AE635" i="2"/>
  <c r="AC635" i="2"/>
  <c r="AB635" i="2"/>
  <c r="AA635" i="2"/>
  <c r="Z635" i="2"/>
  <c r="X635" i="2"/>
  <c r="W635" i="2"/>
  <c r="V635" i="2"/>
  <c r="U635" i="2"/>
  <c r="S635" i="2"/>
  <c r="R635" i="2"/>
  <c r="Q635" i="2"/>
  <c r="P635" i="2"/>
  <c r="A635" i="2"/>
  <c r="A634" i="2"/>
  <c r="BH631" i="2"/>
  <c r="BH702" i="2"/>
  <c r="BC631" i="2"/>
  <c r="BC702" i="2"/>
  <c r="AX631" i="2"/>
  <c r="AX702" i="2"/>
  <c r="AS631" i="2"/>
  <c r="AS702" i="2"/>
  <c r="AN631" i="2"/>
  <c r="AN702" i="2"/>
  <c r="AI631" i="2"/>
  <c r="AI702" i="2"/>
  <c r="AD631" i="2"/>
  <c r="AD702" i="2"/>
  <c r="Y631" i="2"/>
  <c r="Y702" i="2"/>
  <c r="T631" i="2"/>
  <c r="T702" i="2"/>
  <c r="BH630" i="2"/>
  <c r="BH701" i="2"/>
  <c r="BC630" i="2"/>
  <c r="BC701" i="2"/>
  <c r="AX630" i="2"/>
  <c r="AX701" i="2"/>
  <c r="AS630" i="2"/>
  <c r="AS701" i="2"/>
  <c r="AN630" i="2"/>
  <c r="AN701" i="2"/>
  <c r="AI630" i="2"/>
  <c r="AI701" i="2"/>
  <c r="AD630" i="2"/>
  <c r="AD701" i="2"/>
  <c r="Y630" i="2"/>
  <c r="Y701" i="2"/>
  <c r="T630" i="2"/>
  <c r="T701" i="2"/>
  <c r="BH624" i="2"/>
  <c r="BH695" i="2"/>
  <c r="BC624" i="2"/>
  <c r="BC695" i="2"/>
  <c r="AX624" i="2"/>
  <c r="AX695" i="2"/>
  <c r="AS624" i="2"/>
  <c r="AS695" i="2"/>
  <c r="AN624" i="2"/>
  <c r="AN695" i="2"/>
  <c r="AI624" i="2"/>
  <c r="AI695" i="2"/>
  <c r="AD624" i="2"/>
  <c r="AD695" i="2"/>
  <c r="Y624" i="2"/>
  <c r="Y695" i="2"/>
  <c r="T624" i="2"/>
  <c r="T695" i="2"/>
  <c r="BI622" i="2"/>
  <c r="BG622" i="2"/>
  <c r="BF622" i="2"/>
  <c r="BE622" i="2"/>
  <c r="BD622" i="2"/>
  <c r="BB622" i="2"/>
  <c r="BA622" i="2"/>
  <c r="AZ622" i="2"/>
  <c r="AY622" i="2"/>
  <c r="AW622" i="2"/>
  <c r="AV622" i="2"/>
  <c r="AU622" i="2"/>
  <c r="AT622" i="2"/>
  <c r="AR622" i="2"/>
  <c r="AQ622" i="2"/>
  <c r="AP622" i="2"/>
  <c r="AO622" i="2"/>
  <c r="AM622" i="2"/>
  <c r="AL622" i="2"/>
  <c r="AK622" i="2"/>
  <c r="AJ622" i="2"/>
  <c r="AH622" i="2"/>
  <c r="AG622" i="2"/>
  <c r="AF622" i="2"/>
  <c r="AE622" i="2"/>
  <c r="AC622" i="2"/>
  <c r="AB622" i="2"/>
  <c r="AA622" i="2"/>
  <c r="Z622" i="2"/>
  <c r="X622" i="2"/>
  <c r="W622" i="2"/>
  <c r="V622" i="2"/>
  <c r="U622" i="2"/>
  <c r="S622" i="2"/>
  <c r="R622" i="2"/>
  <c r="Q622" i="2"/>
  <c r="P622" i="2"/>
  <c r="BH621" i="2"/>
  <c r="BH692" i="2"/>
  <c r="BC621" i="2"/>
  <c r="BC692" i="2"/>
  <c r="AX621" i="2"/>
  <c r="AX692" i="2"/>
  <c r="AS621" i="2"/>
  <c r="AS692" i="2"/>
  <c r="AN621" i="2"/>
  <c r="AN692" i="2"/>
  <c r="AI621" i="2"/>
  <c r="AI692" i="2"/>
  <c r="AD621" i="2"/>
  <c r="AD692" i="2"/>
  <c r="Y621" i="2"/>
  <c r="Y692" i="2"/>
  <c r="T621" i="2"/>
  <c r="T692" i="2"/>
  <c r="BH620" i="2"/>
  <c r="BH691" i="2"/>
  <c r="BC620" i="2"/>
  <c r="BC691" i="2"/>
  <c r="AX620" i="2"/>
  <c r="AX691" i="2"/>
  <c r="AS620" i="2"/>
  <c r="AS691" i="2"/>
  <c r="AN620" i="2"/>
  <c r="AN691" i="2"/>
  <c r="AI620" i="2"/>
  <c r="AI691" i="2"/>
  <c r="AD620" i="2"/>
  <c r="AD691" i="2"/>
  <c r="Y620" i="2"/>
  <c r="Y691" i="2"/>
  <c r="T620" i="2"/>
  <c r="T691" i="2"/>
  <c r="BH619" i="2"/>
  <c r="BH690" i="2"/>
  <c r="BC619" i="2"/>
  <c r="BC690" i="2"/>
  <c r="AX619" i="2"/>
  <c r="AX690" i="2"/>
  <c r="BH618" i="2"/>
  <c r="BH689" i="2"/>
  <c r="BC618" i="2"/>
  <c r="BC689" i="2"/>
  <c r="AX618" i="2"/>
  <c r="AX689" i="2"/>
  <c r="BH617" i="2"/>
  <c r="BH688" i="2"/>
  <c r="BC617" i="2"/>
  <c r="BC688" i="2"/>
  <c r="AX617" i="2"/>
  <c r="AX688" i="2"/>
  <c r="BH616" i="2"/>
  <c r="BH687" i="2"/>
  <c r="BC616" i="2"/>
  <c r="BC687" i="2"/>
  <c r="AX616" i="2"/>
  <c r="AX687" i="2"/>
  <c r="BH615" i="2"/>
  <c r="BH686" i="2"/>
  <c r="BC615" i="2"/>
  <c r="BC686" i="2"/>
  <c r="AX615" i="2"/>
  <c r="AX686" i="2"/>
  <c r="BH614" i="2"/>
  <c r="BH685" i="2"/>
  <c r="BC614" i="2"/>
  <c r="BC685" i="2"/>
  <c r="AX614" i="2"/>
  <c r="AX685" i="2"/>
  <c r="AS614" i="2"/>
  <c r="AS685" i="2"/>
  <c r="BH613" i="2"/>
  <c r="BH684" i="2"/>
  <c r="BC613" i="2"/>
  <c r="BC684" i="2"/>
  <c r="AX613" i="2"/>
  <c r="AX684" i="2"/>
  <c r="AS613" i="2"/>
  <c r="AS684" i="2"/>
  <c r="BH612" i="2"/>
  <c r="BH683" i="2"/>
  <c r="BC612" i="2"/>
  <c r="BC683" i="2"/>
  <c r="AX612" i="2"/>
  <c r="AX683" i="2"/>
  <c r="AS612" i="2"/>
  <c r="AS683" i="2"/>
  <c r="AN612" i="2"/>
  <c r="AN683" i="2"/>
  <c r="AI612" i="2"/>
  <c r="AI683" i="2"/>
  <c r="AD612" i="2"/>
  <c r="AD683" i="2"/>
  <c r="Y612" i="2"/>
  <c r="Y683" i="2"/>
  <c r="T612" i="2"/>
  <c r="T683" i="2"/>
  <c r="BH611" i="2"/>
  <c r="BH682" i="2"/>
  <c r="BC611" i="2"/>
  <c r="BC682" i="2"/>
  <c r="AX611" i="2"/>
  <c r="AX682" i="2"/>
  <c r="AS611" i="2"/>
  <c r="AS682" i="2"/>
  <c r="AN611" i="2"/>
  <c r="AN682" i="2"/>
  <c r="AI611" i="2"/>
  <c r="AI682" i="2"/>
  <c r="AD611" i="2"/>
  <c r="AD682" i="2"/>
  <c r="Y611" i="2"/>
  <c r="Y682" i="2"/>
  <c r="T611" i="2"/>
  <c r="T682" i="2"/>
  <c r="BH610" i="2"/>
  <c r="BH681" i="2"/>
  <c r="BC610" i="2"/>
  <c r="BC681" i="2"/>
  <c r="AX610" i="2"/>
  <c r="AX681" i="2"/>
  <c r="AS610" i="2"/>
  <c r="AS681" i="2"/>
  <c r="AN610" i="2"/>
  <c r="AN681" i="2"/>
  <c r="AI610" i="2"/>
  <c r="AI681" i="2"/>
  <c r="AD610" i="2"/>
  <c r="AD681" i="2"/>
  <c r="Y610" i="2"/>
  <c r="Y681" i="2"/>
  <c r="T610" i="2"/>
  <c r="T681" i="2"/>
  <c r="BH609" i="2"/>
  <c r="BH680" i="2"/>
  <c r="BC609" i="2"/>
  <c r="BC680" i="2"/>
  <c r="AX609" i="2"/>
  <c r="AX680" i="2"/>
  <c r="AS609" i="2"/>
  <c r="AS680" i="2"/>
  <c r="AN609" i="2"/>
  <c r="AN680" i="2"/>
  <c r="AN507" i="2"/>
  <c r="AI609" i="2"/>
  <c r="AI680" i="2"/>
  <c r="AD609" i="2"/>
  <c r="AD680" i="2"/>
  <c r="Y609" i="2"/>
  <c r="Y680" i="2"/>
  <c r="T609" i="2"/>
  <c r="T680" i="2"/>
  <c r="BH608" i="2"/>
  <c r="BH679" i="2"/>
  <c r="BC608" i="2"/>
  <c r="BC679" i="2"/>
  <c r="AX608" i="2"/>
  <c r="AX679" i="2"/>
  <c r="BH607" i="2"/>
  <c r="BH678" i="2"/>
  <c r="BC607" i="2"/>
  <c r="BC678" i="2"/>
  <c r="AX607" i="2"/>
  <c r="AX678" i="2"/>
  <c r="BH606" i="2"/>
  <c r="BH677" i="2"/>
  <c r="BC606" i="2"/>
  <c r="BC677" i="2"/>
  <c r="AX606" i="2"/>
  <c r="AX677" i="2"/>
  <c r="AS606" i="2"/>
  <c r="AS677" i="2"/>
  <c r="AN606" i="2"/>
  <c r="AN677" i="2"/>
  <c r="AI606" i="2"/>
  <c r="AI677" i="2"/>
  <c r="AD606" i="2"/>
  <c r="AD677" i="2"/>
  <c r="Y606" i="2"/>
  <c r="Y677" i="2"/>
  <c r="T606" i="2"/>
  <c r="T677" i="2"/>
  <c r="BH605" i="2"/>
  <c r="BH676" i="2"/>
  <c r="BC605" i="2"/>
  <c r="BC676" i="2"/>
  <c r="AX605" i="2"/>
  <c r="AX676" i="2"/>
  <c r="AX506" i="2"/>
  <c r="AS605" i="2"/>
  <c r="AS676" i="2"/>
  <c r="AN605" i="2"/>
  <c r="AN676" i="2"/>
  <c r="AI605" i="2"/>
  <c r="AI676" i="2"/>
  <c r="AD605" i="2"/>
  <c r="AD676" i="2"/>
  <c r="Y605" i="2"/>
  <c r="Y676" i="2"/>
  <c r="T605" i="2"/>
  <c r="T676" i="2"/>
  <c r="BH604" i="2"/>
  <c r="BH675" i="2"/>
  <c r="BC604" i="2"/>
  <c r="BC675" i="2"/>
  <c r="AX604" i="2"/>
  <c r="AX675" i="2"/>
  <c r="AS604" i="2"/>
  <c r="AS675" i="2"/>
  <c r="AN604" i="2"/>
  <c r="AN675" i="2"/>
  <c r="AI604" i="2"/>
  <c r="AI675" i="2"/>
  <c r="AD604" i="2"/>
  <c r="AD675" i="2"/>
  <c r="Y604" i="2"/>
  <c r="Y675" i="2"/>
  <c r="T604" i="2"/>
  <c r="T675" i="2"/>
  <c r="BH603" i="2"/>
  <c r="BH674" i="2"/>
  <c r="BC603" i="2"/>
  <c r="BC674" i="2"/>
  <c r="AX603" i="2"/>
  <c r="AX674" i="2"/>
  <c r="AS603" i="2"/>
  <c r="AS674" i="2"/>
  <c r="AN603" i="2"/>
  <c r="AN674" i="2"/>
  <c r="AI603" i="2"/>
  <c r="AD603" i="2"/>
  <c r="AD674" i="2"/>
  <c r="Y603" i="2"/>
  <c r="Y674" i="2"/>
  <c r="T603" i="2"/>
  <c r="T674" i="2"/>
  <c r="BH602" i="2"/>
  <c r="BH673" i="2"/>
  <c r="BC602" i="2"/>
  <c r="AX602" i="2"/>
  <c r="AX673" i="2"/>
  <c r="AS602" i="2"/>
  <c r="AS673" i="2"/>
  <c r="BI599" i="2"/>
  <c r="BG599" i="2"/>
  <c r="BF599" i="2"/>
  <c r="BE599" i="2"/>
  <c r="BD599" i="2"/>
  <c r="BB599" i="2"/>
  <c r="BA599" i="2"/>
  <c r="AZ599" i="2"/>
  <c r="AY599" i="2"/>
  <c r="AW599" i="2"/>
  <c r="AV599" i="2"/>
  <c r="AU599" i="2"/>
  <c r="AT599" i="2"/>
  <c r="AR599" i="2"/>
  <c r="AQ599" i="2"/>
  <c r="AP599" i="2"/>
  <c r="AO599" i="2"/>
  <c r="AM599" i="2"/>
  <c r="AL599" i="2"/>
  <c r="AK599" i="2"/>
  <c r="AJ599" i="2"/>
  <c r="AH599" i="2"/>
  <c r="AG599" i="2"/>
  <c r="AF599" i="2"/>
  <c r="AE599" i="2"/>
  <c r="AC599" i="2"/>
  <c r="AB599" i="2"/>
  <c r="AA599" i="2"/>
  <c r="Z599" i="2"/>
  <c r="X599" i="2"/>
  <c r="W599" i="2"/>
  <c r="V599" i="2"/>
  <c r="U599" i="2"/>
  <c r="S599" i="2"/>
  <c r="R599" i="2"/>
  <c r="Q599" i="2"/>
  <c r="P599" i="2"/>
  <c r="BH598" i="2"/>
  <c r="BH669" i="2"/>
  <c r="BC598" i="2"/>
  <c r="BC669" i="2"/>
  <c r="AX598" i="2"/>
  <c r="AX669" i="2"/>
  <c r="BH597" i="2"/>
  <c r="BH668" i="2"/>
  <c r="BC597" i="2"/>
  <c r="BC668" i="2"/>
  <c r="AX597" i="2"/>
  <c r="AX668" i="2"/>
  <c r="AS597" i="2"/>
  <c r="AS668" i="2"/>
  <c r="AN597" i="2"/>
  <c r="AN668" i="2"/>
  <c r="AN502" i="2"/>
  <c r="AI597" i="2"/>
  <c r="AI668" i="2"/>
  <c r="AD597" i="2"/>
  <c r="AD668" i="2"/>
  <c r="Y597" i="2"/>
  <c r="Y668" i="2"/>
  <c r="T597" i="2"/>
  <c r="T668" i="2"/>
  <c r="T502" i="2"/>
  <c r="BH596" i="2"/>
  <c r="BH667" i="2"/>
  <c r="BC596" i="2"/>
  <c r="BC667" i="2"/>
  <c r="AX596" i="2"/>
  <c r="AX667" i="2"/>
  <c r="AX501" i="2"/>
  <c r="AS596" i="2"/>
  <c r="AS667" i="2"/>
  <c r="AS501" i="2"/>
  <c r="AN596" i="2"/>
  <c r="AN667" i="2"/>
  <c r="AI596" i="2"/>
  <c r="AI667" i="2"/>
  <c r="AD596" i="2"/>
  <c r="AD667" i="2"/>
  <c r="AD501" i="2"/>
  <c r="Y596" i="2"/>
  <c r="Y667" i="2"/>
  <c r="T596" i="2"/>
  <c r="T667" i="2"/>
  <c r="BH595" i="2"/>
  <c r="BH666" i="2"/>
  <c r="BC595" i="2"/>
  <c r="BC666" i="2"/>
  <c r="AX595" i="2"/>
  <c r="AX666" i="2"/>
  <c r="AS595" i="2"/>
  <c r="AS666" i="2"/>
  <c r="AI595" i="2"/>
  <c r="AI666" i="2"/>
  <c r="BH594" i="2"/>
  <c r="BH665" i="2"/>
  <c r="BC594" i="2"/>
  <c r="BC665" i="2"/>
  <c r="AX594" i="2"/>
  <c r="AX665" i="2"/>
  <c r="AS594" i="2"/>
  <c r="AS665" i="2"/>
  <c r="AN594" i="2"/>
  <c r="AN665" i="2"/>
  <c r="AI594" i="2"/>
  <c r="AI665" i="2"/>
  <c r="AD594" i="2"/>
  <c r="AD665" i="2"/>
  <c r="Y594" i="2"/>
  <c r="Y665" i="2"/>
  <c r="T594" i="2"/>
  <c r="T665" i="2"/>
  <c r="BH593" i="2"/>
  <c r="BH664" i="2"/>
  <c r="BC593" i="2"/>
  <c r="BC664" i="2"/>
  <c r="AX593" i="2"/>
  <c r="AX664" i="2"/>
  <c r="AS593" i="2"/>
  <c r="AS664" i="2"/>
  <c r="AN593" i="2"/>
  <c r="AN664" i="2"/>
  <c r="BH592" i="2"/>
  <c r="BH663" i="2"/>
  <c r="BC592" i="2"/>
  <c r="BC663" i="2"/>
  <c r="AX592" i="2"/>
  <c r="AX663" i="2"/>
  <c r="AS592" i="2"/>
  <c r="AS663" i="2"/>
  <c r="AN592" i="2"/>
  <c r="AN663" i="2"/>
  <c r="AI592" i="2"/>
  <c r="AI663" i="2"/>
  <c r="AD592" i="2"/>
  <c r="AD663" i="2"/>
  <c r="Y592" i="2"/>
  <c r="Y663" i="2"/>
  <c r="T592" i="2"/>
  <c r="T663" i="2"/>
  <c r="BH591" i="2"/>
  <c r="BH662" i="2"/>
  <c r="BH728" i="2"/>
  <c r="BC591" i="2"/>
  <c r="BC662" i="2"/>
  <c r="BC728" i="2"/>
  <c r="AX591" i="2"/>
  <c r="AX662" i="2"/>
  <c r="AX728" i="2"/>
  <c r="AS591" i="2"/>
  <c r="AS662" i="2"/>
  <c r="AN591" i="2"/>
  <c r="AN662" i="2"/>
  <c r="AN728" i="2"/>
  <c r="AI591" i="2"/>
  <c r="AI662" i="2"/>
  <c r="AI728" i="2"/>
  <c r="AD591" i="2"/>
  <c r="AD662" i="2"/>
  <c r="AD728" i="2"/>
  <c r="Y591" i="2"/>
  <c r="Y662" i="2"/>
  <c r="Y728" i="2"/>
  <c r="T591" i="2"/>
  <c r="T662" i="2"/>
  <c r="T728" i="2"/>
  <c r="BH590" i="2"/>
  <c r="BH661" i="2"/>
  <c r="BH499" i="2"/>
  <c r="BC590" i="2"/>
  <c r="BC661" i="2"/>
  <c r="BC670" i="2"/>
  <c r="AX590" i="2"/>
  <c r="AX661" i="2"/>
  <c r="AS590" i="2"/>
  <c r="AS661" i="2"/>
  <c r="AN590" i="2"/>
  <c r="AN661" i="2"/>
  <c r="AN499" i="2"/>
  <c r="AI590" i="2"/>
  <c r="AD590" i="2"/>
  <c r="Y590" i="2"/>
  <c r="Y661" i="2"/>
  <c r="T590" i="2"/>
  <c r="T661" i="2"/>
  <c r="BH586" i="2"/>
  <c r="BH657" i="2"/>
  <c r="BC586" i="2"/>
  <c r="BC657" i="2"/>
  <c r="AX586" i="2"/>
  <c r="AX657" i="2"/>
  <c r="AS586" i="2"/>
  <c r="AS657" i="2"/>
  <c r="AN586" i="2"/>
  <c r="AN657" i="2"/>
  <c r="AI586" i="2"/>
  <c r="AI657" i="2"/>
  <c r="AD586" i="2"/>
  <c r="AD657" i="2"/>
  <c r="Y586" i="2"/>
  <c r="Y657" i="2"/>
  <c r="T586" i="2"/>
  <c r="T657" i="2"/>
  <c r="BH585" i="2"/>
  <c r="BH656" i="2"/>
  <c r="BC585" i="2"/>
  <c r="BC656" i="2"/>
  <c r="AX585" i="2"/>
  <c r="AX656" i="2"/>
  <c r="AS585" i="2"/>
  <c r="AS656" i="2"/>
  <c r="AN585" i="2"/>
  <c r="AN656" i="2"/>
  <c r="AI585" i="2"/>
  <c r="AI656" i="2"/>
  <c r="AD585" i="2"/>
  <c r="AD656" i="2"/>
  <c r="Y585" i="2"/>
  <c r="Y656" i="2"/>
  <c r="T585" i="2"/>
  <c r="T656" i="2"/>
  <c r="BH584" i="2"/>
  <c r="BH655" i="2"/>
  <c r="BC584" i="2"/>
  <c r="BC655" i="2"/>
  <c r="AX584" i="2"/>
  <c r="AX655" i="2"/>
  <c r="AS584" i="2"/>
  <c r="AS655" i="2"/>
  <c r="AN584" i="2"/>
  <c r="AN655" i="2"/>
  <c r="AI584" i="2"/>
  <c r="AI655" i="2"/>
  <c r="AD584" i="2"/>
  <c r="AD655" i="2"/>
  <c r="Y584" i="2"/>
  <c r="Y655" i="2"/>
  <c r="T584" i="2"/>
  <c r="T655" i="2"/>
  <c r="BH583" i="2"/>
  <c r="BH654" i="2"/>
  <c r="BC583" i="2"/>
  <c r="BC654" i="2"/>
  <c r="AX583" i="2"/>
  <c r="AX654" i="2"/>
  <c r="AS583" i="2"/>
  <c r="AS654" i="2"/>
  <c r="AN583" i="2"/>
  <c r="AN654" i="2"/>
  <c r="BH582" i="2"/>
  <c r="BH653" i="2"/>
  <c r="BC582" i="2"/>
  <c r="BC653" i="2"/>
  <c r="AX582" i="2"/>
  <c r="AX653" i="2"/>
  <c r="AS582" i="2"/>
  <c r="AS653" i="2"/>
  <c r="AN582" i="2"/>
  <c r="AN653" i="2"/>
  <c r="AI582" i="2"/>
  <c r="AI653" i="2"/>
  <c r="AD582" i="2"/>
  <c r="AD653" i="2"/>
  <c r="Y582" i="2"/>
  <c r="Y653" i="2"/>
  <c r="T582" i="2"/>
  <c r="T653" i="2"/>
  <c r="BH581" i="2"/>
  <c r="BH652" i="2"/>
  <c r="BC581" i="2"/>
  <c r="BC652" i="2"/>
  <c r="AX581" i="2"/>
  <c r="AX652" i="2"/>
  <c r="AS581" i="2"/>
  <c r="AS652" i="2"/>
  <c r="AN581" i="2"/>
  <c r="AN652" i="2"/>
  <c r="AI581" i="2"/>
  <c r="AI652" i="2"/>
  <c r="AD581" i="2"/>
  <c r="AD652" i="2"/>
  <c r="Y581" i="2"/>
  <c r="Y652" i="2"/>
  <c r="T581" i="2"/>
  <c r="T652" i="2"/>
  <c r="BH580" i="2"/>
  <c r="BH651" i="2"/>
  <c r="BC580" i="2"/>
  <c r="BC651" i="2"/>
  <c r="AX580" i="2"/>
  <c r="AX651" i="2"/>
  <c r="AS580" i="2"/>
  <c r="AS651" i="2"/>
  <c r="AN580" i="2"/>
  <c r="AN651" i="2"/>
  <c r="BH579" i="2"/>
  <c r="BH650" i="2"/>
  <c r="BC579" i="2"/>
  <c r="BC650" i="2"/>
  <c r="AX579" i="2"/>
  <c r="AX650" i="2"/>
  <c r="AS579" i="2"/>
  <c r="AS650" i="2"/>
  <c r="AN579" i="2"/>
  <c r="AN650" i="2"/>
  <c r="AI579" i="2"/>
  <c r="AI650" i="2"/>
  <c r="AD579" i="2"/>
  <c r="AD650" i="2"/>
  <c r="Y579" i="2"/>
  <c r="Y650" i="2"/>
  <c r="T579" i="2"/>
  <c r="T650" i="2"/>
  <c r="BH578" i="2"/>
  <c r="BH649" i="2"/>
  <c r="BC578" i="2"/>
  <c r="BC649" i="2"/>
  <c r="AX578" i="2"/>
  <c r="AX649" i="2"/>
  <c r="AS578" i="2"/>
  <c r="AS649" i="2"/>
  <c r="AN578" i="2"/>
  <c r="AN649" i="2"/>
  <c r="AI578" i="2"/>
  <c r="AI649" i="2"/>
  <c r="AD578" i="2"/>
  <c r="AD649" i="2"/>
  <c r="Y578" i="2"/>
  <c r="Y649" i="2"/>
  <c r="T578" i="2"/>
  <c r="T649" i="2"/>
  <c r="BH577" i="2"/>
  <c r="BH648" i="2"/>
  <c r="BC577" i="2"/>
  <c r="BC648" i="2"/>
  <c r="AX577" i="2"/>
  <c r="AX648" i="2"/>
  <c r="AS577" i="2"/>
  <c r="AS648" i="2"/>
  <c r="AN577" i="2"/>
  <c r="AN648" i="2"/>
  <c r="AI577" i="2"/>
  <c r="AI648" i="2"/>
  <c r="AD577" i="2"/>
  <c r="AD648" i="2"/>
  <c r="Y577" i="2"/>
  <c r="Y648" i="2"/>
  <c r="T577" i="2"/>
  <c r="T648" i="2"/>
  <c r="BH576" i="2"/>
  <c r="BH647" i="2"/>
  <c r="BC576" i="2"/>
  <c r="BC647" i="2"/>
  <c r="AX576" i="2"/>
  <c r="AX647" i="2"/>
  <c r="AS576" i="2"/>
  <c r="AS647" i="2"/>
  <c r="AN576" i="2"/>
  <c r="AN647" i="2"/>
  <c r="AI575" i="2"/>
  <c r="AI646" i="2"/>
  <c r="AD575" i="2"/>
  <c r="AD646" i="2"/>
  <c r="Y575" i="2"/>
  <c r="Y646" i="2"/>
  <c r="T575" i="2"/>
  <c r="T646" i="2"/>
  <c r="AI574" i="2"/>
  <c r="AI645" i="2"/>
  <c r="AD574" i="2"/>
  <c r="AD645" i="2"/>
  <c r="Y574" i="2"/>
  <c r="Y645" i="2"/>
  <c r="T574" i="2"/>
  <c r="T645" i="2"/>
  <c r="BI573" i="2"/>
  <c r="BI587" i="2"/>
  <c r="BG573" i="2"/>
  <c r="BG587" i="2"/>
  <c r="BF573" i="2"/>
  <c r="BF587" i="2"/>
  <c r="BE573" i="2"/>
  <c r="BE587" i="2"/>
  <c r="BD573" i="2"/>
  <c r="BD587" i="2"/>
  <c r="BB573" i="2"/>
  <c r="BB587" i="2"/>
  <c r="BA573" i="2"/>
  <c r="BA587" i="2"/>
  <c r="AZ573" i="2"/>
  <c r="AZ587" i="2"/>
  <c r="AY573" i="2"/>
  <c r="AY587" i="2"/>
  <c r="AW573" i="2"/>
  <c r="AW587" i="2"/>
  <c r="AV573" i="2"/>
  <c r="AV587" i="2"/>
  <c r="AU573" i="2"/>
  <c r="AU587" i="2"/>
  <c r="AT573" i="2"/>
  <c r="AT587" i="2"/>
  <c r="AR573" i="2"/>
  <c r="AR587" i="2"/>
  <c r="AQ573" i="2"/>
  <c r="AQ587" i="2"/>
  <c r="AP573" i="2"/>
  <c r="AP587" i="2"/>
  <c r="AO573" i="2"/>
  <c r="AO587" i="2"/>
  <c r="AM573" i="2"/>
  <c r="AM587" i="2"/>
  <c r="AL573" i="2"/>
  <c r="AL587" i="2"/>
  <c r="AK573" i="2"/>
  <c r="AK587" i="2"/>
  <c r="AJ573" i="2"/>
  <c r="AJ587" i="2"/>
  <c r="AH573" i="2"/>
  <c r="AH587" i="2"/>
  <c r="AG573" i="2"/>
  <c r="AG587" i="2"/>
  <c r="AF573" i="2"/>
  <c r="AF587" i="2"/>
  <c r="AE573" i="2"/>
  <c r="AE587" i="2"/>
  <c r="AC573" i="2"/>
  <c r="AC587" i="2"/>
  <c r="AB573" i="2"/>
  <c r="AB587" i="2"/>
  <c r="AA573" i="2"/>
  <c r="AA587" i="2"/>
  <c r="Z573" i="2"/>
  <c r="Z587" i="2"/>
  <c r="X573" i="2"/>
  <c r="X587" i="2"/>
  <c r="W573" i="2"/>
  <c r="W587" i="2"/>
  <c r="V573" i="2"/>
  <c r="V587" i="2"/>
  <c r="U573" i="2"/>
  <c r="U587" i="2"/>
  <c r="S573" i="2"/>
  <c r="S587" i="2"/>
  <c r="R573" i="2"/>
  <c r="R587" i="2"/>
  <c r="Q573" i="2"/>
  <c r="Q587" i="2"/>
  <c r="P573" i="2"/>
  <c r="P587" i="2"/>
  <c r="BH572" i="2"/>
  <c r="BH643" i="2"/>
  <c r="BC572" i="2"/>
  <c r="BC643" i="2"/>
  <c r="AX572" i="2"/>
  <c r="AX643" i="2"/>
  <c r="AS572" i="2"/>
  <c r="AS643" i="2"/>
  <c r="AN572" i="2"/>
  <c r="AN643" i="2"/>
  <c r="AI572" i="2"/>
  <c r="AI643" i="2"/>
  <c r="AD572" i="2"/>
  <c r="AD643" i="2"/>
  <c r="Y572" i="2"/>
  <c r="Y643" i="2"/>
  <c r="T572" i="2"/>
  <c r="T643" i="2"/>
  <c r="BH571" i="2"/>
  <c r="BH642" i="2"/>
  <c r="BC571" i="2"/>
  <c r="BC642" i="2"/>
  <c r="AX571" i="2"/>
  <c r="AX642" i="2"/>
  <c r="AS571" i="2"/>
  <c r="AS642" i="2"/>
  <c r="AN571" i="2"/>
  <c r="AN642" i="2"/>
  <c r="AI571" i="2"/>
  <c r="AI642" i="2"/>
  <c r="AD571" i="2"/>
  <c r="AD642" i="2"/>
  <c r="Y571" i="2"/>
  <c r="Y642" i="2"/>
  <c r="T571" i="2"/>
  <c r="T642" i="2"/>
  <c r="BH570" i="2"/>
  <c r="BH641" i="2"/>
  <c r="BC570" i="2"/>
  <c r="BC641" i="2"/>
  <c r="AX570" i="2"/>
  <c r="AX641" i="2"/>
  <c r="AS570" i="2"/>
  <c r="AS641" i="2"/>
  <c r="AN570" i="2"/>
  <c r="AN641" i="2"/>
  <c r="AI570" i="2"/>
  <c r="AI641" i="2"/>
  <c r="AD570" i="2"/>
  <c r="AD641" i="2"/>
  <c r="Y570" i="2"/>
  <c r="Y641" i="2"/>
  <c r="T570" i="2"/>
  <c r="T641" i="2"/>
  <c r="BH569" i="2"/>
  <c r="BH640" i="2"/>
  <c r="BC569" i="2"/>
  <c r="BC640" i="2"/>
  <c r="AX569" i="2"/>
  <c r="AX640" i="2"/>
  <c r="AS569" i="2"/>
  <c r="AS640" i="2"/>
  <c r="AN569" i="2"/>
  <c r="AN640" i="2"/>
  <c r="AI569" i="2"/>
  <c r="AI640" i="2"/>
  <c r="BH568" i="2"/>
  <c r="BH639" i="2"/>
  <c r="BH393" i="2"/>
  <c r="BC568" i="2"/>
  <c r="BC639" i="2"/>
  <c r="AX568" i="2"/>
  <c r="AX639" i="2"/>
  <c r="AS568" i="2"/>
  <c r="AS639" i="2"/>
  <c r="AN568" i="2"/>
  <c r="AN639" i="2"/>
  <c r="AN393" i="2"/>
  <c r="AI568" i="2"/>
  <c r="AI639" i="2"/>
  <c r="AD568" i="2"/>
  <c r="AD639" i="2"/>
  <c r="AD393" i="2"/>
  <c r="Y568" i="2"/>
  <c r="Y639" i="2"/>
  <c r="T568" i="2"/>
  <c r="T639" i="2"/>
  <c r="BH567" i="2"/>
  <c r="BH638" i="2"/>
  <c r="BC567" i="2"/>
  <c r="BC638" i="2"/>
  <c r="AX567" i="2"/>
  <c r="AX638" i="2"/>
  <c r="AX404" i="2"/>
  <c r="AS567" i="2"/>
  <c r="AS638" i="2"/>
  <c r="AN567" i="2"/>
  <c r="AN638" i="2"/>
  <c r="AN404" i="2"/>
  <c r="AI567" i="2"/>
  <c r="AI638" i="2"/>
  <c r="AI404" i="2"/>
  <c r="AI403" i="2"/>
  <c r="AD567" i="2"/>
  <c r="AD638" i="2"/>
  <c r="AD404" i="2"/>
  <c r="Y567" i="2"/>
  <c r="Y638" i="2"/>
  <c r="Y404" i="2"/>
  <c r="Y403" i="2"/>
  <c r="T567" i="2"/>
  <c r="T638" i="2"/>
  <c r="BH566" i="2"/>
  <c r="BH637" i="2"/>
  <c r="BC566" i="2"/>
  <c r="BC637" i="2"/>
  <c r="AX566" i="2"/>
  <c r="AX637" i="2"/>
  <c r="AS566" i="2"/>
  <c r="AS637" i="2"/>
  <c r="AN566" i="2"/>
  <c r="AI566" i="2"/>
  <c r="AI637" i="2"/>
  <c r="AD566" i="2"/>
  <c r="AD637" i="2"/>
  <c r="Y566" i="2"/>
  <c r="Y637" i="2"/>
  <c r="T566" i="2"/>
  <c r="T637" i="2"/>
  <c r="BH565" i="2"/>
  <c r="BH636" i="2"/>
  <c r="BC565" i="2"/>
  <c r="BC51" i="2"/>
  <c r="AX565" i="2"/>
  <c r="AX636" i="2"/>
  <c r="AS565" i="2"/>
  <c r="AS636" i="2"/>
  <c r="AN565" i="2"/>
  <c r="AN636" i="2"/>
  <c r="AI565" i="2"/>
  <c r="AI636" i="2"/>
  <c r="AD565" i="2"/>
  <c r="AD636" i="2"/>
  <c r="Y565" i="2"/>
  <c r="Y636" i="2"/>
  <c r="T565" i="2"/>
  <c r="T636" i="2"/>
  <c r="BH564" i="2"/>
  <c r="BC564" i="2"/>
  <c r="BC635" i="2"/>
  <c r="AX564" i="2"/>
  <c r="AS564" i="2"/>
  <c r="AS635" i="2"/>
  <c r="AN564" i="2"/>
  <c r="AN635" i="2"/>
  <c r="AI564" i="2"/>
  <c r="AD564" i="2"/>
  <c r="AD635" i="2"/>
  <c r="Y564" i="2"/>
  <c r="T564" i="2"/>
  <c r="BH560" i="2"/>
  <c r="BG560" i="2"/>
  <c r="BF560" i="2"/>
  <c r="BE560" i="2"/>
  <c r="BD560" i="2"/>
  <c r="BC560" i="2"/>
  <c r="BB560" i="2"/>
  <c r="BA560" i="2"/>
  <c r="AZ560" i="2"/>
  <c r="AY560" i="2"/>
  <c r="AX560" i="2"/>
  <c r="AW560" i="2"/>
  <c r="AV560" i="2"/>
  <c r="AU560" i="2"/>
  <c r="AT560" i="2"/>
  <c r="AS560" i="2"/>
  <c r="AR560" i="2"/>
  <c r="BL558" i="2"/>
  <c r="BK558" i="2"/>
  <c r="BJ558" i="2"/>
  <c r="BI558" i="2"/>
  <c r="BH558" i="2"/>
  <c r="BG558" i="2"/>
  <c r="BF558" i="2"/>
  <c r="BE558" i="2"/>
  <c r="BD558" i="2"/>
  <c r="BC558" i="2"/>
  <c r="BB558" i="2"/>
  <c r="BA558" i="2"/>
  <c r="AZ558" i="2"/>
  <c r="AY558" i="2"/>
  <c r="AX558" i="2"/>
  <c r="AW558" i="2"/>
  <c r="AV558" i="2"/>
  <c r="AU558" i="2"/>
  <c r="AT558" i="2"/>
  <c r="AS558" i="2"/>
  <c r="AR558" i="2"/>
  <c r="AQ558" i="2"/>
  <c r="AP558" i="2"/>
  <c r="AO558" i="2"/>
  <c r="AN558" i="2"/>
  <c r="AM558" i="2"/>
  <c r="AL558" i="2"/>
  <c r="AK558" i="2"/>
  <c r="AJ558" i="2"/>
  <c r="AI558" i="2"/>
  <c r="AH558" i="2"/>
  <c r="AG558" i="2"/>
  <c r="AF558" i="2"/>
  <c r="AE558" i="2"/>
  <c r="AD558" i="2"/>
  <c r="AC558" i="2"/>
  <c r="AB558" i="2"/>
  <c r="AA558" i="2"/>
  <c r="Z558" i="2"/>
  <c r="Y558" i="2"/>
  <c r="X558" i="2"/>
  <c r="W558" i="2"/>
  <c r="V558" i="2"/>
  <c r="U558" i="2"/>
  <c r="T558" i="2"/>
  <c r="S558" i="2"/>
  <c r="R558" i="2"/>
  <c r="Q558" i="2"/>
  <c r="P558" i="2"/>
  <c r="BI554" i="2" a="1"/>
  <c r="BI554" i="2"/>
  <c r="BH554" i="2" a="1"/>
  <c r="BH554" i="2"/>
  <c r="BG554" i="2" a="1"/>
  <c r="BG554" i="2"/>
  <c r="BF554" i="2" a="1"/>
  <c r="BF554" i="2"/>
  <c r="BE554" i="2" a="1"/>
  <c r="BE554" i="2"/>
  <c r="BA554" i="2" a="1"/>
  <c r="BA554" i="2"/>
  <c r="AZ554" i="2" a="1"/>
  <c r="AZ554" i="2"/>
  <c r="AY554" i="2" a="1"/>
  <c r="AY554" i="2"/>
  <c r="AX554" i="2" a="1"/>
  <c r="AX554" i="2"/>
  <c r="AT554" i="2" a="1"/>
  <c r="AT554" i="2"/>
  <c r="AS554" i="2" a="1"/>
  <c r="AS554" i="2"/>
  <c r="AR554" i="2" a="1"/>
  <c r="AR554" i="2"/>
  <c r="AQ554" i="2" a="1"/>
  <c r="AQ554" i="2"/>
  <c r="AP554" i="2" a="1"/>
  <c r="AP554" i="2"/>
  <c r="AO554" i="2" a="1"/>
  <c r="AO554" i="2"/>
  <c r="AK554" i="2" a="1"/>
  <c r="AK554" i="2"/>
  <c r="AJ554" i="2" a="1"/>
  <c r="AJ554" i="2"/>
  <c r="AI554" i="2" a="1"/>
  <c r="AI554" i="2"/>
  <c r="AH554" i="2" a="1"/>
  <c r="AH554" i="2"/>
  <c r="AD554" i="2" a="1"/>
  <c r="AD554" i="2"/>
  <c r="AC554" i="2" a="1"/>
  <c r="AC554" i="2"/>
  <c r="AB554" i="2" a="1"/>
  <c r="AB554" i="2"/>
  <c r="AA554" i="2" a="1"/>
  <c r="AA554" i="2"/>
  <c r="Z554" i="2" a="1"/>
  <c r="Z554" i="2"/>
  <c r="Y554" i="2" a="1"/>
  <c r="Y554" i="2"/>
  <c r="X554" i="2" a="1"/>
  <c r="X554" i="2"/>
  <c r="W554" i="2" a="1"/>
  <c r="W554" i="2"/>
  <c r="U554" i="2" a="1"/>
  <c r="U554" i="2"/>
  <c r="T554" i="2" a="1"/>
  <c r="T554" i="2"/>
  <c r="S554" i="2" a="1"/>
  <c r="S554" i="2"/>
  <c r="R554" i="2" a="1"/>
  <c r="R554" i="2"/>
  <c r="BI552" i="2" a="1"/>
  <c r="BI552" i="2"/>
  <c r="BH552" i="2" a="1"/>
  <c r="BH552" i="2"/>
  <c r="BH555" i="2" a="1"/>
  <c r="BH555" i="2"/>
  <c r="BG552" i="2" a="1"/>
  <c r="BG552" i="2"/>
  <c r="BF552" i="2" a="1"/>
  <c r="BF552" i="2"/>
  <c r="BF555" i="2" a="1"/>
  <c r="BF555" i="2"/>
  <c r="BE552" i="2" a="1"/>
  <c r="BE552" i="2"/>
  <c r="BA552" i="2" a="1"/>
  <c r="BA552" i="2"/>
  <c r="AZ552" i="2" a="1"/>
  <c r="AZ552" i="2"/>
  <c r="AZ555" i="2" a="1"/>
  <c r="AZ555" i="2"/>
  <c r="AY552" i="2" a="1"/>
  <c r="AY552" i="2"/>
  <c r="AX552" i="2" a="1"/>
  <c r="AX552" i="2"/>
  <c r="AX555" i="2" a="1"/>
  <c r="AX555" i="2"/>
  <c r="AT552" i="2" a="1"/>
  <c r="AT552" i="2"/>
  <c r="AT555" i="2" a="1"/>
  <c r="AT555" i="2"/>
  <c r="AS552" i="2" a="1"/>
  <c r="AS552" i="2"/>
  <c r="AR552" i="2" a="1"/>
  <c r="AR552" i="2"/>
  <c r="AR555" i="2" a="1"/>
  <c r="AR555" i="2"/>
  <c r="AQ552" i="2" a="1"/>
  <c r="AQ552" i="2"/>
  <c r="AP552" i="2" a="1"/>
  <c r="AP552" i="2"/>
  <c r="AP555" i="2" a="1"/>
  <c r="AP555" i="2"/>
  <c r="AO552" i="2" a="1"/>
  <c r="AO552" i="2"/>
  <c r="AK552" i="2" a="1"/>
  <c r="AK552" i="2"/>
  <c r="AK555" i="2" a="1"/>
  <c r="AK555" i="2"/>
  <c r="AK539" i="2" a="1"/>
  <c r="AK539" i="2"/>
  <c r="AJ552" i="2" a="1"/>
  <c r="AJ552" i="2"/>
  <c r="AJ555" i="2" a="1"/>
  <c r="AJ555" i="2"/>
  <c r="AI552" i="2" a="1"/>
  <c r="AI552" i="2"/>
  <c r="AI555" i="2" a="1"/>
  <c r="AI555" i="2"/>
  <c r="AH552" i="2" a="1"/>
  <c r="AH552" i="2"/>
  <c r="AH555" i="2" a="1"/>
  <c r="AH555" i="2"/>
  <c r="AD552" i="2" a="1"/>
  <c r="AD552" i="2"/>
  <c r="AD555" i="2" a="1"/>
  <c r="AD555" i="2"/>
  <c r="AC552" i="2" a="1"/>
  <c r="AC552" i="2"/>
  <c r="AB552" i="2" a="1"/>
  <c r="AB552" i="2"/>
  <c r="AB555" i="2" a="1"/>
  <c r="AB555" i="2"/>
  <c r="AA552" i="2" a="1"/>
  <c r="AA552" i="2"/>
  <c r="AA555" i="2" a="1"/>
  <c r="AA555" i="2"/>
  <c r="AA539" i="2" a="1"/>
  <c r="AA539" i="2"/>
  <c r="Z552" i="2" a="1"/>
  <c r="Z552" i="2"/>
  <c r="Z555" i="2" a="1"/>
  <c r="Z555" i="2"/>
  <c r="Z539" i="2" a="1"/>
  <c r="Z539" i="2"/>
  <c r="Y552" i="2" a="1"/>
  <c r="Y552" i="2"/>
  <c r="U552" i="2" a="1"/>
  <c r="U552" i="2"/>
  <c r="T552" i="2" a="1"/>
  <c r="T552" i="2"/>
  <c r="T555" i="2" a="1"/>
  <c r="T555" i="2"/>
  <c r="S552" i="2" a="1"/>
  <c r="S552" i="2"/>
  <c r="S555" i="2" a="1"/>
  <c r="S555" i="2"/>
  <c r="R552" i="2" a="1"/>
  <c r="R552" i="2"/>
  <c r="R555" i="2" a="1"/>
  <c r="R555" i="2"/>
  <c r="BV551" i="2" a="1"/>
  <c r="BV551" i="2"/>
  <c r="BU551" i="2" a="1"/>
  <c r="BU551" i="2"/>
  <c r="BT551" i="2" a="1"/>
  <c r="BT551" i="2"/>
  <c r="BQ551" i="2" a="1"/>
  <c r="BQ551" i="2"/>
  <c r="BP551" i="2" a="1"/>
  <c r="BP551" i="2"/>
  <c r="BO551" i="2" a="1"/>
  <c r="BO551" i="2"/>
  <c r="BN551" i="2" a="1"/>
  <c r="BN551" i="2"/>
  <c r="BJ551" i="2" a="1"/>
  <c r="BJ551" i="2"/>
  <c r="BV550" i="2" a="1"/>
  <c r="BV550" i="2"/>
  <c r="BU550" i="2" a="1"/>
  <c r="BU550" i="2"/>
  <c r="BT550" i="2" a="1"/>
  <c r="BT550" i="2"/>
  <c r="BQ550" i="2" a="1"/>
  <c r="BQ550" i="2"/>
  <c r="BP550" i="2" a="1"/>
  <c r="BP550" i="2"/>
  <c r="BO550" i="2" a="1"/>
  <c r="BO550" i="2"/>
  <c r="BN550" i="2" a="1"/>
  <c r="BN550" i="2"/>
  <c r="BJ550" i="2" a="1"/>
  <c r="BJ550" i="2"/>
  <c r="BV549" i="2" a="1"/>
  <c r="BV549" i="2"/>
  <c r="BU549" i="2" a="1"/>
  <c r="BU549" i="2"/>
  <c r="BQ549" i="2" a="1"/>
  <c r="BQ549" i="2"/>
  <c r="BP549" i="2" a="1"/>
  <c r="BP549" i="2"/>
  <c r="BO549" i="2" a="1"/>
  <c r="BO549" i="2"/>
  <c r="BN549" i="2" a="1"/>
  <c r="BN549" i="2"/>
  <c r="BJ549" i="2" a="1"/>
  <c r="BJ549" i="2"/>
  <c r="A547" i="2"/>
  <c r="A546" i="2"/>
  <c r="A545" i="2"/>
  <c r="A544" i="2"/>
  <c r="A838" i="2"/>
  <c r="A543" i="2"/>
  <c r="A839" i="2"/>
  <c r="A541" i="2"/>
  <c r="A540" i="2"/>
  <c r="A539" i="2"/>
  <c r="BI524" i="2"/>
  <c r="BG524" i="2"/>
  <c r="BF524" i="2"/>
  <c r="BE524" i="2"/>
  <c r="BD524" i="2"/>
  <c r="BB524" i="2"/>
  <c r="BA524" i="2"/>
  <c r="AZ524" i="2"/>
  <c r="AY524" i="2"/>
  <c r="AW524" i="2"/>
  <c r="AV524" i="2"/>
  <c r="AU524" i="2"/>
  <c r="AT524" i="2"/>
  <c r="AS524" i="2"/>
  <c r="AR524" i="2"/>
  <c r="AQ524" i="2"/>
  <c r="AP524" i="2"/>
  <c r="AO524" i="2"/>
  <c r="AN524" i="2"/>
  <c r="AM524" i="2"/>
  <c r="AL524" i="2"/>
  <c r="AK524" i="2"/>
  <c r="AJ524" i="2"/>
  <c r="AI524" i="2"/>
  <c r="AH524" i="2"/>
  <c r="AG524" i="2"/>
  <c r="AF524" i="2"/>
  <c r="AE524" i="2"/>
  <c r="AD524" i="2"/>
  <c r="AC524" i="2"/>
  <c r="AB524" i="2"/>
  <c r="AA524" i="2"/>
  <c r="Z524" i="2"/>
  <c r="Y524" i="2"/>
  <c r="X524" i="2"/>
  <c r="W524" i="2"/>
  <c r="V524" i="2"/>
  <c r="U524" i="2"/>
  <c r="T524" i="2"/>
  <c r="S524" i="2"/>
  <c r="R524" i="2"/>
  <c r="Q524" i="2"/>
  <c r="P524" i="2"/>
  <c r="BI523" i="2"/>
  <c r="BH523" i="2"/>
  <c r="BH799" i="2"/>
  <c r="BG523" i="2"/>
  <c r="BG799" i="2"/>
  <c r="BF523" i="2"/>
  <c r="BF799" i="2"/>
  <c r="BE523" i="2"/>
  <c r="BE799" i="2"/>
  <c r="BD523" i="2"/>
  <c r="BD799" i="2"/>
  <c r="BC523" i="2"/>
  <c r="BC799" i="2"/>
  <c r="BB523" i="2"/>
  <c r="BB799" i="2"/>
  <c r="BA523" i="2"/>
  <c r="BA799" i="2"/>
  <c r="AZ523" i="2"/>
  <c r="AZ799" i="2"/>
  <c r="AY523" i="2"/>
  <c r="AY799" i="2"/>
  <c r="AX523" i="2"/>
  <c r="AX799" i="2"/>
  <c r="AW523" i="2"/>
  <c r="AW799" i="2"/>
  <c r="AV523" i="2"/>
  <c r="AV799" i="2"/>
  <c r="AU523" i="2"/>
  <c r="AU799" i="2"/>
  <c r="AT523" i="2"/>
  <c r="AT799" i="2"/>
  <c r="AS523" i="2"/>
  <c r="AR523" i="2"/>
  <c r="AR799" i="2"/>
  <c r="AQ523" i="2"/>
  <c r="AQ799" i="2"/>
  <c r="AP523" i="2"/>
  <c r="AP799" i="2"/>
  <c r="AO523" i="2"/>
  <c r="AO799" i="2"/>
  <c r="AN523" i="2"/>
  <c r="AN799" i="2"/>
  <c r="AM523" i="2"/>
  <c r="AM799" i="2"/>
  <c r="AL523" i="2"/>
  <c r="AL799" i="2"/>
  <c r="AK523" i="2"/>
  <c r="AK799" i="2"/>
  <c r="AJ523" i="2"/>
  <c r="AJ799" i="2"/>
  <c r="AI523" i="2"/>
  <c r="AI799" i="2"/>
  <c r="AH523" i="2"/>
  <c r="AH799" i="2"/>
  <c r="AG523" i="2"/>
  <c r="AG799" i="2"/>
  <c r="AF523" i="2"/>
  <c r="AF799" i="2"/>
  <c r="AE523" i="2"/>
  <c r="AE799" i="2"/>
  <c r="AD523" i="2"/>
  <c r="AD799" i="2"/>
  <c r="AC523" i="2"/>
  <c r="AB523" i="2"/>
  <c r="AB799" i="2"/>
  <c r="AA523" i="2"/>
  <c r="AA799" i="2"/>
  <c r="Z523" i="2"/>
  <c r="Z799" i="2"/>
  <c r="Y523" i="2"/>
  <c r="Y799" i="2"/>
  <c r="X523" i="2"/>
  <c r="X799" i="2"/>
  <c r="W523" i="2"/>
  <c r="W799" i="2"/>
  <c r="V523" i="2"/>
  <c r="V799" i="2"/>
  <c r="U523" i="2"/>
  <c r="U799" i="2"/>
  <c r="S523" i="2"/>
  <c r="S799" i="2"/>
  <c r="R523" i="2"/>
  <c r="R799" i="2"/>
  <c r="Q523" i="2"/>
  <c r="Q799" i="2"/>
  <c r="P523" i="2"/>
  <c r="P799" i="2"/>
  <c r="BJ522" i="2"/>
  <c r="BI522" i="2"/>
  <c r="BH522" i="2"/>
  <c r="BG522" i="2"/>
  <c r="BF522" i="2"/>
  <c r="BE522" i="2"/>
  <c r="BD522" i="2"/>
  <c r="BC522" i="2"/>
  <c r="BB522" i="2"/>
  <c r="BA522" i="2"/>
  <c r="AZ522" i="2"/>
  <c r="AY522" i="2"/>
  <c r="AX522" i="2"/>
  <c r="AW522" i="2"/>
  <c r="AV522" i="2"/>
  <c r="AU522" i="2"/>
  <c r="AT522" i="2"/>
  <c r="AS522" i="2"/>
  <c r="AR522" i="2"/>
  <c r="AQ522" i="2"/>
  <c r="AP522" i="2"/>
  <c r="AO522" i="2"/>
  <c r="AN522" i="2"/>
  <c r="AM522" i="2"/>
  <c r="AL522" i="2"/>
  <c r="AK522" i="2"/>
  <c r="AJ522" i="2"/>
  <c r="AI522" i="2"/>
  <c r="AH522" i="2"/>
  <c r="AG522" i="2"/>
  <c r="AF522" i="2"/>
  <c r="AE522" i="2"/>
  <c r="AD522" i="2"/>
  <c r="AC522" i="2"/>
  <c r="AB522" i="2"/>
  <c r="AA522" i="2"/>
  <c r="Z522" i="2"/>
  <c r="Y522" i="2"/>
  <c r="X522" i="2"/>
  <c r="W522" i="2"/>
  <c r="V522" i="2"/>
  <c r="U522" i="2"/>
  <c r="S522" i="2"/>
  <c r="R522" i="2"/>
  <c r="Q522" i="2"/>
  <c r="P522" i="2"/>
  <c r="BI520" i="2"/>
  <c r="BI798" i="2"/>
  <c r="BH520" i="2"/>
  <c r="BH798" i="2"/>
  <c r="BG520" i="2"/>
  <c r="BG798" i="2"/>
  <c r="BF520" i="2"/>
  <c r="BF798" i="2"/>
  <c r="BE520" i="2"/>
  <c r="BE798" i="2"/>
  <c r="BD520" i="2"/>
  <c r="BD798" i="2"/>
  <c r="BC520" i="2"/>
  <c r="BC798" i="2"/>
  <c r="BB520" i="2"/>
  <c r="BB798" i="2"/>
  <c r="BA520" i="2"/>
  <c r="BA798" i="2"/>
  <c r="AZ520" i="2"/>
  <c r="AZ798" i="2"/>
  <c r="AY520" i="2"/>
  <c r="AY798" i="2"/>
  <c r="AX520" i="2"/>
  <c r="AX798" i="2"/>
  <c r="AW520" i="2"/>
  <c r="AW798" i="2"/>
  <c r="AV520" i="2"/>
  <c r="AV798" i="2"/>
  <c r="AU520" i="2"/>
  <c r="AU798" i="2"/>
  <c r="AT520" i="2"/>
  <c r="AT798" i="2"/>
  <c r="AS520" i="2"/>
  <c r="AS798" i="2"/>
  <c r="AR520" i="2"/>
  <c r="AR798" i="2"/>
  <c r="AQ520" i="2"/>
  <c r="AQ798" i="2"/>
  <c r="AP520" i="2"/>
  <c r="AP798" i="2"/>
  <c r="AO520" i="2"/>
  <c r="AO798" i="2"/>
  <c r="AN520" i="2"/>
  <c r="AN798" i="2"/>
  <c r="AM520" i="2"/>
  <c r="AM798" i="2"/>
  <c r="AL520" i="2"/>
  <c r="AL798" i="2"/>
  <c r="AK520" i="2"/>
  <c r="AK798" i="2"/>
  <c r="AJ520" i="2"/>
  <c r="AJ798" i="2"/>
  <c r="AI520" i="2"/>
  <c r="AI798" i="2"/>
  <c r="AH520" i="2"/>
  <c r="AH798" i="2"/>
  <c r="AG520" i="2"/>
  <c r="AG798" i="2"/>
  <c r="AF520" i="2"/>
  <c r="AF798" i="2"/>
  <c r="AE520" i="2"/>
  <c r="AE798" i="2"/>
  <c r="AD520" i="2"/>
  <c r="AD798" i="2"/>
  <c r="AC520" i="2"/>
  <c r="AC798" i="2"/>
  <c r="AB520" i="2"/>
  <c r="AB798" i="2"/>
  <c r="AA520" i="2"/>
  <c r="AA798" i="2"/>
  <c r="Z520" i="2"/>
  <c r="Z798" i="2"/>
  <c r="Y520" i="2"/>
  <c r="Y798" i="2"/>
  <c r="X520" i="2"/>
  <c r="X798" i="2"/>
  <c r="W520" i="2"/>
  <c r="W798" i="2"/>
  <c r="V520" i="2"/>
  <c r="V798" i="2"/>
  <c r="U520" i="2"/>
  <c r="U798" i="2"/>
  <c r="T520" i="2"/>
  <c r="T798" i="2"/>
  <c r="S520" i="2"/>
  <c r="S798" i="2"/>
  <c r="R520" i="2"/>
  <c r="R798" i="2"/>
  <c r="Q520" i="2"/>
  <c r="Q798" i="2"/>
  <c r="P520" i="2"/>
  <c r="P798" i="2"/>
  <c r="BS508" i="2"/>
  <c r="BN508" i="2"/>
  <c r="AY507" i="2"/>
  <c r="BH506" i="2"/>
  <c r="AR506" i="2"/>
  <c r="AH506" i="2"/>
  <c r="Z506" i="2"/>
  <c r="X506" i="2"/>
  <c r="BS504" i="2"/>
  <c r="BN504" i="2"/>
  <c r="BI504" i="2"/>
  <c r="BD504" i="2"/>
  <c r="AY504" i="2"/>
  <c r="AT504" i="2"/>
  <c r="AO504" i="2"/>
  <c r="AJ504" i="2"/>
  <c r="AE504" i="2"/>
  <c r="Z504" i="2"/>
  <c r="U504" i="2"/>
  <c r="P504" i="2"/>
  <c r="BS502" i="2"/>
  <c r="BN502" i="2"/>
  <c r="BH502" i="2"/>
  <c r="BC502" i="2"/>
  <c r="BB502" i="2"/>
  <c r="BA502" i="2"/>
  <c r="AZ502" i="2"/>
  <c r="AY502" i="2"/>
  <c r="AX502" i="2"/>
  <c r="AW502" i="2"/>
  <c r="AV502" i="2"/>
  <c r="AU502" i="2"/>
  <c r="AT502" i="2"/>
  <c r="AS502" i="2"/>
  <c r="AR502" i="2"/>
  <c r="AQ502" i="2"/>
  <c r="AP502" i="2"/>
  <c r="AI502" i="2"/>
  <c r="AH502" i="2"/>
  <c r="AG502" i="2"/>
  <c r="AF502" i="2"/>
  <c r="AE502" i="2"/>
  <c r="AD502" i="2"/>
  <c r="AC502" i="2"/>
  <c r="AB502" i="2"/>
  <c r="AA502" i="2"/>
  <c r="Z502" i="2"/>
  <c r="Y502" i="2"/>
  <c r="X502" i="2"/>
  <c r="W502" i="2"/>
  <c r="V502" i="2"/>
  <c r="BS501" i="2"/>
  <c r="BF501" i="2"/>
  <c r="BD501" i="2"/>
  <c r="BB501" i="2"/>
  <c r="AY501" i="2"/>
  <c r="AW501" i="2"/>
  <c r="AU501" i="2"/>
  <c r="AT501" i="2"/>
  <c r="AM501" i="2"/>
  <c r="AL501" i="2"/>
  <c r="AJ501" i="2"/>
  <c r="AG501" i="2"/>
  <c r="AF501" i="2"/>
  <c r="AC501" i="2"/>
  <c r="AB501" i="2"/>
  <c r="AA501" i="2"/>
  <c r="T501" i="2"/>
  <c r="P501" i="2"/>
  <c r="A500" i="2"/>
  <c r="A886" i="2"/>
  <c r="BI499" i="2"/>
  <c r="BG499" i="2"/>
  <c r="AZ499" i="2"/>
  <c r="AX499" i="2"/>
  <c r="AT499" i="2"/>
  <c r="AR499" i="2"/>
  <c r="AO499" i="2"/>
  <c r="AM499" i="2"/>
  <c r="AF499" i="2"/>
  <c r="Z499" i="2"/>
  <c r="X499" i="2"/>
  <c r="U499" i="2"/>
  <c r="T499" i="2"/>
  <c r="S499" i="2"/>
  <c r="BH488" i="2"/>
  <c r="BC488" i="2"/>
  <c r="AX488" i="2"/>
  <c r="AS488" i="2"/>
  <c r="AN488" i="2"/>
  <c r="AI488" i="2"/>
  <c r="AD488" i="2"/>
  <c r="Y488" i="2"/>
  <c r="T488" i="2"/>
  <c r="BH487" i="2"/>
  <c r="BC487" i="2"/>
  <c r="AX487" i="2"/>
  <c r="AS487" i="2"/>
  <c r="AN487" i="2"/>
  <c r="AI487" i="2"/>
  <c r="AD487" i="2"/>
  <c r="Y487" i="2"/>
  <c r="T487" i="2"/>
  <c r="BH481" i="2"/>
  <c r="BC481" i="2"/>
  <c r="AX481" i="2"/>
  <c r="AS481" i="2"/>
  <c r="AN481" i="2"/>
  <c r="AI481" i="2"/>
  <c r="AD481" i="2"/>
  <c r="Y481" i="2"/>
  <c r="T481" i="2"/>
  <c r="BH480" i="2"/>
  <c r="BC480" i="2"/>
  <c r="AX480" i="2"/>
  <c r="AS480" i="2"/>
  <c r="AN480" i="2"/>
  <c r="AI480" i="2"/>
  <c r="AD480" i="2"/>
  <c r="Y480" i="2"/>
  <c r="T480" i="2"/>
  <c r="BH478" i="2"/>
  <c r="BC478" i="2"/>
  <c r="AX478" i="2"/>
  <c r="AS478" i="2"/>
  <c r="AN478" i="2"/>
  <c r="AI478" i="2"/>
  <c r="AD478" i="2"/>
  <c r="Y478" i="2"/>
  <c r="T478" i="2"/>
  <c r="BH477" i="2"/>
  <c r="BC477" i="2"/>
  <c r="AX477" i="2"/>
  <c r="AS477" i="2"/>
  <c r="AS435" i="2"/>
  <c r="AN477" i="2"/>
  <c r="AI477" i="2"/>
  <c r="AD477" i="2"/>
  <c r="Y477" i="2"/>
  <c r="Y435" i="2"/>
  <c r="T477" i="2"/>
  <c r="BH475" i="2"/>
  <c r="BC475" i="2"/>
  <c r="AX475" i="2"/>
  <c r="AS475" i="2"/>
  <c r="AN475" i="2"/>
  <c r="AI475" i="2"/>
  <c r="AD475" i="2"/>
  <c r="Y475" i="2"/>
  <c r="T475" i="2"/>
  <c r="BH474" i="2"/>
  <c r="BC474" i="2"/>
  <c r="AX474" i="2"/>
  <c r="AS474" i="2"/>
  <c r="AN474" i="2"/>
  <c r="AI474" i="2"/>
  <c r="AD474" i="2"/>
  <c r="Y474" i="2"/>
  <c r="T474" i="2"/>
  <c r="BI471" i="2"/>
  <c r="BG471" i="2"/>
  <c r="BH467" i="2"/>
  <c r="BF471" i="2"/>
  <c r="BG467" i="2"/>
  <c r="BE471" i="2"/>
  <c r="BF467" i="2"/>
  <c r="BD471" i="2"/>
  <c r="BE467" i="2"/>
  <c r="BB471" i="2"/>
  <c r="BC467" i="2"/>
  <c r="BA471" i="2"/>
  <c r="AZ471" i="2"/>
  <c r="AY471" i="2"/>
  <c r="AW471" i="2"/>
  <c r="AX467" i="2"/>
  <c r="AV471" i="2"/>
  <c r="AU471" i="2"/>
  <c r="AT471" i="2"/>
  <c r="AU467" i="2"/>
  <c r="AR471" i="2"/>
  <c r="AQ471" i="2"/>
  <c r="AR467" i="2"/>
  <c r="AP471" i="2"/>
  <c r="AQ467" i="2"/>
  <c r="AO471" i="2"/>
  <c r="AP467" i="2"/>
  <c r="AM471" i="2"/>
  <c r="AN467" i="2"/>
  <c r="AL471" i="2"/>
  <c r="AK471" i="2"/>
  <c r="AJ471" i="2"/>
  <c r="AK467" i="2"/>
  <c r="AH471" i="2"/>
  <c r="AI467" i="2"/>
  <c r="AG471" i="2"/>
  <c r="AH467" i="2"/>
  <c r="AF471" i="2"/>
  <c r="AE471" i="2"/>
  <c r="AC471" i="2"/>
  <c r="AB471" i="2"/>
  <c r="AA471" i="2"/>
  <c r="AB467" i="2"/>
  <c r="Z471" i="2"/>
  <c r="AA467" i="2"/>
  <c r="X471" i="2"/>
  <c r="W471" i="2"/>
  <c r="X467" i="2"/>
  <c r="V471" i="2"/>
  <c r="W467" i="2"/>
  <c r="U471" i="2"/>
  <c r="V467" i="2"/>
  <c r="S471" i="2"/>
  <c r="R471" i="2"/>
  <c r="S467" i="2"/>
  <c r="Q471" i="2"/>
  <c r="R467" i="2"/>
  <c r="P471" i="2"/>
  <c r="Q467" i="2"/>
  <c r="BI470" i="2"/>
  <c r="BE470" i="2"/>
  <c r="BD470" i="2"/>
  <c r="AZ470" i="2"/>
  <c r="AY470" i="2"/>
  <c r="AU470" i="2"/>
  <c r="AT470" i="2"/>
  <c r="AP470" i="2"/>
  <c r="AO470" i="2"/>
  <c r="AK470" i="2"/>
  <c r="AJ470" i="2"/>
  <c r="AF470" i="2"/>
  <c r="AE470" i="2"/>
  <c r="AA470" i="2"/>
  <c r="Z470" i="2"/>
  <c r="V470" i="2"/>
  <c r="U470" i="2"/>
  <c r="Q470" i="2"/>
  <c r="P470" i="2"/>
  <c r="BI469" i="2"/>
  <c r="BE469" i="2"/>
  <c r="BD469" i="2"/>
  <c r="AZ469" i="2"/>
  <c r="AY469" i="2"/>
  <c r="AU469" i="2"/>
  <c r="AT469" i="2"/>
  <c r="AP469" i="2"/>
  <c r="AO469" i="2"/>
  <c r="AK469" i="2"/>
  <c r="AJ469" i="2"/>
  <c r="AF469" i="2"/>
  <c r="AE469" i="2"/>
  <c r="AA469" i="2"/>
  <c r="Z469" i="2"/>
  <c r="V469" i="2"/>
  <c r="U469" i="2"/>
  <c r="Q469" i="2"/>
  <c r="P469" i="2"/>
  <c r="BI468" i="2"/>
  <c r="BE468" i="2"/>
  <c r="BD468" i="2"/>
  <c r="AZ468" i="2"/>
  <c r="AY468" i="2"/>
  <c r="AU468" i="2"/>
  <c r="AT468" i="2"/>
  <c r="AP468" i="2"/>
  <c r="AO468" i="2"/>
  <c r="AK468" i="2"/>
  <c r="AJ468" i="2"/>
  <c r="AF468" i="2"/>
  <c r="AE468" i="2"/>
  <c r="AA468" i="2"/>
  <c r="Z468" i="2"/>
  <c r="V468" i="2"/>
  <c r="U468" i="2"/>
  <c r="Q468" i="2"/>
  <c r="P468" i="2"/>
  <c r="BB467" i="2"/>
  <c r="BA467" i="2"/>
  <c r="AZ467" i="2"/>
  <c r="AW467" i="2"/>
  <c r="AV467" i="2"/>
  <c r="AS467" i="2"/>
  <c r="AM467" i="2"/>
  <c r="AL467" i="2"/>
  <c r="AG467" i="2"/>
  <c r="AF467" i="2"/>
  <c r="AD467" i="2"/>
  <c r="AC467" i="2"/>
  <c r="Y467" i="2"/>
  <c r="T467" i="2"/>
  <c r="BH465" i="2"/>
  <c r="BH471" i="2"/>
  <c r="BC465" i="2"/>
  <c r="BC471" i="2"/>
  <c r="AX465" i="2"/>
  <c r="AX471" i="2"/>
  <c r="AS465" i="2"/>
  <c r="AS471" i="2"/>
  <c r="AN465" i="2"/>
  <c r="AN471" i="2"/>
  <c r="AI465" i="2"/>
  <c r="AI471" i="2"/>
  <c r="AD465" i="2"/>
  <c r="AD471" i="2"/>
  <c r="Y465" i="2"/>
  <c r="Y471" i="2"/>
  <c r="T465" i="2"/>
  <c r="T471" i="2"/>
  <c r="BH464" i="2"/>
  <c r="BC464" i="2"/>
  <c r="AX464" i="2"/>
  <c r="AS464" i="2"/>
  <c r="AN464" i="2"/>
  <c r="AI464" i="2"/>
  <c r="AD464" i="2"/>
  <c r="Y464" i="2"/>
  <c r="T464" i="2"/>
  <c r="BH463" i="2"/>
  <c r="BC463" i="2"/>
  <c r="AX463" i="2"/>
  <c r="AS463" i="2"/>
  <c r="AN463" i="2"/>
  <c r="AI463" i="2"/>
  <c r="AD463" i="2"/>
  <c r="Y463" i="2"/>
  <c r="T463" i="2"/>
  <c r="BH462" i="2"/>
  <c r="AS462" i="2"/>
  <c r="AN462" i="2"/>
  <c r="AI462" i="2"/>
  <c r="AD462" i="2"/>
  <c r="Y462" i="2"/>
  <c r="T462" i="2"/>
  <c r="BI461" i="2"/>
  <c r="BI467" i="2"/>
  <c r="BE461" i="2"/>
  <c r="BF461" i="2"/>
  <c r="BG461" i="2"/>
  <c r="BD461" i="2"/>
  <c r="BD467" i="2"/>
  <c r="AZ461" i="2"/>
  <c r="BA461" i="2"/>
  <c r="BB461" i="2"/>
  <c r="AY461" i="2"/>
  <c r="AY467" i="2"/>
  <c r="AU461" i="2"/>
  <c r="AV461" i="2"/>
  <c r="AW461" i="2"/>
  <c r="AT461" i="2"/>
  <c r="AT467" i="2"/>
  <c r="AP461" i="2"/>
  <c r="AQ461" i="2"/>
  <c r="AR461" i="2"/>
  <c r="AO461" i="2"/>
  <c r="AO467" i="2"/>
  <c r="AK461" i="2"/>
  <c r="AL461" i="2"/>
  <c r="AM461" i="2"/>
  <c r="AJ461" i="2"/>
  <c r="AJ467" i="2"/>
  <c r="AF461" i="2"/>
  <c r="AG461" i="2"/>
  <c r="AH461" i="2"/>
  <c r="AE461" i="2"/>
  <c r="AA461" i="2"/>
  <c r="AB461" i="2"/>
  <c r="AC461" i="2"/>
  <c r="Z461" i="2"/>
  <c r="Y461" i="2"/>
  <c r="V461" i="2"/>
  <c r="W461" i="2"/>
  <c r="X461" i="2"/>
  <c r="U461" i="2"/>
  <c r="T461" i="2"/>
  <c r="Q461" i="2"/>
  <c r="R461" i="2"/>
  <c r="S461" i="2"/>
  <c r="P461" i="2"/>
  <c r="BI458" i="2"/>
  <c r="BG458" i="2"/>
  <c r="BG470" i="2"/>
  <c r="BF458" i="2"/>
  <c r="BF470" i="2"/>
  <c r="BE458" i="2"/>
  <c r="BD458" i="2"/>
  <c r="BB458" i="2"/>
  <c r="BB470" i="2"/>
  <c r="BA458" i="2"/>
  <c r="BA470" i="2"/>
  <c r="AZ458" i="2"/>
  <c r="AY458" i="2"/>
  <c r="AW458" i="2"/>
  <c r="AW470" i="2"/>
  <c r="AV458" i="2"/>
  <c r="AV470" i="2"/>
  <c r="AU458" i="2"/>
  <c r="AT458" i="2"/>
  <c r="AR458" i="2"/>
  <c r="AR470" i="2"/>
  <c r="AQ458" i="2"/>
  <c r="AQ470" i="2"/>
  <c r="AP458" i="2"/>
  <c r="AO458" i="2"/>
  <c r="AM458" i="2"/>
  <c r="AM470" i="2"/>
  <c r="AL458" i="2"/>
  <c r="AL470" i="2"/>
  <c r="AK458" i="2"/>
  <c r="AJ458" i="2"/>
  <c r="AH458" i="2"/>
  <c r="AH470" i="2"/>
  <c r="AG458" i="2"/>
  <c r="AG470" i="2"/>
  <c r="AF458" i="2"/>
  <c r="AE458" i="2"/>
  <c r="AC458" i="2"/>
  <c r="AC470" i="2"/>
  <c r="AB458" i="2"/>
  <c r="AB470" i="2"/>
  <c r="AA458" i="2"/>
  <c r="Z458" i="2"/>
  <c r="X458" i="2"/>
  <c r="X470" i="2"/>
  <c r="W458" i="2"/>
  <c r="W470" i="2"/>
  <c r="V458" i="2"/>
  <c r="U458" i="2"/>
  <c r="S458" i="2"/>
  <c r="S470" i="2"/>
  <c r="R458" i="2"/>
  <c r="R470" i="2"/>
  <c r="Q458" i="2"/>
  <c r="P458" i="2"/>
  <c r="BI457" i="2"/>
  <c r="BG457" i="2"/>
  <c r="BG469" i="2"/>
  <c r="BF457" i="2"/>
  <c r="BF469" i="2"/>
  <c r="BE457" i="2"/>
  <c r="BD457" i="2"/>
  <c r="BB457" i="2"/>
  <c r="BB469" i="2"/>
  <c r="BA457" i="2"/>
  <c r="BA469" i="2"/>
  <c r="AZ457" i="2"/>
  <c r="AY457" i="2"/>
  <c r="AW457" i="2"/>
  <c r="AW469" i="2"/>
  <c r="AV457" i="2"/>
  <c r="AV469" i="2"/>
  <c r="AU457" i="2"/>
  <c r="AT457" i="2"/>
  <c r="AR457" i="2"/>
  <c r="AR469" i="2"/>
  <c r="AQ457" i="2"/>
  <c r="AQ469" i="2"/>
  <c r="AP457" i="2"/>
  <c r="AO457" i="2"/>
  <c r="AM457" i="2"/>
  <c r="AM469" i="2"/>
  <c r="AL457" i="2"/>
  <c r="AL469" i="2"/>
  <c r="AK457" i="2"/>
  <c r="AJ457" i="2"/>
  <c r="AH457" i="2"/>
  <c r="AH469" i="2"/>
  <c r="AG457" i="2"/>
  <c r="AG469" i="2"/>
  <c r="AF457" i="2"/>
  <c r="AE457" i="2"/>
  <c r="AC457" i="2"/>
  <c r="AC469" i="2"/>
  <c r="AB457" i="2"/>
  <c r="AB469" i="2"/>
  <c r="AA457" i="2"/>
  <c r="Z457" i="2"/>
  <c r="X457" i="2"/>
  <c r="X469" i="2"/>
  <c r="W457" i="2"/>
  <c r="W469" i="2"/>
  <c r="V457" i="2"/>
  <c r="U457" i="2"/>
  <c r="S457" i="2"/>
  <c r="S469" i="2"/>
  <c r="R457" i="2"/>
  <c r="R469" i="2"/>
  <c r="Q457" i="2"/>
  <c r="P457" i="2"/>
  <c r="BI456" i="2"/>
  <c r="BG456" i="2"/>
  <c r="BG468" i="2"/>
  <c r="BF456" i="2"/>
  <c r="BF468" i="2"/>
  <c r="BE456" i="2"/>
  <c r="BD456" i="2"/>
  <c r="BC456" i="2"/>
  <c r="BC468" i="2"/>
  <c r="BB456" i="2"/>
  <c r="BB468" i="2"/>
  <c r="BA456" i="2"/>
  <c r="BA468" i="2"/>
  <c r="AZ456" i="2"/>
  <c r="AY456" i="2"/>
  <c r="AX456" i="2"/>
  <c r="AX468" i="2"/>
  <c r="AW456" i="2"/>
  <c r="AW468" i="2"/>
  <c r="AV456" i="2"/>
  <c r="AV468" i="2"/>
  <c r="AU456" i="2"/>
  <c r="AT456" i="2"/>
  <c r="AR456" i="2"/>
  <c r="AR468" i="2"/>
  <c r="AQ456" i="2"/>
  <c r="AQ468" i="2"/>
  <c r="AP456" i="2"/>
  <c r="AO456" i="2"/>
  <c r="AM456" i="2"/>
  <c r="AM468" i="2"/>
  <c r="AL456" i="2"/>
  <c r="AL468" i="2"/>
  <c r="AK456" i="2"/>
  <c r="AJ456" i="2"/>
  <c r="AH456" i="2"/>
  <c r="AH468" i="2"/>
  <c r="AG456" i="2"/>
  <c r="AG468" i="2"/>
  <c r="AF456" i="2"/>
  <c r="AE456" i="2"/>
  <c r="AC456" i="2"/>
  <c r="AC468" i="2"/>
  <c r="AB456" i="2"/>
  <c r="AB468" i="2"/>
  <c r="AA456" i="2"/>
  <c r="Z456" i="2"/>
  <c r="X456" i="2"/>
  <c r="X468" i="2"/>
  <c r="W456" i="2"/>
  <c r="W468" i="2"/>
  <c r="V456" i="2"/>
  <c r="U456" i="2"/>
  <c r="S456" i="2"/>
  <c r="S468" i="2"/>
  <c r="R456" i="2"/>
  <c r="R468" i="2"/>
  <c r="Q456" i="2"/>
  <c r="P456" i="2"/>
  <c r="BH452" i="2"/>
  <c r="BH458" i="2"/>
  <c r="BC452" i="2"/>
  <c r="BC458" i="2"/>
  <c r="AX452" i="2"/>
  <c r="AS452" i="2"/>
  <c r="AN452" i="2"/>
  <c r="AI452" i="2"/>
  <c r="AD452" i="2"/>
  <c r="Y452" i="2"/>
  <c r="Y458" i="2"/>
  <c r="T452" i="2"/>
  <c r="BH451" i="2"/>
  <c r="BH457" i="2"/>
  <c r="BC451" i="2"/>
  <c r="BC457" i="2"/>
  <c r="AX451" i="2"/>
  <c r="AX457" i="2"/>
  <c r="AS451" i="2"/>
  <c r="AN451" i="2"/>
  <c r="AN457" i="2"/>
  <c r="AI451" i="2"/>
  <c r="AI457" i="2"/>
  <c r="AD451" i="2"/>
  <c r="AD457" i="2"/>
  <c r="Y451" i="2"/>
  <c r="T451" i="2"/>
  <c r="T457" i="2"/>
  <c r="T469" i="2"/>
  <c r="BH450" i="2"/>
  <c r="AS450" i="2"/>
  <c r="AN450" i="2"/>
  <c r="AN456" i="2"/>
  <c r="AN468" i="2"/>
  <c r="AI450" i="2"/>
  <c r="AI456" i="2"/>
  <c r="AD450" i="2"/>
  <c r="Y450" i="2"/>
  <c r="Y456" i="2"/>
  <c r="T450" i="2"/>
  <c r="T456" i="2"/>
  <c r="BI435" i="2"/>
  <c r="BH435" i="2"/>
  <c r="BJ435" i="2"/>
  <c r="BK435" i="2"/>
  <c r="BL435" i="2"/>
  <c r="BM435" i="2"/>
  <c r="BG435" i="2"/>
  <c r="BF435" i="2"/>
  <c r="BE435" i="2"/>
  <c r="BD435" i="2"/>
  <c r="BC435" i="2"/>
  <c r="BB435" i="2"/>
  <c r="BA435" i="2"/>
  <c r="AZ435" i="2"/>
  <c r="AY435" i="2"/>
  <c r="AX435" i="2"/>
  <c r="AW435" i="2"/>
  <c r="AV435" i="2"/>
  <c r="AU435" i="2"/>
  <c r="AT435" i="2"/>
  <c r="AR435" i="2"/>
  <c r="AQ435" i="2"/>
  <c r="AP435" i="2"/>
  <c r="AO435" i="2"/>
  <c r="AN435" i="2"/>
  <c r="AM435" i="2"/>
  <c r="AL435" i="2"/>
  <c r="AK435" i="2"/>
  <c r="AJ435" i="2"/>
  <c r="AI435" i="2"/>
  <c r="AH435" i="2"/>
  <c r="AG435" i="2"/>
  <c r="AF435" i="2"/>
  <c r="AE435" i="2"/>
  <c r="AD435" i="2"/>
  <c r="AC435" i="2"/>
  <c r="AB435" i="2"/>
  <c r="AA435" i="2"/>
  <c r="Z435" i="2"/>
  <c r="X435" i="2"/>
  <c r="W435" i="2"/>
  <c r="V435" i="2"/>
  <c r="U435" i="2"/>
  <c r="T435" i="2"/>
  <c r="S435" i="2"/>
  <c r="R435" i="2"/>
  <c r="Q435" i="2"/>
  <c r="P435" i="2"/>
  <c r="A435" i="2"/>
  <c r="BI434" i="2"/>
  <c r="BG434" i="2"/>
  <c r="BG436" i="2"/>
  <c r="BG442" i="2"/>
  <c r="BF434" i="2"/>
  <c r="BF436" i="2"/>
  <c r="BE434" i="2"/>
  <c r="BE436" i="2"/>
  <c r="BD434" i="2"/>
  <c r="BD436" i="2"/>
  <c r="BB434" i="2"/>
  <c r="BB436" i="2"/>
  <c r="BA434" i="2"/>
  <c r="AZ434" i="2"/>
  <c r="AY434" i="2"/>
  <c r="AY436" i="2"/>
  <c r="AW434" i="2"/>
  <c r="AV434" i="2"/>
  <c r="AU434" i="2"/>
  <c r="AU436" i="2"/>
  <c r="AT434" i="2"/>
  <c r="AT436" i="2"/>
  <c r="AR434" i="2"/>
  <c r="AQ434" i="2"/>
  <c r="AP434" i="2"/>
  <c r="AP436" i="2"/>
  <c r="AO434" i="2"/>
  <c r="AM434" i="2"/>
  <c r="AM436" i="2"/>
  <c r="AL434" i="2"/>
  <c r="AK434" i="2"/>
  <c r="AK436" i="2"/>
  <c r="AJ434" i="2"/>
  <c r="AH434" i="2"/>
  <c r="AH436" i="2"/>
  <c r="AG434" i="2"/>
  <c r="AF434" i="2"/>
  <c r="AE434" i="2"/>
  <c r="AC434" i="2"/>
  <c r="AB434" i="2"/>
  <c r="AA434" i="2"/>
  <c r="Z434" i="2"/>
  <c r="Z436" i="2"/>
  <c r="X434" i="2"/>
  <c r="X436" i="2"/>
  <c r="W434" i="2"/>
  <c r="W436" i="2"/>
  <c r="V434" i="2"/>
  <c r="U434" i="2"/>
  <c r="S434" i="2"/>
  <c r="R434" i="2"/>
  <c r="Q434" i="2"/>
  <c r="Q436" i="2"/>
  <c r="P434" i="2"/>
  <c r="BH433" i="2"/>
  <c r="BC433" i="2"/>
  <c r="AX433" i="2"/>
  <c r="AS433" i="2"/>
  <c r="AN433" i="2"/>
  <c r="AI433" i="2"/>
  <c r="AD433" i="2"/>
  <c r="Y433" i="2"/>
  <c r="T433" i="2"/>
  <c r="BH432" i="2"/>
  <c r="BC432" i="2"/>
  <c r="AX432" i="2"/>
  <c r="AS432" i="2"/>
  <c r="AN432" i="2"/>
  <c r="AI432" i="2"/>
  <c r="AD432" i="2"/>
  <c r="AD434" i="2"/>
  <c r="AD436" i="2"/>
  <c r="Y432" i="2"/>
  <c r="Y434" i="2"/>
  <c r="Y436" i="2"/>
  <c r="T432" i="2"/>
  <c r="BH430" i="2"/>
  <c r="BF430" i="2"/>
  <c r="BF472" i="2"/>
  <c r="BF483" i="2"/>
  <c r="BF490" i="2"/>
  <c r="AZ430" i="2"/>
  <c r="AZ472" i="2"/>
  <c r="AZ483" i="2"/>
  <c r="AT430" i="2"/>
  <c r="AT472" i="2"/>
  <c r="AT483" i="2"/>
  <c r="AT490" i="2"/>
  <c r="AJ430" i="2"/>
  <c r="AA430" i="2"/>
  <c r="Z430" i="2"/>
  <c r="T430" i="2"/>
  <c r="BI429" i="2"/>
  <c r="BG429" i="2"/>
  <c r="BF429" i="2"/>
  <c r="BE429" i="2"/>
  <c r="BD429" i="2"/>
  <c r="BB429" i="2"/>
  <c r="BA429" i="2"/>
  <c r="AZ429" i="2"/>
  <c r="AY429" i="2"/>
  <c r="AW429" i="2"/>
  <c r="AV429" i="2"/>
  <c r="AU429" i="2"/>
  <c r="AT429" i="2"/>
  <c r="AR429" i="2"/>
  <c r="AQ429" i="2"/>
  <c r="AP429" i="2"/>
  <c r="AO429" i="2"/>
  <c r="AM429" i="2"/>
  <c r="AL429" i="2"/>
  <c r="AK429" i="2"/>
  <c r="AJ429" i="2"/>
  <c r="AH429" i="2"/>
  <c r="AG429" i="2"/>
  <c r="AF429" i="2"/>
  <c r="AE429" i="2"/>
  <c r="AC429" i="2"/>
  <c r="AB429" i="2"/>
  <c r="AA429" i="2"/>
  <c r="Z429" i="2"/>
  <c r="X429" i="2"/>
  <c r="W429" i="2"/>
  <c r="V429" i="2"/>
  <c r="U429" i="2"/>
  <c r="S429" i="2"/>
  <c r="R429" i="2"/>
  <c r="Q429" i="2"/>
  <c r="P429" i="2"/>
  <c r="BI426" i="2"/>
  <c r="BH426" i="2"/>
  <c r="BG426" i="2"/>
  <c r="BF426" i="2"/>
  <c r="BE426" i="2"/>
  <c r="BD426" i="2"/>
  <c r="BC426" i="2"/>
  <c r="BB426" i="2"/>
  <c r="BA426" i="2"/>
  <c r="AZ426" i="2"/>
  <c r="AY426" i="2"/>
  <c r="AX426" i="2"/>
  <c r="AP426" i="2"/>
  <c r="AO426" i="2"/>
  <c r="AN426" i="2"/>
  <c r="AM426" i="2"/>
  <c r="AL426" i="2"/>
  <c r="AK426" i="2"/>
  <c r="AJ426" i="2"/>
  <c r="AI426" i="2"/>
  <c r="AH426" i="2"/>
  <c r="AG426" i="2"/>
  <c r="AF426" i="2"/>
  <c r="AE426" i="2"/>
  <c r="AD426" i="2"/>
  <c r="AC426" i="2"/>
  <c r="AB426" i="2"/>
  <c r="AA426" i="2"/>
  <c r="Z426" i="2"/>
  <c r="Y426" i="2"/>
  <c r="X426" i="2"/>
  <c r="W426" i="2"/>
  <c r="V426" i="2"/>
  <c r="U426" i="2"/>
  <c r="T426" i="2"/>
  <c r="S426" i="2"/>
  <c r="R426" i="2"/>
  <c r="Q426" i="2"/>
  <c r="P426" i="2"/>
  <c r="A422" i="2"/>
  <c r="A884" i="2"/>
  <c r="BS412" i="2"/>
  <c r="BN412" i="2"/>
  <c r="BI412" i="2"/>
  <c r="BH412" i="2"/>
  <c r="BG412" i="2"/>
  <c r="BF412" i="2"/>
  <c r="BE412" i="2"/>
  <c r="BD412" i="2"/>
  <c r="BC412" i="2"/>
  <c r="BB412" i="2"/>
  <c r="BA412" i="2"/>
  <c r="AZ412" i="2"/>
  <c r="AY412" i="2"/>
  <c r="AX412" i="2"/>
  <c r="AW412" i="2"/>
  <c r="AV412" i="2"/>
  <c r="AU412" i="2"/>
  <c r="AT412" i="2"/>
  <c r="AS412" i="2"/>
  <c r="AR412" i="2"/>
  <c r="AQ412" i="2"/>
  <c r="AP412" i="2"/>
  <c r="AO412" i="2"/>
  <c r="AN412" i="2"/>
  <c r="AM412" i="2"/>
  <c r="AL412" i="2"/>
  <c r="AK412" i="2"/>
  <c r="AJ412" i="2"/>
  <c r="AH412" i="2"/>
  <c r="AG412" i="2"/>
  <c r="AF412" i="2"/>
  <c r="AE412" i="2"/>
  <c r="AD412" i="2"/>
  <c r="AC412" i="2"/>
  <c r="AB412" i="2"/>
  <c r="AA412" i="2"/>
  <c r="Z412" i="2"/>
  <c r="Y412" i="2"/>
  <c r="X412" i="2"/>
  <c r="W412" i="2"/>
  <c r="V412" i="2"/>
  <c r="U412" i="2"/>
  <c r="T412" i="2"/>
  <c r="S412" i="2"/>
  <c r="R412" i="2"/>
  <c r="Q412" i="2"/>
  <c r="P412" i="2"/>
  <c r="BS410" i="2"/>
  <c r="BN410" i="2"/>
  <c r="BI408" i="2"/>
  <c r="BI503" i="2"/>
  <c r="BH408" i="2"/>
  <c r="BH503" i="2"/>
  <c r="BG408" i="2"/>
  <c r="BG503" i="2"/>
  <c r="BF408" i="2"/>
  <c r="BF503" i="2"/>
  <c r="BE408" i="2"/>
  <c r="BE503" i="2"/>
  <c r="BD408" i="2"/>
  <c r="BC408" i="2"/>
  <c r="BB408" i="2"/>
  <c r="BA408" i="2"/>
  <c r="AZ408" i="2"/>
  <c r="AZ503" i="2"/>
  <c r="AY408" i="2"/>
  <c r="AY503" i="2"/>
  <c r="AX408" i="2"/>
  <c r="AW408" i="2"/>
  <c r="AW503" i="2"/>
  <c r="AV408" i="2"/>
  <c r="AV503" i="2"/>
  <c r="AU408" i="2"/>
  <c r="AT408" i="2"/>
  <c r="AS408" i="2"/>
  <c r="AS503" i="2"/>
  <c r="AR408" i="2"/>
  <c r="AR503" i="2"/>
  <c r="AQ408" i="2"/>
  <c r="AQ503" i="2"/>
  <c r="AP408" i="2"/>
  <c r="AO408" i="2"/>
  <c r="AO503" i="2"/>
  <c r="AN408" i="2"/>
  <c r="AN503" i="2"/>
  <c r="AM408" i="2"/>
  <c r="AM503" i="2"/>
  <c r="AL408" i="2"/>
  <c r="AL503" i="2"/>
  <c r="AK408" i="2"/>
  <c r="AK503" i="2"/>
  <c r="AJ408" i="2"/>
  <c r="AI408" i="2"/>
  <c r="AH408" i="2"/>
  <c r="AG408" i="2"/>
  <c r="AF408" i="2"/>
  <c r="AF503" i="2"/>
  <c r="AE408" i="2"/>
  <c r="AE503" i="2"/>
  <c r="AD408" i="2"/>
  <c r="AC408" i="2"/>
  <c r="AC503" i="2"/>
  <c r="AB408" i="2"/>
  <c r="AB503" i="2"/>
  <c r="AA408" i="2"/>
  <c r="Z408" i="2"/>
  <c r="Y408" i="2"/>
  <c r="Y503" i="2"/>
  <c r="X408" i="2"/>
  <c r="X503" i="2"/>
  <c r="W408" i="2"/>
  <c r="W503" i="2"/>
  <c r="V408" i="2"/>
  <c r="V503" i="2"/>
  <c r="U408" i="2"/>
  <c r="U503" i="2"/>
  <c r="T408" i="2"/>
  <c r="T503" i="2"/>
  <c r="S408" i="2"/>
  <c r="S503" i="2"/>
  <c r="R408" i="2"/>
  <c r="R503" i="2"/>
  <c r="Q408" i="2"/>
  <c r="Q503" i="2"/>
  <c r="P408" i="2"/>
  <c r="BS407" i="2"/>
  <c r="BN407" i="2"/>
  <c r="BS406" i="2"/>
  <c r="BN406" i="2"/>
  <c r="BI404" i="2"/>
  <c r="BH404" i="2"/>
  <c r="BG404" i="2"/>
  <c r="BC404" i="2"/>
  <c r="BB404" i="2"/>
  <c r="BA404" i="2"/>
  <c r="BA403" i="2"/>
  <c r="AZ404" i="2"/>
  <c r="AZ403" i="2"/>
  <c r="AU404" i="2"/>
  <c r="AT404" i="2"/>
  <c r="AS404" i="2"/>
  <c r="AR404" i="2"/>
  <c r="AQ404" i="2"/>
  <c r="AP404" i="2"/>
  <c r="AP403" i="2"/>
  <c r="AO404" i="2"/>
  <c r="AM404" i="2"/>
  <c r="AJ404" i="2"/>
  <c r="AH404" i="2"/>
  <c r="AH403" i="2"/>
  <c r="AG404" i="2"/>
  <c r="AG403" i="2"/>
  <c r="AF404" i="2"/>
  <c r="AF403" i="2"/>
  <c r="AE404" i="2"/>
  <c r="AA404" i="2"/>
  <c r="AA403" i="2"/>
  <c r="Z404" i="2"/>
  <c r="Z403" i="2"/>
  <c r="X404" i="2"/>
  <c r="W404" i="2"/>
  <c r="W403" i="2"/>
  <c r="V404" i="2"/>
  <c r="U404" i="2"/>
  <c r="T404" i="2"/>
  <c r="P404" i="2"/>
  <c r="P403" i="2"/>
  <c r="BI403" i="2"/>
  <c r="BG403" i="2"/>
  <c r="BB403" i="2"/>
  <c r="AR403" i="2"/>
  <c r="AQ403" i="2"/>
  <c r="AO403" i="2"/>
  <c r="AJ403" i="2"/>
  <c r="X403" i="2"/>
  <c r="V403" i="2"/>
  <c r="U403" i="2"/>
  <c r="T403" i="2"/>
  <c r="BS400" i="2"/>
  <c r="BN400" i="2"/>
  <c r="BI400" i="2"/>
  <c r="BG400" i="2"/>
  <c r="BF400" i="2"/>
  <c r="BE400" i="2"/>
  <c r="BD400" i="2"/>
  <c r="BB400" i="2"/>
  <c r="BA400" i="2"/>
  <c r="AZ400" i="2"/>
  <c r="AY400" i="2"/>
  <c r="AW400" i="2"/>
  <c r="AV400" i="2"/>
  <c r="AU400" i="2"/>
  <c r="AT400" i="2"/>
  <c r="AR400" i="2"/>
  <c r="AQ400" i="2"/>
  <c r="AP400" i="2"/>
  <c r="AO400" i="2"/>
  <c r="AM400" i="2"/>
  <c r="AL400" i="2"/>
  <c r="AK400" i="2"/>
  <c r="AJ400" i="2"/>
  <c r="AI400" i="2"/>
  <c r="AH400" i="2"/>
  <c r="AG400" i="2"/>
  <c r="AF400" i="2"/>
  <c r="AE400" i="2"/>
  <c r="AD400" i="2"/>
  <c r="AC400" i="2"/>
  <c r="AB400" i="2"/>
  <c r="AA400" i="2"/>
  <c r="Z400" i="2"/>
  <c r="Y400" i="2"/>
  <c r="X400" i="2"/>
  <c r="W400" i="2"/>
  <c r="V400" i="2"/>
  <c r="U400" i="2"/>
  <c r="T400" i="2"/>
  <c r="S400" i="2"/>
  <c r="R400" i="2"/>
  <c r="Q400" i="2"/>
  <c r="P400" i="2"/>
  <c r="BV399" i="2"/>
  <c r="BU399" i="2"/>
  <c r="BT399" i="2"/>
  <c r="BR399" i="2"/>
  <c r="BQ399" i="2"/>
  <c r="BP399" i="2"/>
  <c r="BO399" i="2"/>
  <c r="BM399" i="2"/>
  <c r="BL399" i="2"/>
  <c r="BK399" i="2"/>
  <c r="BJ399" i="2"/>
  <c r="BI399" i="2"/>
  <c r="BG399" i="2"/>
  <c r="BF399" i="2"/>
  <c r="BE399" i="2"/>
  <c r="BD399" i="2"/>
  <c r="BB399" i="2"/>
  <c r="BA399" i="2"/>
  <c r="AZ399" i="2"/>
  <c r="AY399" i="2"/>
  <c r="AW399" i="2"/>
  <c r="AV399" i="2"/>
  <c r="AU399" i="2"/>
  <c r="AT399" i="2"/>
  <c r="AR399" i="2"/>
  <c r="AQ399" i="2"/>
  <c r="AP399" i="2"/>
  <c r="AO399" i="2"/>
  <c r="AM399" i="2"/>
  <c r="AL399" i="2"/>
  <c r="AK399" i="2"/>
  <c r="AJ399" i="2"/>
  <c r="AI399" i="2"/>
  <c r="AH399" i="2"/>
  <c r="AG399" i="2"/>
  <c r="AF399" i="2"/>
  <c r="AE399" i="2"/>
  <c r="AD399" i="2"/>
  <c r="AC399" i="2"/>
  <c r="AB399" i="2"/>
  <c r="AA399" i="2"/>
  <c r="Z399" i="2"/>
  <c r="Y399" i="2"/>
  <c r="X399" i="2"/>
  <c r="W399" i="2"/>
  <c r="V399" i="2"/>
  <c r="U399" i="2"/>
  <c r="T399" i="2"/>
  <c r="S399" i="2"/>
  <c r="R399" i="2"/>
  <c r="Q399" i="2"/>
  <c r="P399" i="2"/>
  <c r="BI398" i="2"/>
  <c r="BI531" i="2"/>
  <c r="BG398" i="2"/>
  <c r="BG531" i="2"/>
  <c r="BF398" i="2"/>
  <c r="BF531" i="2"/>
  <c r="BE398" i="2"/>
  <c r="BE531" i="2"/>
  <c r="BD398" i="2"/>
  <c r="BD531" i="2"/>
  <c r="BB398" i="2"/>
  <c r="BB531" i="2"/>
  <c r="BA398" i="2"/>
  <c r="BA531" i="2"/>
  <c r="AZ398" i="2"/>
  <c r="AZ531" i="2"/>
  <c r="AY398" i="2"/>
  <c r="AY531" i="2"/>
  <c r="AW398" i="2"/>
  <c r="AW531" i="2"/>
  <c r="AV398" i="2"/>
  <c r="AV531" i="2"/>
  <c r="AU398" i="2"/>
  <c r="AU531" i="2"/>
  <c r="AT398" i="2"/>
  <c r="AT531" i="2"/>
  <c r="AR398" i="2"/>
  <c r="AR531" i="2"/>
  <c r="AQ398" i="2"/>
  <c r="AQ531" i="2"/>
  <c r="AP398" i="2"/>
  <c r="AP531" i="2"/>
  <c r="AO398" i="2"/>
  <c r="AO531" i="2"/>
  <c r="AM398" i="2"/>
  <c r="AM531" i="2"/>
  <c r="AL398" i="2"/>
  <c r="AL531" i="2"/>
  <c r="AK398" i="2"/>
  <c r="AK531" i="2"/>
  <c r="AK532" i="2"/>
  <c r="AJ398" i="2"/>
  <c r="AJ531" i="2"/>
  <c r="AI398" i="2"/>
  <c r="AI531" i="2"/>
  <c r="AH398" i="2"/>
  <c r="AH531" i="2"/>
  <c r="AG398" i="2"/>
  <c r="AG531" i="2"/>
  <c r="AF398" i="2"/>
  <c r="AF531" i="2"/>
  <c r="AE398" i="2"/>
  <c r="AE531" i="2"/>
  <c r="AD398" i="2"/>
  <c r="AD531" i="2"/>
  <c r="AC398" i="2"/>
  <c r="AC531" i="2"/>
  <c r="AB398" i="2"/>
  <c r="AB531" i="2"/>
  <c r="AA398" i="2"/>
  <c r="AA531" i="2"/>
  <c r="Z398" i="2"/>
  <c r="Z531" i="2"/>
  <c r="Y398" i="2"/>
  <c r="Y531" i="2"/>
  <c r="Y532" i="2"/>
  <c r="X398" i="2"/>
  <c r="X531" i="2"/>
  <c r="X532" i="2"/>
  <c r="W398" i="2"/>
  <c r="W531" i="2"/>
  <c r="V398" i="2"/>
  <c r="V531" i="2"/>
  <c r="U398" i="2"/>
  <c r="U531" i="2"/>
  <c r="T398" i="2"/>
  <c r="T531" i="2"/>
  <c r="S398" i="2"/>
  <c r="S531" i="2"/>
  <c r="R398" i="2"/>
  <c r="R531" i="2"/>
  <c r="Q398" i="2"/>
  <c r="Q531" i="2"/>
  <c r="P398" i="2"/>
  <c r="P531" i="2"/>
  <c r="BS393" i="2"/>
  <c r="BN393" i="2"/>
  <c r="BI393" i="2"/>
  <c r="BG393" i="2"/>
  <c r="BC393" i="2"/>
  <c r="BB393" i="2"/>
  <c r="BA393" i="2"/>
  <c r="AZ393" i="2"/>
  <c r="AY393" i="2"/>
  <c r="AX393" i="2"/>
  <c r="AW393" i="2"/>
  <c r="AT393" i="2"/>
  <c r="AQ393" i="2"/>
  <c r="AO393" i="2"/>
  <c r="AM393" i="2"/>
  <c r="AI393" i="2"/>
  <c r="AH393" i="2"/>
  <c r="AG393" i="2"/>
  <c r="AF393" i="2"/>
  <c r="AE393" i="2"/>
  <c r="Z393" i="2"/>
  <c r="Y393" i="2"/>
  <c r="X393" i="2"/>
  <c r="W393" i="2"/>
  <c r="U393" i="2"/>
  <c r="T393" i="2"/>
  <c r="S393" i="2"/>
  <c r="BI392" i="2"/>
  <c r="BI737" i="2"/>
  <c r="BG392" i="2"/>
  <c r="BG737" i="2"/>
  <c r="BF392" i="2"/>
  <c r="BF737" i="2"/>
  <c r="BE392" i="2"/>
  <c r="BE737" i="2"/>
  <c r="BD392" i="2"/>
  <c r="BD737" i="2"/>
  <c r="BB392" i="2"/>
  <c r="BB737" i="2"/>
  <c r="BA392" i="2"/>
  <c r="BA737" i="2"/>
  <c r="AZ392" i="2"/>
  <c r="AZ737" i="2"/>
  <c r="AY392" i="2"/>
  <c r="AY737" i="2"/>
  <c r="AW392" i="2"/>
  <c r="AW737" i="2"/>
  <c r="AV392" i="2"/>
  <c r="AV737" i="2"/>
  <c r="AU392" i="2"/>
  <c r="AU737" i="2"/>
  <c r="AT392" i="2"/>
  <c r="AT737" i="2"/>
  <c r="AR392" i="2"/>
  <c r="AR737" i="2"/>
  <c r="AQ392" i="2"/>
  <c r="AQ737" i="2"/>
  <c r="AP392" i="2"/>
  <c r="AP737" i="2"/>
  <c r="AO392" i="2"/>
  <c r="AO737" i="2"/>
  <c r="AM392" i="2"/>
  <c r="AM737" i="2"/>
  <c r="AL392" i="2"/>
  <c r="AL737" i="2"/>
  <c r="AK392" i="2"/>
  <c r="AK737" i="2"/>
  <c r="AJ392" i="2"/>
  <c r="AJ737" i="2"/>
  <c r="AI392" i="2"/>
  <c r="AI737" i="2"/>
  <c r="AH392" i="2"/>
  <c r="AH737" i="2"/>
  <c r="AG392" i="2"/>
  <c r="AG737" i="2"/>
  <c r="AF392" i="2"/>
  <c r="AF737" i="2"/>
  <c r="AE392" i="2"/>
  <c r="AE737" i="2"/>
  <c r="AD392" i="2"/>
  <c r="AD737" i="2"/>
  <c r="AC392" i="2"/>
  <c r="AC737" i="2"/>
  <c r="AB392" i="2"/>
  <c r="AB737" i="2"/>
  <c r="AA392" i="2"/>
  <c r="AA737" i="2"/>
  <c r="Z392" i="2"/>
  <c r="Z737" i="2"/>
  <c r="Y392" i="2"/>
  <c r="Y737" i="2"/>
  <c r="X392" i="2"/>
  <c r="X737" i="2"/>
  <c r="W392" i="2"/>
  <c r="W737" i="2"/>
  <c r="V392" i="2"/>
  <c r="V737" i="2"/>
  <c r="U392" i="2"/>
  <c r="U737" i="2"/>
  <c r="T392" i="2"/>
  <c r="T737" i="2"/>
  <c r="S392" i="2"/>
  <c r="S737" i="2"/>
  <c r="R392" i="2"/>
  <c r="R737" i="2"/>
  <c r="Q392" i="2"/>
  <c r="Q737" i="2"/>
  <c r="P392" i="2"/>
  <c r="P737" i="2"/>
  <c r="BI387" i="2"/>
  <c r="BG387" i="2"/>
  <c r="BF387" i="2"/>
  <c r="BE387" i="2"/>
  <c r="BD387" i="2"/>
  <c r="BB387" i="2"/>
  <c r="BA387" i="2"/>
  <c r="AZ387" i="2"/>
  <c r="AY387" i="2"/>
  <c r="AW387" i="2"/>
  <c r="AV387" i="2"/>
  <c r="AU387" i="2"/>
  <c r="AT387" i="2"/>
  <c r="AR387" i="2"/>
  <c r="AQ387" i="2"/>
  <c r="AP387" i="2"/>
  <c r="AO387" i="2"/>
  <c r="AM387" i="2"/>
  <c r="AL387" i="2"/>
  <c r="AK387" i="2"/>
  <c r="AJ387" i="2"/>
  <c r="AI387" i="2"/>
  <c r="AH387" i="2"/>
  <c r="AG387" i="2"/>
  <c r="AF387" i="2"/>
  <c r="AE387" i="2"/>
  <c r="AD387" i="2"/>
  <c r="AC387" i="2"/>
  <c r="AB387" i="2"/>
  <c r="AA387" i="2"/>
  <c r="Z387" i="2"/>
  <c r="Y387" i="2"/>
  <c r="X387" i="2"/>
  <c r="W387" i="2"/>
  <c r="V387" i="2"/>
  <c r="U387" i="2"/>
  <c r="T387" i="2"/>
  <c r="S387" i="2"/>
  <c r="R387" i="2"/>
  <c r="Q387" i="2"/>
  <c r="P387" i="2"/>
  <c r="BI386" i="2"/>
  <c r="BG386" i="2"/>
  <c r="BF386" i="2"/>
  <c r="BE386" i="2"/>
  <c r="BD386" i="2"/>
  <c r="BB386" i="2"/>
  <c r="BA386" i="2"/>
  <c r="AZ386" i="2"/>
  <c r="AY386" i="2"/>
  <c r="AW386" i="2"/>
  <c r="AV386" i="2"/>
  <c r="AU386" i="2"/>
  <c r="AT386" i="2"/>
  <c r="AR386" i="2"/>
  <c r="AQ386" i="2"/>
  <c r="AP386" i="2"/>
  <c r="AO386" i="2"/>
  <c r="AN386" i="2"/>
  <c r="AM386" i="2"/>
  <c r="AL386" i="2"/>
  <c r="AK386" i="2"/>
  <c r="AJ386" i="2"/>
  <c r="AI386" i="2"/>
  <c r="AH386" i="2"/>
  <c r="AG386" i="2"/>
  <c r="AF386" i="2"/>
  <c r="AE386" i="2"/>
  <c r="AD386" i="2"/>
  <c r="AC386" i="2"/>
  <c r="AB386" i="2"/>
  <c r="AA386" i="2"/>
  <c r="Z386" i="2"/>
  <c r="Y386" i="2"/>
  <c r="X386" i="2"/>
  <c r="W386" i="2"/>
  <c r="V386" i="2"/>
  <c r="U386" i="2"/>
  <c r="T386" i="2"/>
  <c r="S386" i="2"/>
  <c r="R386" i="2"/>
  <c r="Q386" i="2"/>
  <c r="P386" i="2"/>
  <c r="BI385" i="2"/>
  <c r="BG385" i="2"/>
  <c r="BF385" i="2"/>
  <c r="BE385" i="2"/>
  <c r="BD385" i="2"/>
  <c r="BB385" i="2"/>
  <c r="BA385" i="2"/>
  <c r="AZ385" i="2"/>
  <c r="AY385" i="2"/>
  <c r="AW385" i="2"/>
  <c r="AV385" i="2"/>
  <c r="AU385" i="2"/>
  <c r="AT385" i="2"/>
  <c r="AR385" i="2"/>
  <c r="AQ385" i="2"/>
  <c r="AP385" i="2"/>
  <c r="AO385" i="2"/>
  <c r="AM385" i="2"/>
  <c r="AL385" i="2"/>
  <c r="AK385" i="2"/>
  <c r="AJ385" i="2"/>
  <c r="AI385" i="2"/>
  <c r="AH385" i="2"/>
  <c r="AG385" i="2"/>
  <c r="AF385" i="2"/>
  <c r="AE385" i="2"/>
  <c r="AD385" i="2"/>
  <c r="AC385" i="2"/>
  <c r="AB385" i="2"/>
  <c r="AA385" i="2"/>
  <c r="Z385" i="2"/>
  <c r="Y385" i="2"/>
  <c r="X385" i="2"/>
  <c r="W385" i="2"/>
  <c r="V385" i="2"/>
  <c r="U385" i="2"/>
  <c r="T385" i="2"/>
  <c r="S385" i="2"/>
  <c r="R385" i="2"/>
  <c r="Q385" i="2"/>
  <c r="P385" i="2"/>
  <c r="A383" i="2"/>
  <c r="A881" i="2"/>
  <c r="BI382" i="2"/>
  <c r="BI330" i="2"/>
  <c r="BG382" i="2"/>
  <c r="BG329" i="2"/>
  <c r="BF382" i="2"/>
  <c r="BF329" i="2"/>
  <c r="BE382" i="2"/>
  <c r="BD382" i="2"/>
  <c r="BB382" i="2"/>
  <c r="BA382" i="2"/>
  <c r="AZ382" i="2"/>
  <c r="AY382" i="2"/>
  <c r="AW382" i="2"/>
  <c r="AV382" i="2"/>
  <c r="AU382" i="2"/>
  <c r="AT382" i="2"/>
  <c r="AR382" i="2"/>
  <c r="AR329" i="2"/>
  <c r="AQ382" i="2"/>
  <c r="AQ330" i="2"/>
  <c r="AP382" i="2"/>
  <c r="AO382" i="2"/>
  <c r="AT14" i="2"/>
  <c r="AM382" i="2"/>
  <c r="AM329" i="2"/>
  <c r="AL382" i="2"/>
  <c r="AK382" i="2"/>
  <c r="AJ382" i="2"/>
  <c r="AJ800" i="2"/>
  <c r="AI382" i="2"/>
  <c r="AH382" i="2"/>
  <c r="AG382" i="2"/>
  <c r="AF382" i="2"/>
  <c r="AF330" i="2"/>
  <c r="AE382" i="2"/>
  <c r="AD382" i="2"/>
  <c r="AC382" i="2"/>
  <c r="AB382" i="2"/>
  <c r="AA382" i="2"/>
  <c r="Z382" i="2"/>
  <c r="Y382" i="2"/>
  <c r="X382" i="2"/>
  <c r="AC14" i="2"/>
  <c r="W382" i="2"/>
  <c r="W330" i="2"/>
  <c r="V382" i="2"/>
  <c r="U382" i="2"/>
  <c r="T382" i="2"/>
  <c r="S382" i="2"/>
  <c r="R382" i="2"/>
  <c r="Q382" i="2"/>
  <c r="P382" i="2"/>
  <c r="P14" i="2"/>
  <c r="P381" i="2"/>
  <c r="P380" i="2"/>
  <c r="AI363" i="2"/>
  <c r="AI412" i="2"/>
  <c r="BV358" i="2" a="1"/>
  <c r="BV358" i="2"/>
  <c r="BU358" i="2" a="1"/>
  <c r="BU358" i="2"/>
  <c r="BT358" i="2" a="1"/>
  <c r="BT358" i="2"/>
  <c r="BS358" i="2" a="1"/>
  <c r="BS358" i="2"/>
  <c r="BR358" i="2" a="1"/>
  <c r="BR358" i="2"/>
  <c r="BQ358" i="2" a="1"/>
  <c r="BQ358" i="2"/>
  <c r="BP358" i="2" a="1"/>
  <c r="BP358" i="2"/>
  <c r="BO358" i="2" a="1"/>
  <c r="BO358" i="2"/>
  <c r="BN358" i="2" a="1"/>
  <c r="BN358" i="2"/>
  <c r="BM358" i="2" a="1"/>
  <c r="BM358" i="2"/>
  <c r="BL358" i="2" a="1"/>
  <c r="BL358" i="2"/>
  <c r="BK358" i="2" a="1"/>
  <c r="BK358" i="2"/>
  <c r="BJ358" i="2" a="1"/>
  <c r="BJ358" i="2"/>
  <c r="BH351" i="2"/>
  <c r="BH403" i="2"/>
  <c r="BC351" i="2"/>
  <c r="BC403" i="2"/>
  <c r="AX351" i="2"/>
  <c r="AS351" i="2"/>
  <c r="AS403" i="2"/>
  <c r="AN351" i="2"/>
  <c r="BH349" i="2"/>
  <c r="BH398" i="2"/>
  <c r="BH531" i="2"/>
  <c r="BC349" i="2"/>
  <c r="BC398" i="2"/>
  <c r="BC531" i="2"/>
  <c r="AX349" i="2"/>
  <c r="AX398" i="2"/>
  <c r="AX531" i="2"/>
  <c r="AS349" i="2"/>
  <c r="AS398" i="2"/>
  <c r="AS531" i="2"/>
  <c r="AN349" i="2"/>
  <c r="AN398" i="2"/>
  <c r="AN531" i="2"/>
  <c r="BH348" i="2"/>
  <c r="BC348" i="2"/>
  <c r="AX348" i="2"/>
  <c r="AS348" i="2"/>
  <c r="AN348" i="2"/>
  <c r="BI346" i="2"/>
  <c r="BI347" i="2"/>
  <c r="BI350" i="2"/>
  <c r="BI352" i="2"/>
  <c r="BG346" i="2"/>
  <c r="BG347" i="2"/>
  <c r="BG350" i="2"/>
  <c r="BG352" i="2"/>
  <c r="BF346" i="2"/>
  <c r="BF347" i="2"/>
  <c r="BF350" i="2"/>
  <c r="BF352" i="2"/>
  <c r="BE346" i="2"/>
  <c r="BE347" i="2"/>
  <c r="BE350" i="2"/>
  <c r="BE352" i="2"/>
  <c r="BE361" i="2"/>
  <c r="BE377" i="2"/>
  <c r="BD346" i="2"/>
  <c r="BD347" i="2"/>
  <c r="BD350" i="2"/>
  <c r="BD352" i="2"/>
  <c r="BB346" i="2"/>
  <c r="BB347" i="2"/>
  <c r="BB350" i="2"/>
  <c r="BB352" i="2"/>
  <c r="BA346" i="2"/>
  <c r="BA347" i="2"/>
  <c r="BA350" i="2"/>
  <c r="BA352" i="2"/>
  <c r="BA361" i="2"/>
  <c r="BA377" i="2"/>
  <c r="AZ346" i="2"/>
  <c r="AZ347" i="2"/>
  <c r="AZ350" i="2"/>
  <c r="AZ352" i="2"/>
  <c r="AY346" i="2"/>
  <c r="AY347" i="2"/>
  <c r="AY350" i="2"/>
  <c r="AY352" i="2"/>
  <c r="AY356" i="2"/>
  <c r="AW346" i="2"/>
  <c r="AW347" i="2"/>
  <c r="AW350" i="2"/>
  <c r="AW352" i="2"/>
  <c r="AW361" i="2"/>
  <c r="AW377" i="2"/>
  <c r="AV346" i="2"/>
  <c r="AV347" i="2"/>
  <c r="AV350" i="2"/>
  <c r="AV352" i="2"/>
  <c r="AU346" i="2"/>
  <c r="AU347" i="2"/>
  <c r="AU350" i="2"/>
  <c r="AU352" i="2"/>
  <c r="AT346" i="2"/>
  <c r="AT347" i="2"/>
  <c r="AT350" i="2"/>
  <c r="AT352" i="2"/>
  <c r="AR346" i="2"/>
  <c r="AR347" i="2"/>
  <c r="AR350" i="2"/>
  <c r="AR352" i="2"/>
  <c r="AQ346" i="2"/>
  <c r="AQ347" i="2"/>
  <c r="AQ350" i="2"/>
  <c r="AQ352" i="2"/>
  <c r="AP346" i="2"/>
  <c r="AP347" i="2"/>
  <c r="AP350" i="2"/>
  <c r="AP352" i="2"/>
  <c r="AO346" i="2"/>
  <c r="AO347" i="2"/>
  <c r="AO350" i="2"/>
  <c r="AO352" i="2"/>
  <c r="AO361" i="2"/>
  <c r="AO377" i="2"/>
  <c r="AM346" i="2"/>
  <c r="AM347" i="2"/>
  <c r="AM350" i="2"/>
  <c r="AM352" i="2"/>
  <c r="AL346" i="2"/>
  <c r="AL347" i="2"/>
  <c r="AL350" i="2"/>
  <c r="AL352" i="2"/>
  <c r="AK346" i="2"/>
  <c r="AK347" i="2"/>
  <c r="AK350" i="2"/>
  <c r="AK352" i="2"/>
  <c r="AK361" i="2"/>
  <c r="AK377" i="2"/>
  <c r="AJ346" i="2"/>
  <c r="AJ347" i="2"/>
  <c r="AJ350" i="2"/>
  <c r="AJ352" i="2"/>
  <c r="AI346" i="2"/>
  <c r="AI347" i="2"/>
  <c r="AI350" i="2"/>
  <c r="AI352" i="2"/>
  <c r="AI356" i="2"/>
  <c r="AH346" i="2"/>
  <c r="AH347" i="2"/>
  <c r="AH350" i="2"/>
  <c r="AH352" i="2"/>
  <c r="AG346" i="2"/>
  <c r="AG347" i="2"/>
  <c r="AG350" i="2"/>
  <c r="AG352" i="2"/>
  <c r="AF346" i="2"/>
  <c r="AF347" i="2"/>
  <c r="AF350" i="2"/>
  <c r="AF352" i="2"/>
  <c r="AE346" i="2"/>
  <c r="AE347" i="2"/>
  <c r="AE350" i="2"/>
  <c r="AE352" i="2"/>
  <c r="AE356" i="2"/>
  <c r="AD346" i="2"/>
  <c r="AD347" i="2"/>
  <c r="AD350" i="2"/>
  <c r="AD352" i="2"/>
  <c r="AC346" i="2"/>
  <c r="AC347" i="2"/>
  <c r="AC350" i="2"/>
  <c r="AC352" i="2"/>
  <c r="AB346" i="2"/>
  <c r="AB347" i="2"/>
  <c r="AB350" i="2"/>
  <c r="AB352" i="2"/>
  <c r="AA346" i="2"/>
  <c r="AA347" i="2"/>
  <c r="AA350" i="2"/>
  <c r="AA352" i="2"/>
  <c r="Z346" i="2"/>
  <c r="Z347" i="2"/>
  <c r="Z350" i="2"/>
  <c r="Z352" i="2"/>
  <c r="Y346" i="2"/>
  <c r="Y347" i="2"/>
  <c r="Y350" i="2"/>
  <c r="Y352" i="2"/>
  <c r="X346" i="2"/>
  <c r="X347" i="2"/>
  <c r="X350" i="2"/>
  <c r="X352" i="2"/>
  <c r="W346" i="2"/>
  <c r="W347" i="2"/>
  <c r="W350" i="2"/>
  <c r="W352" i="2"/>
  <c r="V346" i="2"/>
  <c r="V347" i="2"/>
  <c r="V350" i="2"/>
  <c r="V352" i="2"/>
  <c r="U346" i="2"/>
  <c r="U347" i="2"/>
  <c r="U350" i="2"/>
  <c r="U352" i="2"/>
  <c r="T346" i="2"/>
  <c r="T347" i="2"/>
  <c r="T350" i="2"/>
  <c r="T352" i="2"/>
  <c r="S346" i="2"/>
  <c r="S347" i="2"/>
  <c r="S350" i="2"/>
  <c r="S352" i="2"/>
  <c r="R346" i="2"/>
  <c r="R347" i="2"/>
  <c r="R350" i="2"/>
  <c r="R352" i="2"/>
  <c r="Q346" i="2"/>
  <c r="Q347" i="2"/>
  <c r="Q350" i="2"/>
  <c r="Q352" i="2"/>
  <c r="P346" i="2"/>
  <c r="P347" i="2"/>
  <c r="P350" i="2"/>
  <c r="P352" i="2"/>
  <c r="P361" i="2"/>
  <c r="P377" i="2"/>
  <c r="BH345" i="2"/>
  <c r="BH399" i="2"/>
  <c r="BC345" i="2"/>
  <c r="BC399" i="2"/>
  <c r="AX345" i="2"/>
  <c r="AX399" i="2"/>
  <c r="AS345" i="2"/>
  <c r="AS399" i="2"/>
  <c r="AN345" i="2"/>
  <c r="AN399" i="2"/>
  <c r="BH344" i="2"/>
  <c r="BC344" i="2"/>
  <c r="AX344" i="2"/>
  <c r="AS344" i="2"/>
  <c r="AN344" i="2"/>
  <c r="BH343" i="2"/>
  <c r="BC343" i="2"/>
  <c r="AX343" i="2"/>
  <c r="AS343" i="2"/>
  <c r="BH342" i="2"/>
  <c r="BC342" i="2"/>
  <c r="AX342" i="2"/>
  <c r="AS342" i="2"/>
  <c r="AN342" i="2"/>
  <c r="BH341" i="2"/>
  <c r="BH392" i="2"/>
  <c r="BC341" i="2"/>
  <c r="BC392" i="2"/>
  <c r="AX341" i="2"/>
  <c r="AS341" i="2"/>
  <c r="AN341" i="2"/>
  <c r="AN392" i="2"/>
  <c r="BH340" i="2"/>
  <c r="BH386" i="2"/>
  <c r="BC340" i="2"/>
  <c r="BC386" i="2"/>
  <c r="AX340" i="2"/>
  <c r="AX386" i="2"/>
  <c r="AS340" i="2"/>
  <c r="AS386" i="2"/>
  <c r="BH339" i="2"/>
  <c r="BH38" i="2"/>
  <c r="BC339" i="2"/>
  <c r="BC38" i="2"/>
  <c r="AX339" i="2"/>
  <c r="AX38" i="2"/>
  <c r="AS339" i="2"/>
  <c r="AS38" i="2"/>
  <c r="AN339" i="2"/>
  <c r="AN38" i="2"/>
  <c r="BH338" i="2"/>
  <c r="BH37" i="2"/>
  <c r="BC338" i="2"/>
  <c r="BC37" i="2"/>
  <c r="AX338" i="2"/>
  <c r="AS338" i="2"/>
  <c r="AN338" i="2"/>
  <c r="BH337" i="2"/>
  <c r="BC337" i="2"/>
  <c r="AX337" i="2"/>
  <c r="AS337" i="2"/>
  <c r="AN337" i="2"/>
  <c r="BH336" i="2"/>
  <c r="BC336" i="2"/>
  <c r="AX336" i="2"/>
  <c r="AX382" i="2"/>
  <c r="AS336" i="2"/>
  <c r="AN336" i="2"/>
  <c r="BB330" i="2"/>
  <c r="AT330" i="2"/>
  <c r="AI330" i="2"/>
  <c r="AH330" i="2"/>
  <c r="T330" i="2"/>
  <c r="S330" i="2"/>
  <c r="BB329" i="2"/>
  <c r="AI329" i="2"/>
  <c r="AB329" i="2"/>
  <c r="AA329" i="2"/>
  <c r="S329" i="2"/>
  <c r="BI308" i="2"/>
  <c r="BH308" i="2"/>
  <c r="BD308" i="2"/>
  <c r="BC308" i="2"/>
  <c r="AY308" i="2"/>
  <c r="AX308" i="2"/>
  <c r="AT308" i="2"/>
  <c r="AS308" i="2"/>
  <c r="AR308" i="2"/>
  <c r="AQ308" i="2"/>
  <c r="AP308" i="2"/>
  <c r="AO308" i="2"/>
  <c r="AN308" i="2"/>
  <c r="AM308" i="2"/>
  <c r="AL308" i="2"/>
  <c r="AK308" i="2"/>
  <c r="AJ308" i="2"/>
  <c r="AI308" i="2"/>
  <c r="AH308" i="2"/>
  <c r="AG308" i="2"/>
  <c r="AF308" i="2"/>
  <c r="AE308" i="2"/>
  <c r="AD308" i="2"/>
  <c r="AC308" i="2"/>
  <c r="AB308" i="2"/>
  <c r="AA308" i="2"/>
  <c r="Z308" i="2"/>
  <c r="Y308" i="2"/>
  <c r="X308" i="2"/>
  <c r="W308" i="2"/>
  <c r="V308" i="2"/>
  <c r="U308" i="2"/>
  <c r="T308" i="2"/>
  <c r="S308" i="2"/>
  <c r="R308" i="2"/>
  <c r="Q308" i="2"/>
  <c r="P308" i="2"/>
  <c r="O308" i="2"/>
  <c r="BI307" i="2"/>
  <c r="BH307" i="2"/>
  <c r="BD307" i="2"/>
  <c r="BC307" i="2"/>
  <c r="AY307" i="2"/>
  <c r="AX307" i="2"/>
  <c r="AT307" i="2"/>
  <c r="AS307" i="2"/>
  <c r="AR307" i="2"/>
  <c r="AQ307" i="2"/>
  <c r="AP307" i="2"/>
  <c r="AO307" i="2"/>
  <c r="AN307" i="2"/>
  <c r="AM307" i="2"/>
  <c r="AL307" i="2"/>
  <c r="AK307" i="2"/>
  <c r="AJ307" i="2"/>
  <c r="AI307" i="2"/>
  <c r="AH307" i="2"/>
  <c r="AG307" i="2"/>
  <c r="AF307" i="2"/>
  <c r="AE307" i="2"/>
  <c r="AD307" i="2"/>
  <c r="AC307" i="2"/>
  <c r="AB307" i="2"/>
  <c r="AA307" i="2"/>
  <c r="Z307" i="2"/>
  <c r="Y307" i="2"/>
  <c r="X307" i="2"/>
  <c r="W307" i="2"/>
  <c r="V307" i="2"/>
  <c r="U307" i="2"/>
  <c r="T307" i="2"/>
  <c r="P307" i="2"/>
  <c r="O307" i="2"/>
  <c r="P284" i="2"/>
  <c r="P288" i="2"/>
  <c r="P275" i="2"/>
  <c r="AJ269" i="2"/>
  <c r="AH269" i="2"/>
  <c r="AG269" i="2"/>
  <c r="AF269" i="2"/>
  <c r="AE269" i="2"/>
  <c r="Z269" i="2"/>
  <c r="U269" i="2"/>
  <c r="P269" i="2"/>
  <c r="AI268" i="2"/>
  <c r="AI267" i="2"/>
  <c r="AI266" i="2"/>
  <c r="BI264" i="2"/>
  <c r="BG264" i="2"/>
  <c r="BF264" i="2"/>
  <c r="BE264" i="2"/>
  <c r="BD264" i="2"/>
  <c r="BB264" i="2"/>
  <c r="BA264" i="2"/>
  <c r="AZ264" i="2"/>
  <c r="AY264" i="2"/>
  <c r="AW264" i="2"/>
  <c r="AV264" i="2"/>
  <c r="AU264" i="2"/>
  <c r="AT264" i="2"/>
  <c r="AR264" i="2"/>
  <c r="AQ264" i="2"/>
  <c r="AP264" i="2"/>
  <c r="AO264" i="2"/>
  <c r="AM264" i="2"/>
  <c r="AL264" i="2"/>
  <c r="AK264" i="2"/>
  <c r="BH263" i="2"/>
  <c r="BC263" i="2"/>
  <c r="AX263" i="2"/>
  <c r="AS263" i="2"/>
  <c r="AN263" i="2"/>
  <c r="BH262" i="2"/>
  <c r="BC262" i="2"/>
  <c r="AX262" i="2"/>
  <c r="AS262" i="2"/>
  <c r="AN262" i="2"/>
  <c r="BH261" i="2"/>
  <c r="BC261" i="2"/>
  <c r="AX261" i="2"/>
  <c r="AX264" i="2"/>
  <c r="AS261" i="2"/>
  <c r="AN261" i="2"/>
  <c r="BH239" i="2"/>
  <c r="BH244" i="2"/>
  <c r="BG239" i="2"/>
  <c r="BG244" i="2"/>
  <c r="BG215" i="2"/>
  <c r="BF239" i="2"/>
  <c r="BF244" i="2"/>
  <c r="BE239" i="2"/>
  <c r="BE244" i="2"/>
  <c r="BC239" i="2"/>
  <c r="BC244" i="2"/>
  <c r="BC215" i="2"/>
  <c r="BB239" i="2"/>
  <c r="BB244" i="2"/>
  <c r="BA239" i="2"/>
  <c r="BA244" i="2"/>
  <c r="AZ239" i="2"/>
  <c r="AZ244" i="2"/>
  <c r="AX239" i="2"/>
  <c r="AX244" i="2"/>
  <c r="AX215" i="2"/>
  <c r="AW239" i="2"/>
  <c r="AW244" i="2"/>
  <c r="AV239" i="2"/>
  <c r="AV244" i="2"/>
  <c r="AU239" i="2"/>
  <c r="AU244" i="2"/>
  <c r="AU215" i="2"/>
  <c r="AR239" i="2"/>
  <c r="AR244" i="2"/>
  <c r="AQ239" i="2"/>
  <c r="AQ244" i="2"/>
  <c r="AQ215" i="2"/>
  <c r="BV237" i="2"/>
  <c r="BU237" i="2"/>
  <c r="BT237" i="2"/>
  <c r="BR237" i="2"/>
  <c r="BQ237" i="2"/>
  <c r="BP237" i="2"/>
  <c r="BO237" i="2"/>
  <c r="BM237" i="2"/>
  <c r="BL237" i="2"/>
  <c r="BK237" i="2"/>
  <c r="BJ237" i="2"/>
  <c r="BV236" i="2"/>
  <c r="BV238" i="2"/>
  <c r="BV243" i="2"/>
  <c r="BU236" i="2"/>
  <c r="BU238" i="2"/>
  <c r="BU243" i="2"/>
  <c r="BT236" i="2"/>
  <c r="BR236" i="2"/>
  <c r="BQ236" i="2"/>
  <c r="BP236" i="2"/>
  <c r="BO236" i="2"/>
  <c r="BM236" i="2"/>
  <c r="BL236" i="2"/>
  <c r="BL238" i="2"/>
  <c r="BL243" i="2"/>
  <c r="BK236" i="2"/>
  <c r="BK238" i="2"/>
  <c r="BK243" i="2"/>
  <c r="BJ236" i="2"/>
  <c r="BH236" i="2"/>
  <c r="BG236" i="2"/>
  <c r="BF236" i="2"/>
  <c r="BE236" i="2"/>
  <c r="BC236" i="2"/>
  <c r="BB236" i="2"/>
  <c r="BA236" i="2"/>
  <c r="AZ236" i="2"/>
  <c r="AX236" i="2"/>
  <c r="AW236" i="2"/>
  <c r="AV236" i="2"/>
  <c r="AU236" i="2"/>
  <c r="AS236" i="2"/>
  <c r="AR236" i="2"/>
  <c r="AJ231" i="2"/>
  <c r="AH231" i="2"/>
  <c r="AG231" i="2"/>
  <c r="AF231" i="2"/>
  <c r="AE231" i="2"/>
  <c r="AC231" i="2"/>
  <c r="AB231" i="2"/>
  <c r="AA231" i="2"/>
  <c r="Z231" i="2"/>
  <c r="X231" i="2"/>
  <c r="W231" i="2"/>
  <c r="V231" i="2"/>
  <c r="U231" i="2"/>
  <c r="S231" i="2"/>
  <c r="R231" i="2"/>
  <c r="Q231" i="2"/>
  <c r="P231" i="2"/>
  <c r="BI230" i="2"/>
  <c r="BG230" i="2"/>
  <c r="BF230" i="2"/>
  <c r="BE230" i="2"/>
  <c r="BD230" i="2"/>
  <c r="BB230" i="2"/>
  <c r="BA230" i="2"/>
  <c r="AZ230" i="2"/>
  <c r="AY230" i="2"/>
  <c r="AW230" i="2"/>
  <c r="AV230" i="2"/>
  <c r="AU230" i="2"/>
  <c r="AT230" i="2"/>
  <c r="AR230" i="2"/>
  <c r="AQ230" i="2"/>
  <c r="AP230" i="2"/>
  <c r="AO230" i="2"/>
  <c r="BI229" i="2"/>
  <c r="BG229" i="2"/>
  <c r="BF229" i="2"/>
  <c r="BE229" i="2"/>
  <c r="BD229" i="2"/>
  <c r="BB229" i="2"/>
  <c r="BA229" i="2"/>
  <c r="AZ229" i="2"/>
  <c r="AY229" i="2"/>
  <c r="AW229" i="2"/>
  <c r="AV229" i="2"/>
  <c r="AU229" i="2"/>
  <c r="AT229" i="2"/>
  <c r="AR229" i="2"/>
  <c r="AQ229" i="2"/>
  <c r="AP229" i="2"/>
  <c r="AO229" i="2"/>
  <c r="BI228" i="2"/>
  <c r="BG228" i="2"/>
  <c r="BF228" i="2"/>
  <c r="BE228" i="2"/>
  <c r="BD228" i="2"/>
  <c r="BB228" i="2"/>
  <c r="BA228" i="2"/>
  <c r="AZ228" i="2"/>
  <c r="AY228" i="2"/>
  <c r="AW228" i="2"/>
  <c r="AV228" i="2"/>
  <c r="AU228" i="2"/>
  <c r="AT228" i="2"/>
  <c r="AR228" i="2"/>
  <c r="AQ228" i="2"/>
  <c r="AP228" i="2"/>
  <c r="AO228" i="2"/>
  <c r="AM228" i="2"/>
  <c r="AL228" i="2"/>
  <c r="AK228" i="2"/>
  <c r="AJ228" i="2"/>
  <c r="AH228" i="2"/>
  <c r="AG228" i="2"/>
  <c r="AF228" i="2"/>
  <c r="AE228" i="2"/>
  <c r="AC228" i="2"/>
  <c r="AB228" i="2"/>
  <c r="AA228" i="2"/>
  <c r="Z228" i="2"/>
  <c r="X228" i="2"/>
  <c r="W228" i="2"/>
  <c r="V228" i="2"/>
  <c r="U228" i="2"/>
  <c r="S228" i="2"/>
  <c r="R228" i="2"/>
  <c r="Q228" i="2"/>
  <c r="P228" i="2"/>
  <c r="BI226" i="2"/>
  <c r="BG226" i="2"/>
  <c r="BF226" i="2"/>
  <c r="BE226" i="2"/>
  <c r="BD226" i="2"/>
  <c r="BB226" i="2"/>
  <c r="BA226" i="2"/>
  <c r="AZ226" i="2"/>
  <c r="AY226" i="2"/>
  <c r="AW226" i="2"/>
  <c r="AV226" i="2"/>
  <c r="AU226" i="2"/>
  <c r="AT226" i="2"/>
  <c r="AR226" i="2"/>
  <c r="AQ226" i="2"/>
  <c r="AP226" i="2"/>
  <c r="AO226" i="2"/>
  <c r="AM226" i="2"/>
  <c r="AL226" i="2"/>
  <c r="AK226" i="2"/>
  <c r="AJ226" i="2"/>
  <c r="AH226" i="2"/>
  <c r="AG226" i="2"/>
  <c r="AF226" i="2"/>
  <c r="AE226" i="2"/>
  <c r="AC226" i="2"/>
  <c r="AB226" i="2"/>
  <c r="AA226" i="2"/>
  <c r="Z226" i="2"/>
  <c r="X226" i="2"/>
  <c r="W226" i="2"/>
  <c r="V226" i="2"/>
  <c r="U226" i="2"/>
  <c r="S226" i="2"/>
  <c r="R226" i="2"/>
  <c r="Q226" i="2"/>
  <c r="P226" i="2"/>
  <c r="AI225" i="2"/>
  <c r="AD225" i="2"/>
  <c r="Y225" i="2"/>
  <c r="T225" i="2"/>
  <c r="AI224" i="2"/>
  <c r="AI231" i="2"/>
  <c r="AD224" i="2"/>
  <c r="AD231" i="2"/>
  <c r="Y224" i="2"/>
  <c r="Y231" i="2"/>
  <c r="T224" i="2"/>
  <c r="T231" i="2"/>
  <c r="BH223" i="2"/>
  <c r="BC223" i="2"/>
  <c r="AX223" i="2"/>
  <c r="AN223" i="2"/>
  <c r="BH222" i="2"/>
  <c r="BC222" i="2"/>
  <c r="AX222" i="2"/>
  <c r="AN222" i="2"/>
  <c r="BH221" i="2"/>
  <c r="BC221" i="2"/>
  <c r="AX221" i="2"/>
  <c r="AN221" i="2"/>
  <c r="BH220" i="2"/>
  <c r="BC220" i="2"/>
  <c r="AX220" i="2"/>
  <c r="AS220" i="2"/>
  <c r="AS226" i="2"/>
  <c r="AN220" i="2"/>
  <c r="AI220" i="2"/>
  <c r="AD220" i="2"/>
  <c r="Y220" i="2"/>
  <c r="T220" i="2"/>
  <c r="BS213" i="2"/>
  <c r="BN213" i="2"/>
  <c r="BH211" i="2"/>
  <c r="BG211" i="2"/>
  <c r="BF211" i="2"/>
  <c r="BC211" i="2"/>
  <c r="BB211" i="2"/>
  <c r="BA211" i="2"/>
  <c r="AX211" i="2"/>
  <c r="AW211" i="2"/>
  <c r="AV211" i="2"/>
  <c r="AR211" i="2"/>
  <c r="AQ211" i="2"/>
  <c r="AM211" i="2"/>
  <c r="AL211" i="2"/>
  <c r="AH211" i="2"/>
  <c r="AG211" i="2"/>
  <c r="AC211" i="2"/>
  <c r="AB211" i="2"/>
  <c r="X211" i="2"/>
  <c r="W211" i="2"/>
  <c r="S211" i="2"/>
  <c r="R211" i="2"/>
  <c r="Q211" i="2"/>
  <c r="BH210" i="2"/>
  <c r="BG210" i="2"/>
  <c r="BF210" i="2"/>
  <c r="BE210" i="2"/>
  <c r="BC210" i="2"/>
  <c r="BB210" i="2"/>
  <c r="BA210" i="2"/>
  <c r="AZ210" i="2"/>
  <c r="AX210" i="2"/>
  <c r="AW210" i="2"/>
  <c r="AV210" i="2"/>
  <c r="AR210" i="2"/>
  <c r="AQ210" i="2"/>
  <c r="AM210" i="2"/>
  <c r="AL210" i="2"/>
  <c r="AH210" i="2"/>
  <c r="AG210" i="2"/>
  <c r="AC210" i="2"/>
  <c r="AB210" i="2"/>
  <c r="X210" i="2"/>
  <c r="W210" i="2"/>
  <c r="S210" i="2"/>
  <c r="R210" i="2"/>
  <c r="Q210" i="2"/>
  <c r="P210" i="2"/>
  <c r="BI209" i="2"/>
  <c r="BD209" i="2"/>
  <c r="BE211" i="2"/>
  <c r="AJ207" i="2"/>
  <c r="AE207" i="2"/>
  <c r="Z207" i="2"/>
  <c r="U207" i="2"/>
  <c r="BI206" i="2"/>
  <c r="BD206" i="2"/>
  <c r="AY206" i="2"/>
  <c r="AT206" i="2"/>
  <c r="AO206" i="2"/>
  <c r="BI203" i="2"/>
  <c r="BD203" i="2"/>
  <c r="AY203" i="2"/>
  <c r="AT203" i="2"/>
  <c r="AO203" i="2"/>
  <c r="BI198" i="2"/>
  <c r="BD198" i="2"/>
  <c r="AY198" i="2"/>
  <c r="AT198" i="2"/>
  <c r="AO198" i="2"/>
  <c r="AJ198" i="2"/>
  <c r="AE198" i="2"/>
  <c r="Z198" i="2"/>
  <c r="Z209" i="2"/>
  <c r="Y209" i="2"/>
  <c r="U198" i="2"/>
  <c r="BH185" i="2"/>
  <c r="BG185" i="2"/>
  <c r="BF185" i="2"/>
  <c r="BE185" i="2"/>
  <c r="BC185" i="2"/>
  <c r="BB185" i="2"/>
  <c r="BA185" i="2"/>
  <c r="AZ185" i="2"/>
  <c r="AW185" i="2"/>
  <c r="AV185" i="2"/>
  <c r="BS183" i="2"/>
  <c r="BN183" i="2"/>
  <c r="AM183" i="2"/>
  <c r="AH183" i="2"/>
  <c r="AG183" i="2"/>
  <c r="AF183" i="2"/>
  <c r="AD183" i="2"/>
  <c r="AC183" i="2"/>
  <c r="AB183" i="2"/>
  <c r="AA183" i="2"/>
  <c r="Y183" i="2"/>
  <c r="X183" i="2"/>
  <c r="W183" i="2"/>
  <c r="V183" i="2"/>
  <c r="T183" i="2"/>
  <c r="S183" i="2"/>
  <c r="R183" i="2"/>
  <c r="Q183" i="2"/>
  <c r="BS182" i="2"/>
  <c r="BN182" i="2"/>
  <c r="BI182" i="2"/>
  <c r="BD182" i="2"/>
  <c r="AY182" i="2"/>
  <c r="AQ182" i="2"/>
  <c r="AQ236" i="2"/>
  <c r="AP182" i="2"/>
  <c r="AP236" i="2"/>
  <c r="AN182" i="2"/>
  <c r="AN236" i="2"/>
  <c r="AM182" i="2"/>
  <c r="AM236" i="2"/>
  <c r="AL182" i="2"/>
  <c r="AL236" i="2"/>
  <c r="AK182" i="2"/>
  <c r="AK236" i="2"/>
  <c r="AI182" i="2"/>
  <c r="AI236" i="2"/>
  <c r="AH182" i="2"/>
  <c r="AH236" i="2"/>
  <c r="AG182" i="2"/>
  <c r="AG236" i="2"/>
  <c r="AF182" i="2"/>
  <c r="AF236" i="2"/>
  <c r="AD182" i="2"/>
  <c r="AD236" i="2"/>
  <c r="AC182" i="2"/>
  <c r="AC236" i="2"/>
  <c r="AB182" i="2"/>
  <c r="AB236" i="2"/>
  <c r="AA182" i="2"/>
  <c r="AA236" i="2"/>
  <c r="Y182" i="2"/>
  <c r="Y236" i="2"/>
  <c r="X182" i="2"/>
  <c r="X236" i="2"/>
  <c r="W182" i="2"/>
  <c r="W236" i="2"/>
  <c r="V182" i="2"/>
  <c r="V236" i="2"/>
  <c r="T182" i="2"/>
  <c r="T236" i="2"/>
  <c r="S182" i="2"/>
  <c r="S236" i="2"/>
  <c r="R182" i="2"/>
  <c r="R236" i="2"/>
  <c r="Q182" i="2"/>
  <c r="Q236" i="2"/>
  <c r="BH181" i="2"/>
  <c r="BH186" i="2"/>
  <c r="BG181" i="2"/>
  <c r="BG186" i="2"/>
  <c r="BF181" i="2"/>
  <c r="BF186" i="2"/>
  <c r="BC181" i="2"/>
  <c r="BB181" i="2"/>
  <c r="BB186" i="2"/>
  <c r="BA181" i="2"/>
  <c r="BA186" i="2"/>
  <c r="AX181" i="2"/>
  <c r="AX186" i="2"/>
  <c r="AW181" i="2"/>
  <c r="AW186" i="2"/>
  <c r="AV181" i="2"/>
  <c r="AV186" i="2"/>
  <c r="AS181" i="2"/>
  <c r="AS184" i="2"/>
  <c r="AR181" i="2"/>
  <c r="AR186" i="2"/>
  <c r="AO179" i="2"/>
  <c r="AP176" i="2"/>
  <c r="AO177" i="2"/>
  <c r="AN176" i="2"/>
  <c r="AO174" i="2"/>
  <c r="AP171" i="2"/>
  <c r="AP173" i="2"/>
  <c r="AJ173" i="2"/>
  <c r="AI173" i="2"/>
  <c r="AO171" i="2"/>
  <c r="AN171" i="2"/>
  <c r="AN173" i="2"/>
  <c r="AM171" i="2"/>
  <c r="AL171" i="2"/>
  <c r="AL173" i="2"/>
  <c r="AK171" i="2"/>
  <c r="AK173" i="2"/>
  <c r="AE168" i="2"/>
  <c r="Z168" i="2"/>
  <c r="U168" i="2"/>
  <c r="P168" i="2"/>
  <c r="AO167" i="2"/>
  <c r="AJ167" i="2"/>
  <c r="AE167" i="2"/>
  <c r="Z167" i="2"/>
  <c r="U167" i="2"/>
  <c r="P167" i="2"/>
  <c r="AN166" i="2"/>
  <c r="AN168" i="2"/>
  <c r="AM166" i="2"/>
  <c r="AL166" i="2"/>
  <c r="AL168" i="2"/>
  <c r="AE163" i="2"/>
  <c r="Z163" i="2"/>
  <c r="U163" i="2"/>
  <c r="P163" i="2"/>
  <c r="P183" i="2"/>
  <c r="AO162" i="2"/>
  <c r="AJ162" i="2"/>
  <c r="AJ182" i="2"/>
  <c r="AJ236" i="2"/>
  <c r="AE162" i="2"/>
  <c r="AE182" i="2"/>
  <c r="AE236" i="2"/>
  <c r="Z162" i="2"/>
  <c r="Z182" i="2"/>
  <c r="Z236" i="2"/>
  <c r="U162" i="2"/>
  <c r="P162" i="2"/>
  <c r="P182" i="2"/>
  <c r="P236" i="2"/>
  <c r="AN161" i="2"/>
  <c r="AN163" i="2"/>
  <c r="AL161" i="2"/>
  <c r="AL163" i="2"/>
  <c r="AE161" i="2"/>
  <c r="AA161" i="2"/>
  <c r="AA164" i="2"/>
  <c r="AB161" i="2"/>
  <c r="BI158" i="2"/>
  <c r="BG158" i="2"/>
  <c r="BF158" i="2"/>
  <c r="BE158" i="2"/>
  <c r="BD158" i="2"/>
  <c r="BB158" i="2"/>
  <c r="BA158" i="2"/>
  <c r="AZ158" i="2"/>
  <c r="AY158" i="2"/>
  <c r="AW158" i="2"/>
  <c r="AV158" i="2"/>
  <c r="AU158" i="2"/>
  <c r="AT158" i="2"/>
  <c r="AR158" i="2"/>
  <c r="AQ158" i="2"/>
  <c r="AP158" i="2"/>
  <c r="AO158" i="2"/>
  <c r="A158" i="2"/>
  <c r="BH153" i="2"/>
  <c r="BG153" i="2"/>
  <c r="BF153" i="2"/>
  <c r="BE153" i="2"/>
  <c r="BC153" i="2"/>
  <c r="BB153" i="2"/>
  <c r="BA153" i="2"/>
  <c r="AZ153" i="2"/>
  <c r="AW153" i="2"/>
  <c r="AV153" i="2"/>
  <c r="AU153" i="2"/>
  <c r="AR153" i="2"/>
  <c r="BI151" i="2"/>
  <c r="BN148" i="2"/>
  <c r="BD151" i="2"/>
  <c r="AY151" i="2"/>
  <c r="BD148" i="2"/>
  <c r="BS150" i="2"/>
  <c r="BN150" i="2"/>
  <c r="BS149" i="2"/>
  <c r="BN149" i="2"/>
  <c r="BI149" i="2"/>
  <c r="BD149" i="2"/>
  <c r="AY149" i="2"/>
  <c r="AT149" i="2"/>
  <c r="AO149" i="2"/>
  <c r="BJ148" i="2"/>
  <c r="BH148" i="2"/>
  <c r="BH150" i="2"/>
  <c r="BG148" i="2"/>
  <c r="BG150" i="2"/>
  <c r="BF148" i="2"/>
  <c r="BF150" i="2"/>
  <c r="BC148" i="2"/>
  <c r="BC150" i="2"/>
  <c r="BB148" i="2"/>
  <c r="BB150" i="2"/>
  <c r="BA148" i="2"/>
  <c r="BA150" i="2"/>
  <c r="AX148" i="2"/>
  <c r="AW148" i="2"/>
  <c r="AW150" i="2"/>
  <c r="AV148" i="2"/>
  <c r="AV152" i="2"/>
  <c r="AS148" i="2"/>
  <c r="AR148" i="2"/>
  <c r="AR150" i="2"/>
  <c r="AQ148" i="2"/>
  <c r="AQ150" i="2"/>
  <c r="AO148" i="2"/>
  <c r="AN148" i="2"/>
  <c r="AN151" i="2"/>
  <c r="BV140" i="2"/>
  <c r="BU140" i="2"/>
  <c r="BT140" i="2"/>
  <c r="BR140" i="2"/>
  <c r="BQ140" i="2"/>
  <c r="BP140" i="2"/>
  <c r="BO140" i="2"/>
  <c r="BM140" i="2"/>
  <c r="BL140" i="2"/>
  <c r="BK140" i="2"/>
  <c r="BJ140" i="2"/>
  <c r="BI138" i="2"/>
  <c r="BI145" i="2"/>
  <c r="BG138" i="2"/>
  <c r="BF138" i="2"/>
  <c r="BF145" i="2"/>
  <c r="BE138" i="2"/>
  <c r="BE129" i="2"/>
  <c r="BD138" i="2"/>
  <c r="BB138" i="2"/>
  <c r="BA138" i="2"/>
  <c r="AZ138" i="2"/>
  <c r="AY138" i="2"/>
  <c r="AW138" i="2"/>
  <c r="AV138" i="2"/>
  <c r="AU138" i="2"/>
  <c r="AT138" i="2"/>
  <c r="AR138" i="2"/>
  <c r="AR129" i="2"/>
  <c r="AQ138" i="2"/>
  <c r="AP138" i="2"/>
  <c r="AP129" i="2"/>
  <c r="AO138" i="2"/>
  <c r="BS133" i="2"/>
  <c r="BN133" i="2"/>
  <c r="BI133" i="2"/>
  <c r="BD133" i="2"/>
  <c r="AY133" i="2"/>
  <c r="BI131" i="2"/>
  <c r="BI140" i="2"/>
  <c r="BH131" i="2"/>
  <c r="BH140" i="2"/>
  <c r="BG131" i="2"/>
  <c r="BG140" i="2"/>
  <c r="BF131" i="2"/>
  <c r="BF140" i="2"/>
  <c r="BE131" i="2"/>
  <c r="BE140" i="2"/>
  <c r="BD131" i="2"/>
  <c r="BD140" i="2"/>
  <c r="BC131" i="2"/>
  <c r="BC140" i="2"/>
  <c r="BB131" i="2"/>
  <c r="BB140" i="2"/>
  <c r="BA131" i="2"/>
  <c r="BA140" i="2"/>
  <c r="AZ131" i="2"/>
  <c r="AZ140" i="2"/>
  <c r="AY131" i="2"/>
  <c r="AY140" i="2"/>
  <c r="AX131" i="2"/>
  <c r="AX140" i="2"/>
  <c r="AW131" i="2"/>
  <c r="AW140" i="2"/>
  <c r="AV131" i="2"/>
  <c r="AV140" i="2"/>
  <c r="AU131" i="2"/>
  <c r="AU140" i="2"/>
  <c r="AT131" i="2"/>
  <c r="AT140" i="2"/>
  <c r="AS131" i="2"/>
  <c r="AS140" i="2"/>
  <c r="AR131" i="2"/>
  <c r="AR140" i="2"/>
  <c r="AQ131" i="2"/>
  <c r="AQ140" i="2"/>
  <c r="AP131" i="2"/>
  <c r="AP140" i="2"/>
  <c r="AN131" i="2"/>
  <c r="AN140" i="2"/>
  <c r="A131" i="2"/>
  <c r="A140" i="2"/>
  <c r="BF129" i="2"/>
  <c r="BB129" i="2"/>
  <c r="BA129" i="2"/>
  <c r="AW129" i="2"/>
  <c r="AV129" i="2"/>
  <c r="AT129" i="2"/>
  <c r="AO124" i="2"/>
  <c r="BV121" i="2"/>
  <c r="BU121" i="2"/>
  <c r="BT121" i="2"/>
  <c r="BR121" i="2"/>
  <c r="BQ121" i="2"/>
  <c r="BP121" i="2"/>
  <c r="BO121" i="2"/>
  <c r="BM121" i="2"/>
  <c r="BL121" i="2"/>
  <c r="BK121" i="2"/>
  <c r="BJ121" i="2"/>
  <c r="BV113" i="2"/>
  <c r="BV114" i="2"/>
  <c r="BV123" i="2"/>
  <c r="BV122" i="2"/>
  <c r="BU113" i="2"/>
  <c r="BU114" i="2"/>
  <c r="BU123" i="2"/>
  <c r="BU122" i="2"/>
  <c r="BT113" i="2"/>
  <c r="BT114" i="2"/>
  <c r="BT123" i="2"/>
  <c r="BS113" i="2"/>
  <c r="BR113" i="2"/>
  <c r="BR114" i="2"/>
  <c r="BR123" i="2"/>
  <c r="BQ113" i="2"/>
  <c r="BQ114" i="2"/>
  <c r="BQ123" i="2"/>
  <c r="BP113" i="2"/>
  <c r="BP114" i="2"/>
  <c r="BP123" i="2"/>
  <c r="BO113" i="2"/>
  <c r="BO114" i="2"/>
  <c r="BO123" i="2"/>
  <c r="BN113" i="2"/>
  <c r="BM113" i="2"/>
  <c r="BM114" i="2"/>
  <c r="BM123" i="2"/>
  <c r="BL113" i="2"/>
  <c r="BL114" i="2"/>
  <c r="BL123" i="2"/>
  <c r="BK113" i="2"/>
  <c r="BK114" i="2"/>
  <c r="BK123" i="2"/>
  <c r="BJ113" i="2"/>
  <c r="BJ114" i="2"/>
  <c r="BJ123" i="2"/>
  <c r="BI113" i="2"/>
  <c r="BH113" i="2"/>
  <c r="BH114" i="2"/>
  <c r="BF113" i="2"/>
  <c r="BF114" i="2"/>
  <c r="BE113" i="2"/>
  <c r="BE114" i="2"/>
  <c r="BD113" i="2"/>
  <c r="BC113" i="2"/>
  <c r="BC114" i="2"/>
  <c r="BA113" i="2"/>
  <c r="BA114" i="2"/>
  <c r="AZ113" i="2"/>
  <c r="AZ114" i="2"/>
  <c r="AY113" i="2"/>
  <c r="AX113" i="2"/>
  <c r="AX114" i="2"/>
  <c r="AV113" i="2"/>
  <c r="AV114" i="2"/>
  <c r="AU113" i="2"/>
  <c r="AU114" i="2"/>
  <c r="BH107" i="2"/>
  <c r="BG107" i="2"/>
  <c r="BF107" i="2"/>
  <c r="BE107" i="2"/>
  <c r="BC107" i="2"/>
  <c r="BB107" i="2"/>
  <c r="BA107" i="2"/>
  <c r="AZ107" i="2"/>
  <c r="AW107" i="2"/>
  <c r="AV107" i="2"/>
  <c r="AU107" i="2"/>
  <c r="AR107" i="2"/>
  <c r="BI106" i="2"/>
  <c r="BD106" i="2"/>
  <c r="AY106" i="2"/>
  <c r="BD103" i="2"/>
  <c r="BS105" i="2"/>
  <c r="BN105" i="2"/>
  <c r="BS104" i="2"/>
  <c r="BN104" i="2"/>
  <c r="BI104" i="2"/>
  <c r="BD104" i="2"/>
  <c r="BG113" i="2"/>
  <c r="BG114" i="2"/>
  <c r="AY104" i="2"/>
  <c r="BB113" i="2"/>
  <c r="BB114" i="2"/>
  <c r="AT104" i="2"/>
  <c r="AW113" i="2"/>
  <c r="AW114" i="2"/>
  <c r="AO104" i="2"/>
  <c r="BN103" i="2"/>
  <c r="BJ103" i="2"/>
  <c r="BP110" i="2"/>
  <c r="BP111" i="2"/>
  <c r="BP120" i="2"/>
  <c r="BI103" i="2"/>
  <c r="BH103" i="2"/>
  <c r="BH105" i="2"/>
  <c r="BG103" i="2"/>
  <c r="BG108" i="2"/>
  <c r="BF103" i="2"/>
  <c r="BE103" i="2"/>
  <c r="BE108" i="2"/>
  <c r="BC103" i="2"/>
  <c r="BC105" i="2"/>
  <c r="BB103" i="2"/>
  <c r="BB105" i="2"/>
  <c r="BA103" i="2"/>
  <c r="BA105" i="2"/>
  <c r="AX103" i="2"/>
  <c r="AW103" i="2"/>
  <c r="AW105" i="2"/>
  <c r="AV103" i="2"/>
  <c r="AV105" i="2"/>
  <c r="AS103" i="2"/>
  <c r="AS106" i="2"/>
  <c r="AT106" i="2"/>
  <c r="AR103" i="2"/>
  <c r="AR105" i="2"/>
  <c r="AQ103" i="2"/>
  <c r="AQ108" i="2"/>
  <c r="AO103" i="2"/>
  <c r="AN103" i="2"/>
  <c r="AN106" i="2"/>
  <c r="AN108" i="2"/>
  <c r="AO108" i="2"/>
  <c r="BI93" i="2"/>
  <c r="BI80" i="2"/>
  <c r="BG93" i="2"/>
  <c r="BF93" i="2"/>
  <c r="BE93" i="2"/>
  <c r="BD93" i="2"/>
  <c r="BD80" i="2"/>
  <c r="BB93" i="2"/>
  <c r="BB80" i="2"/>
  <c r="BA93" i="2"/>
  <c r="AZ93" i="2"/>
  <c r="AZ80" i="2"/>
  <c r="AY93" i="2"/>
  <c r="AY80" i="2"/>
  <c r="AW93" i="2"/>
  <c r="AW80" i="2"/>
  <c r="AV93" i="2"/>
  <c r="AU93" i="2"/>
  <c r="AT93" i="2"/>
  <c r="AR93" i="2"/>
  <c r="AR80" i="2"/>
  <c r="AW77" i="2"/>
  <c r="AW78" i="2"/>
  <c r="AQ93" i="2"/>
  <c r="AQ80" i="2"/>
  <c r="AP93" i="2"/>
  <c r="AO93" i="2"/>
  <c r="AO80" i="2"/>
  <c r="AM93" i="2"/>
  <c r="AL93" i="2"/>
  <c r="AK93" i="2"/>
  <c r="AJ93" i="2"/>
  <c r="AJ80" i="2"/>
  <c r="AI93" i="2"/>
  <c r="AI80" i="2"/>
  <c r="AH93" i="2"/>
  <c r="AG93" i="2"/>
  <c r="AF93" i="2"/>
  <c r="AE93" i="2"/>
  <c r="AE80" i="2"/>
  <c r="AD93" i="2"/>
  <c r="AC93" i="2"/>
  <c r="AB93" i="2"/>
  <c r="AA93" i="2"/>
  <c r="AA80" i="2"/>
  <c r="Z93" i="2"/>
  <c r="Z80" i="2"/>
  <c r="Y93" i="2"/>
  <c r="X93" i="2"/>
  <c r="X80" i="2"/>
  <c r="W93" i="2"/>
  <c r="V93" i="2"/>
  <c r="U93" i="2"/>
  <c r="T93" i="2"/>
  <c r="T80" i="2"/>
  <c r="S93" i="2"/>
  <c r="S80" i="2"/>
  <c r="R93" i="2"/>
  <c r="Q93" i="2"/>
  <c r="Q80" i="2"/>
  <c r="P93" i="2"/>
  <c r="BS88" i="2"/>
  <c r="BN88" i="2"/>
  <c r="BI88" i="2"/>
  <c r="BD88" i="2"/>
  <c r="AY88" i="2"/>
  <c r="AT88" i="2"/>
  <c r="AO88" i="2"/>
  <c r="AJ88" i="2"/>
  <c r="AE88" i="2"/>
  <c r="Z88" i="2"/>
  <c r="U88" i="2"/>
  <c r="BI86" i="2"/>
  <c r="BI95" i="2"/>
  <c r="BH86" i="2"/>
  <c r="BH95" i="2"/>
  <c r="BG86" i="2"/>
  <c r="BG95" i="2"/>
  <c r="BF86" i="2"/>
  <c r="BF95" i="2"/>
  <c r="BE86" i="2"/>
  <c r="BE95" i="2"/>
  <c r="BD86" i="2"/>
  <c r="BD95" i="2"/>
  <c r="BC86" i="2"/>
  <c r="BC95" i="2"/>
  <c r="BB86" i="2"/>
  <c r="BB95" i="2"/>
  <c r="BA86" i="2"/>
  <c r="BA95" i="2"/>
  <c r="AZ86" i="2"/>
  <c r="AZ95" i="2"/>
  <c r="AY86" i="2"/>
  <c r="AY95" i="2"/>
  <c r="AX86" i="2"/>
  <c r="AX95" i="2"/>
  <c r="AW86" i="2"/>
  <c r="AW95" i="2"/>
  <c r="AV86" i="2"/>
  <c r="AV95" i="2"/>
  <c r="AU86" i="2"/>
  <c r="AU95" i="2"/>
  <c r="AT86" i="2"/>
  <c r="AT95" i="2"/>
  <c r="AS86" i="2"/>
  <c r="AS95" i="2"/>
  <c r="AR86" i="2"/>
  <c r="AR95" i="2"/>
  <c r="AQ86" i="2"/>
  <c r="AQ95" i="2"/>
  <c r="AP86" i="2"/>
  <c r="AP95" i="2"/>
  <c r="AO86" i="2"/>
  <c r="AO95" i="2"/>
  <c r="AN86" i="2"/>
  <c r="AN95" i="2"/>
  <c r="AM86" i="2"/>
  <c r="AM95" i="2"/>
  <c r="AL86" i="2"/>
  <c r="AL95" i="2"/>
  <c r="AK86" i="2"/>
  <c r="AK95" i="2"/>
  <c r="AJ86" i="2"/>
  <c r="AJ95" i="2"/>
  <c r="AI86" i="2"/>
  <c r="AI95" i="2"/>
  <c r="AH86" i="2"/>
  <c r="AH95" i="2"/>
  <c r="AG86" i="2"/>
  <c r="AG95" i="2"/>
  <c r="AF86" i="2"/>
  <c r="AF95" i="2"/>
  <c r="AE86" i="2"/>
  <c r="AE95" i="2"/>
  <c r="AD86" i="2"/>
  <c r="AD95" i="2"/>
  <c r="AC86" i="2"/>
  <c r="AC95" i="2"/>
  <c r="AB86" i="2"/>
  <c r="AB95" i="2"/>
  <c r="AA86" i="2"/>
  <c r="AA95" i="2"/>
  <c r="Z86" i="2"/>
  <c r="Z95" i="2"/>
  <c r="Y86" i="2"/>
  <c r="Y95" i="2"/>
  <c r="X86" i="2"/>
  <c r="X95" i="2"/>
  <c r="W86" i="2"/>
  <c r="W95" i="2"/>
  <c r="V86" i="2"/>
  <c r="V95" i="2"/>
  <c r="U86" i="2"/>
  <c r="U95" i="2"/>
  <c r="T86" i="2"/>
  <c r="T95" i="2"/>
  <c r="S86" i="2"/>
  <c r="S95" i="2"/>
  <c r="R86" i="2"/>
  <c r="R95" i="2"/>
  <c r="Q86" i="2"/>
  <c r="Q95" i="2"/>
  <c r="P86" i="2"/>
  <c r="P95" i="2"/>
  <c r="A86" i="2"/>
  <c r="A95" i="2"/>
  <c r="BI85" i="2"/>
  <c r="BG85" i="2"/>
  <c r="BF85" i="2"/>
  <c r="BE85" i="2"/>
  <c r="BD85" i="2"/>
  <c r="BB85" i="2"/>
  <c r="BA85" i="2"/>
  <c r="AZ85" i="2"/>
  <c r="AY85" i="2"/>
  <c r="AW85" i="2"/>
  <c r="AV85" i="2"/>
  <c r="AU85" i="2"/>
  <c r="AT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BV84" i="2"/>
  <c r="BV18" i="2"/>
  <c r="BU84" i="2"/>
  <c r="BU86" i="2"/>
  <c r="BU95" i="2"/>
  <c r="BT84" i="2"/>
  <c r="BT86" i="2"/>
  <c r="BT95" i="2"/>
  <c r="BR84" i="2"/>
  <c r="BR86" i="2"/>
  <c r="BR95" i="2"/>
  <c r="BQ84" i="2"/>
  <c r="BQ86" i="2"/>
  <c r="BQ95" i="2"/>
  <c r="BP84" i="2"/>
  <c r="BP86" i="2"/>
  <c r="BP95" i="2"/>
  <c r="BO84" i="2"/>
  <c r="BO86" i="2"/>
  <c r="BM84" i="2"/>
  <c r="BM86" i="2"/>
  <c r="BM95" i="2"/>
  <c r="BL84" i="2"/>
  <c r="BL86" i="2"/>
  <c r="BL95" i="2"/>
  <c r="BK84" i="2"/>
  <c r="BK86" i="2"/>
  <c r="BK95" i="2"/>
  <c r="BJ84" i="2"/>
  <c r="BJ86" i="2"/>
  <c r="BI83" i="2"/>
  <c r="BG83" i="2"/>
  <c r="BF83" i="2"/>
  <c r="BE83" i="2"/>
  <c r="BD83" i="2"/>
  <c r="BB83" i="2"/>
  <c r="BA83" i="2"/>
  <c r="AZ83" i="2"/>
  <c r="AY83" i="2"/>
  <c r="AW83" i="2"/>
  <c r="AV83" i="2"/>
  <c r="AU83" i="2"/>
  <c r="AT83" i="2"/>
  <c r="AR83" i="2"/>
  <c r="AQ83" i="2"/>
  <c r="AP83" i="2"/>
  <c r="AO83" i="2"/>
  <c r="AN83" i="2"/>
  <c r="AM83" i="2"/>
  <c r="AL83" i="2"/>
  <c r="AK83" i="2"/>
  <c r="AJ83" i="2"/>
  <c r="AI83" i="2"/>
  <c r="AH83" i="2"/>
  <c r="AG83" i="2"/>
  <c r="AF83" i="2"/>
  <c r="AE83" i="2"/>
  <c r="AD83" i="2"/>
  <c r="AC83" i="2"/>
  <c r="AB83" i="2"/>
  <c r="AA83" i="2"/>
  <c r="Z83" i="2"/>
  <c r="Y83" i="2"/>
  <c r="X83" i="2"/>
  <c r="W83" i="2"/>
  <c r="V83" i="2"/>
  <c r="U83" i="2"/>
  <c r="T83" i="2"/>
  <c r="S83" i="2"/>
  <c r="R83" i="2"/>
  <c r="Q83" i="2"/>
  <c r="P83" i="2"/>
  <c r="BI82" i="2"/>
  <c r="BG82" i="2"/>
  <c r="BF82" i="2"/>
  <c r="BE82" i="2"/>
  <c r="BD82" i="2"/>
  <c r="BB82" i="2"/>
  <c r="BA82" i="2"/>
  <c r="BA84" i="2"/>
  <c r="AZ82" i="2"/>
  <c r="AY82" i="2"/>
  <c r="AW82" i="2"/>
  <c r="AV82" i="2"/>
  <c r="AV84" i="2"/>
  <c r="AU82" i="2"/>
  <c r="AU84" i="2"/>
  <c r="AT82" i="2"/>
  <c r="AR82" i="2"/>
  <c r="AQ82" i="2"/>
  <c r="AP82" i="2"/>
  <c r="AO82" i="2"/>
  <c r="AO84" i="2"/>
  <c r="AN82" i="2"/>
  <c r="AM82" i="2"/>
  <c r="AL82" i="2"/>
  <c r="AK82" i="2"/>
  <c r="AJ82" i="2"/>
  <c r="AI82" i="2"/>
  <c r="AI84" i="2"/>
  <c r="AH82" i="2"/>
  <c r="AG82" i="2"/>
  <c r="AF82" i="2"/>
  <c r="AF84" i="2"/>
  <c r="AE82" i="2"/>
  <c r="AE84" i="2"/>
  <c r="AD82" i="2"/>
  <c r="AD84" i="2"/>
  <c r="AC82" i="2"/>
  <c r="AC84" i="2"/>
  <c r="AB82" i="2"/>
  <c r="AA82" i="2"/>
  <c r="Z82" i="2"/>
  <c r="Y82" i="2"/>
  <c r="X82" i="2"/>
  <c r="W82" i="2"/>
  <c r="V82" i="2"/>
  <c r="U82" i="2"/>
  <c r="T82" i="2"/>
  <c r="S82" i="2"/>
  <c r="S84" i="2"/>
  <c r="R82" i="2"/>
  <c r="Q82" i="2"/>
  <c r="P82" i="2"/>
  <c r="P84" i="2"/>
  <c r="BG80" i="2"/>
  <c r="BF80" i="2"/>
  <c r="BE80" i="2"/>
  <c r="BA80" i="2"/>
  <c r="AV80" i="2"/>
  <c r="AU80" i="2"/>
  <c r="AT80" i="2"/>
  <c r="AM80" i="2"/>
  <c r="AK80" i="2"/>
  <c r="AH80" i="2"/>
  <c r="AG80" i="2"/>
  <c r="AF80" i="2"/>
  <c r="AC80" i="2"/>
  <c r="AB80" i="2"/>
  <c r="W80" i="2"/>
  <c r="U80" i="2"/>
  <c r="R80" i="2"/>
  <c r="AD75" i="2"/>
  <c r="AD80" i="2"/>
  <c r="Y75" i="2"/>
  <c r="Y80" i="2"/>
  <c r="BV72" i="2"/>
  <c r="BU72" i="2"/>
  <c r="BT72" i="2"/>
  <c r="BR72" i="2"/>
  <c r="BQ72" i="2"/>
  <c r="BP72" i="2"/>
  <c r="BS72" i="2"/>
  <c r="BO72" i="2"/>
  <c r="BM72" i="2"/>
  <c r="BL72" i="2"/>
  <c r="BK72" i="2"/>
  <c r="BJ72" i="2"/>
  <c r="BV64" i="2"/>
  <c r="BV65" i="2"/>
  <c r="BV74" i="2"/>
  <c r="BU64" i="2"/>
  <c r="BU65" i="2"/>
  <c r="BU74" i="2"/>
  <c r="BT64" i="2"/>
  <c r="BT65" i="2"/>
  <c r="BT74" i="2"/>
  <c r="BS64" i="2"/>
  <c r="BR64" i="2"/>
  <c r="BR65" i="2"/>
  <c r="BR74" i="2"/>
  <c r="BR73" i="2"/>
  <c r="BQ64" i="2"/>
  <c r="BQ65" i="2"/>
  <c r="BQ74" i="2"/>
  <c r="BP64" i="2"/>
  <c r="BP65" i="2"/>
  <c r="BP74" i="2"/>
  <c r="BO64" i="2"/>
  <c r="BO65" i="2"/>
  <c r="BO74" i="2"/>
  <c r="BO73" i="2"/>
  <c r="BN64" i="2"/>
  <c r="BM64" i="2"/>
  <c r="BM65" i="2"/>
  <c r="BM74" i="2"/>
  <c r="BL64" i="2"/>
  <c r="BL65" i="2"/>
  <c r="BL74" i="2"/>
  <c r="BK64" i="2"/>
  <c r="BK65" i="2"/>
  <c r="BK74" i="2"/>
  <c r="BJ64" i="2"/>
  <c r="BJ65" i="2"/>
  <c r="BJ74" i="2"/>
  <c r="BI64" i="2"/>
  <c r="BH64" i="2"/>
  <c r="BH65" i="2"/>
  <c r="BG64" i="2"/>
  <c r="BG65" i="2"/>
  <c r="BF64" i="2"/>
  <c r="BF65" i="2"/>
  <c r="BE64" i="2"/>
  <c r="BE65" i="2"/>
  <c r="BD64" i="2"/>
  <c r="BC64" i="2"/>
  <c r="BC65" i="2"/>
  <c r="BB64" i="2"/>
  <c r="BB65" i="2"/>
  <c r="BA64" i="2"/>
  <c r="BA65" i="2"/>
  <c r="AZ64" i="2"/>
  <c r="AZ65" i="2"/>
  <c r="AY64" i="2"/>
  <c r="AX64" i="2"/>
  <c r="AX65" i="2"/>
  <c r="AW64" i="2"/>
  <c r="AW65" i="2"/>
  <c r="AV64" i="2"/>
  <c r="AV65" i="2"/>
  <c r="AU64" i="2"/>
  <c r="AU65" i="2"/>
  <c r="AT64" i="2"/>
  <c r="AS64" i="2"/>
  <c r="AS65" i="2"/>
  <c r="AR64" i="2"/>
  <c r="AR65" i="2"/>
  <c r="AQ64" i="2"/>
  <c r="AQ65" i="2"/>
  <c r="AP64" i="2"/>
  <c r="AP65" i="2"/>
  <c r="AO64" i="2"/>
  <c r="AN64" i="2"/>
  <c r="AN65" i="2"/>
  <c r="AM64" i="2"/>
  <c r="AM65" i="2"/>
  <c r="AL64" i="2"/>
  <c r="AL65" i="2"/>
  <c r="AK64" i="2"/>
  <c r="AK65" i="2"/>
  <c r="AJ64" i="2"/>
  <c r="AI64" i="2"/>
  <c r="AI65" i="2"/>
  <c r="AH64" i="2"/>
  <c r="AH65" i="2"/>
  <c r="AG64" i="2"/>
  <c r="AG65" i="2"/>
  <c r="AF64" i="2"/>
  <c r="AF65" i="2"/>
  <c r="AE64" i="2"/>
  <c r="AD64" i="2"/>
  <c r="AD65" i="2"/>
  <c r="AC64" i="2"/>
  <c r="AC65" i="2"/>
  <c r="AB64" i="2"/>
  <c r="AB65" i="2"/>
  <c r="AA64" i="2"/>
  <c r="AA65" i="2"/>
  <c r="Z64" i="2"/>
  <c r="Y64" i="2"/>
  <c r="Y65" i="2"/>
  <c r="X64" i="2"/>
  <c r="X65" i="2"/>
  <c r="W64" i="2"/>
  <c r="W65" i="2"/>
  <c r="V64" i="2"/>
  <c r="V65" i="2"/>
  <c r="U64" i="2"/>
  <c r="T64" i="2"/>
  <c r="T65" i="2"/>
  <c r="S64" i="2"/>
  <c r="S65" i="2"/>
  <c r="R64" i="2"/>
  <c r="R65" i="2"/>
  <c r="Q64" i="2"/>
  <c r="Q65" i="2"/>
  <c r="P64" i="2"/>
  <c r="BH58" i="2"/>
  <c r="BG58" i="2"/>
  <c r="BF58" i="2"/>
  <c r="BE58" i="2"/>
  <c r="BC58" i="2"/>
  <c r="BB58" i="2"/>
  <c r="BA58" i="2"/>
  <c r="AZ58" i="2"/>
  <c r="AX58" i="2"/>
  <c r="AW58" i="2"/>
  <c r="AV58" i="2"/>
  <c r="AU58" i="2"/>
  <c r="AS58" i="2"/>
  <c r="AR58" i="2"/>
  <c r="AQ58" i="2"/>
  <c r="AP58" i="2"/>
  <c r="AN58" i="2"/>
  <c r="AM58" i="2"/>
  <c r="AL58" i="2"/>
  <c r="AK58" i="2"/>
  <c r="AJ58" i="2"/>
  <c r="AI58" i="2"/>
  <c r="AH58" i="2"/>
  <c r="AG58" i="2"/>
  <c r="AF58" i="2"/>
  <c r="AE58" i="2"/>
  <c r="AD58" i="2"/>
  <c r="AC58" i="2"/>
  <c r="AB58" i="2"/>
  <c r="AA58" i="2"/>
  <c r="Z58" i="2"/>
  <c r="X58" i="2"/>
  <c r="W58" i="2"/>
  <c r="V58" i="2"/>
  <c r="U58" i="2"/>
  <c r="S58" i="2"/>
  <c r="R58" i="2"/>
  <c r="Q58" i="2"/>
  <c r="P58" i="2"/>
  <c r="BI57" i="2"/>
  <c r="BN54" i="2"/>
  <c r="BD57" i="2"/>
  <c r="AY57" i="2"/>
  <c r="BD54" i="2"/>
  <c r="AT57" i="2"/>
  <c r="AO57" i="2"/>
  <c r="T57" i="2"/>
  <c r="BS56" i="2"/>
  <c r="BN56" i="2"/>
  <c r="BS55" i="2"/>
  <c r="BN55" i="2"/>
  <c r="BI55" i="2"/>
  <c r="BD55" i="2"/>
  <c r="AY55" i="2"/>
  <c r="AT55" i="2"/>
  <c r="AO55" i="2"/>
  <c r="BI54" i="2"/>
  <c r="BH54" i="2"/>
  <c r="BH235" i="2"/>
  <c r="BG54" i="2"/>
  <c r="BG56" i="2"/>
  <c r="BF54" i="2"/>
  <c r="BF235" i="2"/>
  <c r="BE54" i="2"/>
  <c r="BE56" i="2"/>
  <c r="BC54" i="2"/>
  <c r="BB54" i="2"/>
  <c r="BA54" i="2"/>
  <c r="AZ54" i="2"/>
  <c r="AZ56" i="2"/>
  <c r="AY54" i="2"/>
  <c r="AX54" i="2"/>
  <c r="AX235" i="2"/>
  <c r="AW54" i="2"/>
  <c r="AV54" i="2"/>
  <c r="AU54" i="2"/>
  <c r="AU56" i="2"/>
  <c r="AT54" i="2"/>
  <c r="AS54" i="2"/>
  <c r="AR54" i="2"/>
  <c r="AQ54" i="2"/>
  <c r="AQ56" i="2"/>
  <c r="AP54" i="2"/>
  <c r="AP56" i="2"/>
  <c r="AO54" i="2"/>
  <c r="AN54" i="2"/>
  <c r="AN56" i="2"/>
  <c r="AM54" i="2"/>
  <c r="AL54" i="2"/>
  <c r="AL56" i="2"/>
  <c r="AK54" i="2"/>
  <c r="AK56" i="2"/>
  <c r="AJ54" i="2"/>
  <c r="AJ56" i="2"/>
  <c r="AI54" i="2"/>
  <c r="AI56" i="2"/>
  <c r="AH54" i="2"/>
  <c r="AH56" i="2"/>
  <c r="AH237" i="2"/>
  <c r="AG54" i="2"/>
  <c r="AG56" i="2"/>
  <c r="AG237" i="2"/>
  <c r="AF54" i="2"/>
  <c r="AF56" i="2"/>
  <c r="AF237" i="2"/>
  <c r="AE54" i="2"/>
  <c r="AE56" i="2"/>
  <c r="AD54" i="2"/>
  <c r="AD56" i="2"/>
  <c r="AC54" i="2"/>
  <c r="AC56" i="2"/>
  <c r="AC237" i="2"/>
  <c r="AB54" i="2"/>
  <c r="AA54" i="2"/>
  <c r="AA56" i="2"/>
  <c r="Z54" i="2"/>
  <c r="Z56" i="2"/>
  <c r="Y54" i="2"/>
  <c r="Y56" i="2"/>
  <c r="X54" i="2"/>
  <c r="X56" i="2"/>
  <c r="X237" i="2"/>
  <c r="W54" i="2"/>
  <c r="W56" i="2"/>
  <c r="V54" i="2"/>
  <c r="V56" i="2"/>
  <c r="U54" i="2"/>
  <c r="U56" i="2"/>
  <c r="T54" i="2"/>
  <c r="S54" i="2"/>
  <c r="S56" i="2"/>
  <c r="S237" i="2"/>
  <c r="R54" i="2"/>
  <c r="R56" i="2"/>
  <c r="Q54" i="2"/>
  <c r="Q56" i="2"/>
  <c r="Q237" i="2"/>
  <c r="P54" i="2"/>
  <c r="P56" i="2"/>
  <c r="BI51" i="2"/>
  <c r="BI49" i="2"/>
  <c r="BI721" i="2"/>
  <c r="BG51" i="2"/>
  <c r="BG49" i="2"/>
  <c r="BF51" i="2"/>
  <c r="BE51" i="2"/>
  <c r="BE49" i="2"/>
  <c r="BE721" i="2"/>
  <c r="BD51" i="2"/>
  <c r="BD49" i="2"/>
  <c r="BD721" i="2"/>
  <c r="BB51" i="2"/>
  <c r="BB49" i="2"/>
  <c r="BA51" i="2"/>
  <c r="BA49" i="2"/>
  <c r="AZ51" i="2"/>
  <c r="AZ49" i="2"/>
  <c r="AZ721" i="2"/>
  <c r="AY51" i="2"/>
  <c r="AW51" i="2"/>
  <c r="AV51" i="2"/>
  <c r="AV49" i="2"/>
  <c r="AU51" i="2"/>
  <c r="AT51" i="2"/>
  <c r="AS51" i="2"/>
  <c r="AS49" i="2"/>
  <c r="AR51" i="2"/>
  <c r="AR49" i="2"/>
  <c r="AQ51" i="2"/>
  <c r="AQ49" i="2"/>
  <c r="AP51" i="2"/>
  <c r="AO51" i="2"/>
  <c r="AO49" i="2"/>
  <c r="AO721" i="2"/>
  <c r="AM51" i="2"/>
  <c r="AM49" i="2"/>
  <c r="AL51" i="2"/>
  <c r="AL49" i="2"/>
  <c r="AK51" i="2"/>
  <c r="AK49" i="2"/>
  <c r="AK721" i="2"/>
  <c r="AJ51" i="2"/>
  <c r="AJ49" i="2"/>
  <c r="AJ721" i="2"/>
  <c r="AH51" i="2"/>
  <c r="AG51" i="2"/>
  <c r="AF51" i="2"/>
  <c r="AF49" i="2"/>
  <c r="AF721" i="2"/>
  <c r="AE51" i="2"/>
  <c r="AE49" i="2"/>
  <c r="AE721" i="2"/>
  <c r="AD51" i="2"/>
  <c r="AC51" i="2"/>
  <c r="AC49" i="2"/>
  <c r="AB51" i="2"/>
  <c r="AB49" i="2"/>
  <c r="AA51" i="2"/>
  <c r="AA49" i="2"/>
  <c r="AA721" i="2"/>
  <c r="Z51" i="2"/>
  <c r="Y51" i="2"/>
  <c r="Y49" i="2"/>
  <c r="X51" i="2"/>
  <c r="X49" i="2"/>
  <c r="W51" i="2"/>
  <c r="W49" i="2"/>
  <c r="V51" i="2"/>
  <c r="V49" i="2"/>
  <c r="V721" i="2"/>
  <c r="U51" i="2"/>
  <c r="U49" i="2"/>
  <c r="U721" i="2"/>
  <c r="U732" i="2"/>
  <c r="T51" i="2"/>
  <c r="T49" i="2"/>
  <c r="S51" i="2"/>
  <c r="R51" i="2"/>
  <c r="Q51" i="2"/>
  <c r="P51" i="2"/>
  <c r="P49" i="2"/>
  <c r="P721" i="2"/>
  <c r="BH50" i="2"/>
  <c r="BH727" i="2"/>
  <c r="BC50" i="2"/>
  <c r="BC727" i="2"/>
  <c r="AX50" i="2"/>
  <c r="AX727" i="2"/>
  <c r="BF49" i="2"/>
  <c r="AY49" i="2"/>
  <c r="AY721" i="2"/>
  <c r="AY732" i="2"/>
  <c r="AW49" i="2"/>
  <c r="AU49" i="2"/>
  <c r="AU721" i="2"/>
  <c r="AT49" i="2"/>
  <c r="AT721" i="2"/>
  <c r="AP49" i="2"/>
  <c r="AP721" i="2"/>
  <c r="AH49" i="2"/>
  <c r="AG49" i="2"/>
  <c r="AD49" i="2"/>
  <c r="Z49" i="2"/>
  <c r="Z721" i="2"/>
  <c r="S49" i="2"/>
  <c r="R49" i="2"/>
  <c r="Q49" i="2"/>
  <c r="Q721" i="2"/>
  <c r="BV47" i="2"/>
  <c r="BU47" i="2"/>
  <c r="BT47" i="2"/>
  <c r="BS47" i="2"/>
  <c r="BR47" i="2"/>
  <c r="BQ47" i="2"/>
  <c r="BP47" i="2"/>
  <c r="BO47" i="2"/>
  <c r="BN47" i="2"/>
  <c r="BM47" i="2"/>
  <c r="BL47" i="2"/>
  <c r="BK47" i="2"/>
  <c r="BJ47" i="2"/>
  <c r="BI47" i="2"/>
  <c r="BG47" i="2"/>
  <c r="BF47" i="2"/>
  <c r="BE47" i="2"/>
  <c r="BD47" i="2"/>
  <c r="BB47" i="2"/>
  <c r="BA47" i="2"/>
  <c r="AZ47" i="2"/>
  <c r="AY47" i="2"/>
  <c r="AW47" i="2"/>
  <c r="AV47" i="2"/>
  <c r="AU47" i="2"/>
  <c r="AT47" i="2"/>
  <c r="AR47" i="2"/>
  <c r="AR393" i="2"/>
  <c r="AQ47" i="2"/>
  <c r="AP47" i="2"/>
  <c r="AO47" i="2"/>
  <c r="AM47" i="2"/>
  <c r="AL47" i="2"/>
  <c r="AK47" i="2"/>
  <c r="AJ47" i="2"/>
  <c r="AH47" i="2"/>
  <c r="AG47" i="2"/>
  <c r="AF47" i="2"/>
  <c r="AE47" i="2"/>
  <c r="AC47" i="2"/>
  <c r="AB47" i="2"/>
  <c r="AA47" i="2"/>
  <c r="Z47" i="2"/>
  <c r="X47" i="2"/>
  <c r="W47" i="2"/>
  <c r="V47" i="2"/>
  <c r="U47" i="2"/>
  <c r="S47" i="2"/>
  <c r="R47" i="2"/>
  <c r="Q47" i="2"/>
  <c r="P47" i="2"/>
  <c r="BH46" i="2"/>
  <c r="BC46" i="2"/>
  <c r="AX46" i="2"/>
  <c r="AS46" i="2"/>
  <c r="AN46" i="2"/>
  <c r="AI46" i="2"/>
  <c r="AD46" i="2"/>
  <c r="Y46" i="2"/>
  <c r="T46" i="2"/>
  <c r="BH45" i="2"/>
  <c r="BC45" i="2"/>
  <c r="AX45" i="2"/>
  <c r="AS45" i="2"/>
  <c r="AN45" i="2"/>
  <c r="AI45" i="2"/>
  <c r="AD45" i="2"/>
  <c r="Y45" i="2"/>
  <c r="T45" i="2"/>
  <c r="BH44" i="2"/>
  <c r="BC44" i="2"/>
  <c r="AX44" i="2"/>
  <c r="AS44" i="2"/>
  <c r="AN44" i="2"/>
  <c r="AI44" i="2"/>
  <c r="AI47" i="2"/>
  <c r="AD44" i="2"/>
  <c r="Y44" i="2"/>
  <c r="T44" i="2"/>
  <c r="BS41" i="2"/>
  <c r="BN41" i="2"/>
  <c r="BI41" i="2"/>
  <c r="BG41" i="2"/>
  <c r="BF41" i="2"/>
  <c r="BE41" i="2"/>
  <c r="BD41" i="2"/>
  <c r="BB41" i="2"/>
  <c r="BA41" i="2"/>
  <c r="AZ41" i="2"/>
  <c r="AY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BI39" i="2"/>
  <c r="BH39" i="2"/>
  <c r="BG39" i="2"/>
  <c r="BF39" i="2"/>
  <c r="BE39" i="2"/>
  <c r="BD39" i="2"/>
  <c r="BD324" i="2"/>
  <c r="BD807" i="2" a="1"/>
  <c r="BD807" i="2"/>
  <c r="BC39" i="2"/>
  <c r="BB39" i="2"/>
  <c r="BB324" i="2"/>
  <c r="BB807" i="2" a="1"/>
  <c r="BB807" i="2"/>
  <c r="BA39" i="2"/>
  <c r="BA324" i="2"/>
  <c r="BA807" i="2" a="1"/>
  <c r="BA807" i="2"/>
  <c r="AZ39" i="2"/>
  <c r="AY39" i="2"/>
  <c r="AX39" i="2"/>
  <c r="AW39" i="2"/>
  <c r="AV39" i="2"/>
  <c r="AU39" i="2"/>
  <c r="AU324" i="2"/>
  <c r="AU807" i="2" a="1"/>
  <c r="AU807" i="2"/>
  <c r="AT39" i="2"/>
  <c r="AT324" i="2"/>
  <c r="AT807" i="2" a="1"/>
  <c r="AT807" i="2"/>
  <c r="AS39" i="2"/>
  <c r="AR39" i="2"/>
  <c r="AQ39" i="2"/>
  <c r="AP39" i="2"/>
  <c r="AP324" i="2"/>
  <c r="AP807" i="2" a="1"/>
  <c r="AP807" i="2"/>
  <c r="AO39" i="2"/>
  <c r="AN39" i="2"/>
  <c r="AM39" i="2"/>
  <c r="AL39" i="2"/>
  <c r="AK39" i="2"/>
  <c r="AJ39" i="2"/>
  <c r="AJ324" i="2"/>
  <c r="AJ807" i="2" a="1"/>
  <c r="AJ807" i="2"/>
  <c r="AI39" i="2"/>
  <c r="AI324" i="2"/>
  <c r="AI807" i="2" a="1"/>
  <c r="AI807" i="2"/>
  <c r="AH39" i="2"/>
  <c r="AH324" i="2"/>
  <c r="AH807" i="2" a="1"/>
  <c r="AH807" i="2"/>
  <c r="AG39" i="2"/>
  <c r="AF39" i="2"/>
  <c r="AE39" i="2"/>
  <c r="AD39" i="2"/>
  <c r="AC39" i="2"/>
  <c r="AC324" i="2"/>
  <c r="AC807" i="2" a="1"/>
  <c r="AC807" i="2"/>
  <c r="AB39" i="2"/>
  <c r="AB324" i="2"/>
  <c r="AB807" i="2" a="1"/>
  <c r="AB807" i="2"/>
  <c r="AA39" i="2"/>
  <c r="Z39" i="2"/>
  <c r="Y39" i="2"/>
  <c r="Y324" i="2"/>
  <c r="Y807" i="2" a="1"/>
  <c r="Y807" i="2"/>
  <c r="X39" i="2"/>
  <c r="W39" i="2"/>
  <c r="V39" i="2"/>
  <c r="U39" i="2"/>
  <c r="T39" i="2"/>
  <c r="T324" i="2"/>
  <c r="T807" i="2" a="1"/>
  <c r="T807" i="2"/>
  <c r="S39" i="2"/>
  <c r="S324" i="2"/>
  <c r="S807" i="2" a="1"/>
  <c r="S807" i="2"/>
  <c r="R39" i="2"/>
  <c r="R324" i="2"/>
  <c r="R807" i="2" a="1"/>
  <c r="R807" i="2"/>
  <c r="Q39" i="2"/>
  <c r="P39" i="2"/>
  <c r="BI38" i="2"/>
  <c r="BG38" i="2"/>
  <c r="BF38" i="2"/>
  <c r="BE38" i="2"/>
  <c r="BD38" i="2"/>
  <c r="BB38" i="2"/>
  <c r="BA38" i="2"/>
  <c r="AZ38" i="2"/>
  <c r="AY38" i="2"/>
  <c r="AW38" i="2"/>
  <c r="AV38" i="2"/>
  <c r="AU38" i="2"/>
  <c r="AT38" i="2"/>
  <c r="AR38" i="2"/>
  <c r="AQ38" i="2"/>
  <c r="AP38" i="2"/>
  <c r="AO38" i="2"/>
  <c r="AM38" i="2"/>
  <c r="AL38" i="2"/>
  <c r="AK38" i="2"/>
  <c r="AJ38" i="2"/>
  <c r="AI38" i="2"/>
  <c r="AH38" i="2"/>
  <c r="AG38" i="2"/>
  <c r="AF38" i="2"/>
  <c r="AE38" i="2"/>
  <c r="AD38" i="2"/>
  <c r="AC38" i="2"/>
  <c r="AB38" i="2"/>
  <c r="AA38" i="2"/>
  <c r="Z38" i="2"/>
  <c r="Y38" i="2"/>
  <c r="X38" i="2"/>
  <c r="W38" i="2"/>
  <c r="V38" i="2"/>
  <c r="U38" i="2"/>
  <c r="T38" i="2"/>
  <c r="S38" i="2"/>
  <c r="R38" i="2"/>
  <c r="Q38" i="2"/>
  <c r="P38" i="2"/>
  <c r="P315" i="2"/>
  <c r="P321" i="2"/>
  <c r="BI37" i="2"/>
  <c r="BG37" i="2"/>
  <c r="BF37" i="2"/>
  <c r="BE37" i="2"/>
  <c r="BD37"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P314" i="2"/>
  <c r="P320"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P313" i="2"/>
  <c r="P319" i="2"/>
  <c r="BI33" i="2"/>
  <c r="BG33" i="2"/>
  <c r="BG232" i="2"/>
  <c r="BF33" i="2"/>
  <c r="BF232" i="2"/>
  <c r="BE33" i="2"/>
  <c r="BD33" i="2"/>
  <c r="BB33" i="2"/>
  <c r="BB232" i="2"/>
  <c r="BA33" i="2"/>
  <c r="AZ33" i="2"/>
  <c r="AZ232" i="2"/>
  <c r="AY33" i="2"/>
  <c r="AW33" i="2"/>
  <c r="AV33" i="2"/>
  <c r="AU33" i="2"/>
  <c r="AT33" i="2"/>
  <c r="AT232" i="2"/>
  <c r="AR33" i="2"/>
  <c r="AQ33" i="2"/>
  <c r="AP33" i="2"/>
  <c r="AO33" i="2"/>
  <c r="AM33" i="2"/>
  <c r="AL33" i="2"/>
  <c r="AK33" i="2"/>
  <c r="AJ33" i="2"/>
  <c r="AI33" i="2"/>
  <c r="AH33" i="2"/>
  <c r="AH232" i="2"/>
  <c r="AG33" i="2"/>
  <c r="AF33" i="2"/>
  <c r="AE33" i="2"/>
  <c r="AD33" i="2"/>
  <c r="AC33" i="2"/>
  <c r="AB33" i="2"/>
  <c r="AA33" i="2"/>
  <c r="AA232" i="2"/>
  <c r="Z33" i="2"/>
  <c r="Z232" i="2"/>
  <c r="Y33" i="2"/>
  <c r="X33" i="2"/>
  <c r="W33" i="2"/>
  <c r="V33" i="2"/>
  <c r="U33" i="2"/>
  <c r="T33" i="2"/>
  <c r="S33" i="2"/>
  <c r="R33" i="2"/>
  <c r="R232" i="2"/>
  <c r="Q33" i="2"/>
  <c r="P33" i="2"/>
  <c r="BH32" i="2"/>
  <c r="BC32" i="2"/>
  <c r="AX32" i="2"/>
  <c r="AS32" i="2"/>
  <c r="AN32" i="2"/>
  <c r="BB29" i="2"/>
  <c r="BA29" i="2"/>
  <c r="AZ29" i="2"/>
  <c r="AX29" i="2"/>
  <c r="BC29" i="2"/>
  <c r="AS29" i="2"/>
  <c r="AN29" i="2"/>
  <c r="AI29" i="2"/>
  <c r="AD29" i="2"/>
  <c r="Y29" i="2"/>
  <c r="T29" i="2"/>
  <c r="BH28" i="2"/>
  <c r="BH158" i="2"/>
  <c r="BC28" i="2"/>
  <c r="BC158" i="2"/>
  <c r="AX28" i="2"/>
  <c r="BC9" i="2"/>
  <c r="AS28" i="2"/>
  <c r="AN28" i="2"/>
  <c r="AN158" i="2"/>
  <c r="BH27" i="2"/>
  <c r="BH138" i="2"/>
  <c r="BH129" i="2"/>
  <c r="BC27" i="2"/>
  <c r="AX27" i="2"/>
  <c r="AX138" i="2"/>
  <c r="AS27" i="2"/>
  <c r="AN27" i="2"/>
  <c r="BH26" i="2"/>
  <c r="BC26" i="2"/>
  <c r="AX26" i="2"/>
  <c r="BC7" i="2"/>
  <c r="BC100" i="2"/>
  <c r="BC99" i="2"/>
  <c r="AS26" i="2"/>
  <c r="AN26" i="2"/>
  <c r="BV21" i="2"/>
  <c r="BU21" i="2"/>
  <c r="BT21" i="2"/>
  <c r="BR21" i="2"/>
  <c r="BQ21" i="2"/>
  <c r="BP21" i="2"/>
  <c r="BO21" i="2"/>
  <c r="BM21" i="2"/>
  <c r="BL21" i="2"/>
  <c r="BK21" i="2"/>
  <c r="BJ21" i="2"/>
  <c r="BP20" i="2"/>
  <c r="BO20" i="2"/>
  <c r="BL20" i="2"/>
  <c r="BV19" i="2"/>
  <c r="BU19" i="2"/>
  <c r="BT19" i="2"/>
  <c r="BR19" i="2"/>
  <c r="BQ19" i="2"/>
  <c r="BP19" i="2"/>
  <c r="BO19" i="2"/>
  <c r="BM19" i="2"/>
  <c r="BL19" i="2"/>
  <c r="BK19" i="2"/>
  <c r="BJ19" i="2"/>
  <c r="BR18" i="2"/>
  <c r="BQ18" i="2"/>
  <c r="BP18" i="2"/>
  <c r="BO18" i="2"/>
  <c r="BL18" i="2"/>
  <c r="BK18" i="2"/>
  <c r="BJ18" i="2"/>
  <c r="BI18" i="2"/>
  <c r="BI306" i="2"/>
  <c r="BH306" i="2"/>
  <c r="BG18" i="2"/>
  <c r="BF18" i="2"/>
  <c r="BE18" i="2"/>
  <c r="BD18" i="2"/>
  <c r="BD306" i="2"/>
  <c r="BC306" i="2"/>
  <c r="BB18" i="2"/>
  <c r="BA18" i="2"/>
  <c r="AZ18" i="2"/>
  <c r="AY18" i="2"/>
  <c r="AY306" i="2"/>
  <c r="AX306" i="2"/>
  <c r="AW18" i="2"/>
  <c r="AV18" i="2"/>
  <c r="AU18" i="2"/>
  <c r="AT18" i="2"/>
  <c r="AT306" i="2"/>
  <c r="AS306" i="2"/>
  <c r="AR18" i="2"/>
  <c r="AQ18" i="2"/>
  <c r="AP18" i="2"/>
  <c r="AO18" i="2"/>
  <c r="AO306" i="2"/>
  <c r="AN306" i="2"/>
  <c r="AN18" i="2"/>
  <c r="AM18" i="2"/>
  <c r="AL18" i="2"/>
  <c r="AK18" i="2"/>
  <c r="AJ18" i="2"/>
  <c r="AJ306" i="2"/>
  <c r="AI306" i="2"/>
  <c r="AI18" i="2"/>
  <c r="AH18" i="2"/>
  <c r="AG18" i="2"/>
  <c r="AF18" i="2"/>
  <c r="AE18" i="2"/>
  <c r="AE306" i="2"/>
  <c r="AD306" i="2"/>
  <c r="AD18" i="2"/>
  <c r="AC18" i="2"/>
  <c r="AB18" i="2"/>
  <c r="AA18" i="2"/>
  <c r="Z18" i="2"/>
  <c r="Z306" i="2"/>
  <c r="Y306" i="2"/>
  <c r="Y18" i="2"/>
  <c r="X18" i="2"/>
  <c r="W18" i="2"/>
  <c r="V18" i="2"/>
  <c r="U18" i="2"/>
  <c r="U306" i="2"/>
  <c r="T306" i="2"/>
  <c r="T18" i="2"/>
  <c r="S18" i="2"/>
  <c r="R18" i="2"/>
  <c r="Q18" i="2"/>
  <c r="P18" i="2"/>
  <c r="P306" i="2"/>
  <c r="O306" i="2"/>
  <c r="BV17" i="2"/>
  <c r="BU17" i="2"/>
  <c r="BT17" i="2"/>
  <c r="BR17" i="2"/>
  <c r="BQ17" i="2"/>
  <c r="BP17" i="2"/>
  <c r="BO17" i="2"/>
  <c r="BM17" i="2"/>
  <c r="BL17" i="2"/>
  <c r="BK17" i="2"/>
  <c r="BJ17" i="2"/>
  <c r="BH17" i="2"/>
  <c r="BH83" i="2"/>
  <c r="BC17" i="2"/>
  <c r="BC83" i="2"/>
  <c r="AS17" i="2"/>
  <c r="AS83" i="2"/>
  <c r="BV16" i="2"/>
  <c r="BU16" i="2"/>
  <c r="BT16" i="2"/>
  <c r="BR16" i="2"/>
  <c r="BQ16" i="2"/>
  <c r="BP16" i="2"/>
  <c r="BO16" i="2"/>
  <c r="BM16" i="2"/>
  <c r="BL16" i="2"/>
  <c r="BK16" i="2"/>
  <c r="BJ16" i="2"/>
  <c r="BH16" i="2"/>
  <c r="BH82" i="2"/>
  <c r="BC16" i="2"/>
  <c r="BC82" i="2"/>
  <c r="AX16" i="2"/>
  <c r="AX82" i="2"/>
  <c r="AS16" i="2"/>
  <c r="AS82" i="2"/>
  <c r="AU14" i="2"/>
  <c r="AH14" i="2"/>
  <c r="Y14" i="2"/>
  <c r="R14" i="2"/>
  <c r="BI13" i="2"/>
  <c r="BG13" i="2"/>
  <c r="BF13" i="2"/>
  <c r="BE13" i="2"/>
  <c r="BD13" i="2"/>
  <c r="BB13" i="2"/>
  <c r="BA13" i="2"/>
  <c r="AZ13" i="2"/>
  <c r="AY13" i="2"/>
  <c r="AW13" i="2"/>
  <c r="AV13" i="2"/>
  <c r="AU13" i="2"/>
  <c r="AT13" i="2"/>
  <c r="AR13" i="2"/>
  <c r="AQ13" i="2"/>
  <c r="AP13" i="2"/>
  <c r="AO13" i="2"/>
  <c r="AM13" i="2"/>
  <c r="AL13" i="2"/>
  <c r="AK13" i="2"/>
  <c r="AJ13" i="2"/>
  <c r="AI13" i="2"/>
  <c r="AH13" i="2"/>
  <c r="AG13" i="2"/>
  <c r="AF13" i="2"/>
  <c r="AE13" i="2"/>
  <c r="AD13" i="2"/>
  <c r="AC13" i="2"/>
  <c r="AB13" i="2"/>
  <c r="AA13" i="2"/>
  <c r="Z13" i="2"/>
  <c r="Y13" i="2"/>
  <c r="X13" i="2"/>
  <c r="W13" i="2"/>
  <c r="V13" i="2"/>
  <c r="U13" i="2"/>
  <c r="T13" i="2"/>
  <c r="S13" i="2"/>
  <c r="R13" i="2"/>
  <c r="Q13" i="2"/>
  <c r="P13" i="2"/>
  <c r="AY10" i="2"/>
  <c r="AW10" i="2"/>
  <c r="AV10" i="2"/>
  <c r="AU10" i="2"/>
  <c r="AT10" i="2"/>
  <c r="AR10" i="2"/>
  <c r="AQ10" i="2"/>
  <c r="AP10" i="2"/>
  <c r="AO10" i="2"/>
  <c r="AN10" i="2"/>
  <c r="AM10" i="2"/>
  <c r="AL10" i="2"/>
  <c r="AK10" i="2"/>
  <c r="AJ10" i="2"/>
  <c r="AH10" i="2"/>
  <c r="AG10" i="2"/>
  <c r="AF10" i="2"/>
  <c r="AE10" i="2"/>
  <c r="AC10" i="2"/>
  <c r="AB10" i="2"/>
  <c r="AA10" i="2"/>
  <c r="Z10" i="2"/>
  <c r="X10" i="2"/>
  <c r="W10" i="2"/>
  <c r="V10" i="2"/>
  <c r="U10" i="2"/>
  <c r="S10" i="2"/>
  <c r="R10" i="2"/>
  <c r="Q10" i="2"/>
  <c r="P10" i="2"/>
  <c r="BI9" i="2"/>
  <c r="BG9" i="2"/>
  <c r="BF9" i="2"/>
  <c r="BE9" i="2"/>
  <c r="BD9" i="2"/>
  <c r="BB9" i="2"/>
  <c r="BA9" i="2"/>
  <c r="AZ9" i="2"/>
  <c r="AY9" i="2"/>
  <c r="AW9" i="2"/>
  <c r="AV9" i="2"/>
  <c r="AU9" i="2"/>
  <c r="BI8" i="2"/>
  <c r="BH8" i="2"/>
  <c r="BG8" i="2"/>
  <c r="BF8" i="2"/>
  <c r="BE8" i="2"/>
  <c r="BD8" i="2"/>
  <c r="BB8" i="2"/>
  <c r="BA8" i="2"/>
  <c r="AZ8" i="2"/>
  <c r="AY8" i="2"/>
  <c r="AW8" i="2"/>
  <c r="AV8" i="2"/>
  <c r="AU8" i="2"/>
  <c r="BI7" i="2"/>
  <c r="BI100" i="2"/>
  <c r="BH7" i="2"/>
  <c r="BH100" i="2"/>
  <c r="BH99" i="2"/>
  <c r="BG7" i="2"/>
  <c r="BG100" i="2"/>
  <c r="BG99" i="2"/>
  <c r="BF7" i="2"/>
  <c r="BF100" i="2"/>
  <c r="BE7" i="2"/>
  <c r="BE100" i="2"/>
  <c r="BD7" i="2"/>
  <c r="BD100" i="2"/>
  <c r="BD99" i="2"/>
  <c r="BB7" i="2"/>
  <c r="BB100" i="2"/>
  <c r="BA7" i="2"/>
  <c r="BA100" i="2"/>
  <c r="AZ7" i="2"/>
  <c r="AZ100" i="2"/>
  <c r="AY7" i="2"/>
  <c r="AY100" i="2"/>
  <c r="AY99" i="2"/>
  <c r="AW7" i="2"/>
  <c r="AW100" i="2"/>
  <c r="AV7" i="2"/>
  <c r="AV100" i="2"/>
  <c r="AU7" i="2"/>
  <c r="AU100" i="2"/>
  <c r="AU99" i="2"/>
  <c r="AT7" i="2"/>
  <c r="AT100" i="2"/>
  <c r="AS7" i="2"/>
  <c r="AS100" i="2"/>
  <c r="AR7" i="2"/>
  <c r="AR100" i="2"/>
  <c r="AR99" i="2"/>
  <c r="AQ7" i="2"/>
  <c r="AQ100" i="2"/>
  <c r="AQ99" i="2"/>
  <c r="AP7" i="2"/>
  <c r="AP100" i="2"/>
  <c r="AO7" i="2"/>
  <c r="AO100" i="2"/>
  <c r="AN7" i="2"/>
  <c r="AN100" i="2"/>
  <c r="AN99" i="2"/>
  <c r="AM7" i="2"/>
  <c r="AM100" i="2"/>
  <c r="AM99" i="2"/>
  <c r="AL7" i="2"/>
  <c r="AL100" i="2"/>
  <c r="AK7" i="2"/>
  <c r="AK100" i="2"/>
  <c r="AJ7" i="2"/>
  <c r="AJ100" i="2"/>
  <c r="AI7" i="2"/>
  <c r="AI100" i="2"/>
  <c r="AI99" i="2"/>
  <c r="AH7" i="2"/>
  <c r="AH100" i="2"/>
  <c r="AH99" i="2"/>
  <c r="AG7" i="2"/>
  <c r="AG100" i="2"/>
  <c r="AF7" i="2"/>
  <c r="AF100" i="2"/>
  <c r="AE7" i="2"/>
  <c r="AE100" i="2"/>
  <c r="AE99" i="2"/>
  <c r="AD7" i="2"/>
  <c r="AD100" i="2"/>
  <c r="AC7" i="2"/>
  <c r="AC100" i="2"/>
  <c r="AB7" i="2"/>
  <c r="AB100" i="2"/>
  <c r="AB99" i="2"/>
  <c r="AA7" i="2"/>
  <c r="AA100" i="2"/>
  <c r="AA99" i="2"/>
  <c r="Z7" i="2"/>
  <c r="Z100" i="2"/>
  <c r="Y7" i="2"/>
  <c r="Y100" i="2"/>
  <c r="X7" i="2"/>
  <c r="X100" i="2"/>
  <c r="X99" i="2"/>
  <c r="W7" i="2"/>
  <c r="W100" i="2"/>
  <c r="W99" i="2"/>
  <c r="V7" i="2"/>
  <c r="V100" i="2"/>
  <c r="U7" i="2"/>
  <c r="U100" i="2"/>
  <c r="T7" i="2"/>
  <c r="T100" i="2"/>
  <c r="S7" i="2"/>
  <c r="S100" i="2"/>
  <c r="S99" i="2"/>
  <c r="R7" i="2"/>
  <c r="R100" i="2"/>
  <c r="R99" i="2"/>
  <c r="Q7" i="2"/>
  <c r="Q100" i="2"/>
  <c r="P7" i="2"/>
  <c r="P100" i="2"/>
  <c r="A5" i="2"/>
  <c r="BJ4" i="2"/>
  <c r="BH4" i="2"/>
  <c r="BH3" i="2"/>
  <c r="BH121" i="2"/>
  <c r="BC4" i="2"/>
  <c r="AX4" i="2"/>
  <c r="AS4" i="2"/>
  <c r="AS3" i="2"/>
  <c r="AS72" i="2"/>
  <c r="AN4" i="2"/>
  <c r="AN3" i="2"/>
  <c r="AN72" i="2"/>
  <c r="AI4" i="2"/>
  <c r="AD4" i="2"/>
  <c r="Y4" i="2"/>
  <c r="Y3" i="2"/>
  <c r="T4" i="2"/>
  <c r="T3" i="2"/>
  <c r="T72" i="2"/>
  <c r="BI3" i="2"/>
  <c r="BG3" i="2"/>
  <c r="BF3" i="2"/>
  <c r="BE3" i="2"/>
  <c r="BE121" i="2"/>
  <c r="BD3" i="2"/>
  <c r="BC3" i="2"/>
  <c r="BC121" i="2"/>
  <c r="BB3" i="2"/>
  <c r="BA3" i="2"/>
  <c r="BA890" i="2" a="1"/>
  <c r="BA890" i="2"/>
  <c r="AZ3" i="2"/>
  <c r="AZ72" i="2"/>
  <c r="AY3" i="2"/>
  <c r="AY890" i="2" a="1"/>
  <c r="AY890" i="2"/>
  <c r="AW3" i="2"/>
  <c r="AW118" i="2"/>
  <c r="AV3" i="2"/>
  <c r="AV72" i="2"/>
  <c r="AU3" i="2"/>
  <c r="AU72" i="2"/>
  <c r="AT3" i="2"/>
  <c r="AR3" i="2"/>
  <c r="AR72" i="2"/>
  <c r="AQ3" i="2"/>
  <c r="AQ890" i="2" a="1"/>
  <c r="AQ890" i="2"/>
  <c r="AP3" i="2"/>
  <c r="AO3" i="2"/>
  <c r="AM3" i="2"/>
  <c r="AM890" i="2" a="1"/>
  <c r="AM890" i="2"/>
  <c r="AL3" i="2"/>
  <c r="AL890" i="2" a="1"/>
  <c r="AL890" i="2"/>
  <c r="AK3" i="2"/>
  <c r="AK890" i="2" a="1"/>
  <c r="AK890" i="2"/>
  <c r="AJ3" i="2"/>
  <c r="AJ890" i="2" a="1"/>
  <c r="AJ890" i="2"/>
  <c r="AH3" i="2"/>
  <c r="AH890" i="2" a="1"/>
  <c r="AH890" i="2"/>
  <c r="AG3" i="2"/>
  <c r="AG890" i="2" a="1"/>
  <c r="AG890" i="2"/>
  <c r="AF3" i="2"/>
  <c r="AF890" i="2" a="1"/>
  <c r="AF890" i="2"/>
  <c r="AE3" i="2"/>
  <c r="AE890" i="2" a="1"/>
  <c r="AE890" i="2"/>
  <c r="AD3" i="2"/>
  <c r="AD72" i="2"/>
  <c r="AC3" i="2"/>
  <c r="AC890" i="2" a="1"/>
  <c r="AC890" i="2"/>
  <c r="AB3" i="2"/>
  <c r="AB890" i="2" a="1"/>
  <c r="AB890" i="2"/>
  <c r="AA3" i="2"/>
  <c r="AA890" i="2" a="1"/>
  <c r="AA890" i="2"/>
  <c r="Z3" i="2"/>
  <c r="Z890" i="2" a="1"/>
  <c r="Z890" i="2"/>
  <c r="X3" i="2"/>
  <c r="X890" i="2" a="1"/>
  <c r="X890" i="2"/>
  <c r="W3" i="2"/>
  <c r="W890" i="2" a="1"/>
  <c r="W890" i="2"/>
  <c r="V3" i="2"/>
  <c r="V890" i="2" a="1"/>
  <c r="V890" i="2"/>
  <c r="U3" i="2"/>
  <c r="U890" i="2" a="1"/>
  <c r="U890" i="2"/>
  <c r="S3" i="2"/>
  <c r="S890" i="2" a="1"/>
  <c r="S890" i="2"/>
  <c r="R3" i="2"/>
  <c r="R72" i="2"/>
  <c r="Q3" i="2"/>
  <c r="Q890" i="2" a="1"/>
  <c r="Q890" i="2"/>
  <c r="P3" i="2"/>
  <c r="BL18" i="16"/>
  <c r="BA21" i="17"/>
  <c r="BB26" i="17"/>
  <c r="P20" i="15"/>
  <c r="P24" i="15"/>
  <c r="BL17" i="1"/>
  <c r="BL53" i="1"/>
  <c r="BH5" i="16" a="1"/>
  <c r="AI28" i="11"/>
  <c r="AI41" i="11"/>
  <c r="AM41" i="11"/>
  <c r="R430" i="2"/>
  <c r="AI539" i="2" a="1"/>
  <c r="AI539" i="2"/>
  <c r="AH430" i="2"/>
  <c r="AA70" i="9"/>
  <c r="Z71" i="9"/>
  <c r="AI506" i="2"/>
  <c r="BC506" i="2"/>
  <c r="AE501" i="2"/>
  <c r="AV501" i="2"/>
  <c r="AP430" i="2"/>
  <c r="AJ329" i="2"/>
  <c r="AY388" i="2"/>
  <c r="Z324" i="2"/>
  <c r="Z807" i="2" a="1"/>
  <c r="Z807" i="2"/>
  <c r="AA324" i="2"/>
  <c r="AA807" i="2" a="1"/>
  <c r="AA807" i="2"/>
  <c r="AQ324" i="2"/>
  <c r="AQ807" i="2" a="1"/>
  <c r="AQ807" i="2"/>
  <c r="AR330" i="2"/>
  <c r="AR324" i="2"/>
  <c r="AR807" i="2" a="1"/>
  <c r="AR807" i="2"/>
  <c r="T329" i="2"/>
  <c r="Z14" i="2"/>
  <c r="BE329" i="2"/>
  <c r="AA14" i="2"/>
  <c r="AQ14" i="2"/>
  <c r="S430" i="2"/>
  <c r="AR430" i="2"/>
  <c r="BB14" i="2"/>
  <c r="W14" i="2"/>
  <c r="AB14" i="2"/>
  <c r="Q329" i="2"/>
  <c r="W324" i="2"/>
  <c r="W807" i="2" a="1"/>
  <c r="W807" i="2"/>
  <c r="AM324" i="2"/>
  <c r="AM807" i="2" a="1"/>
  <c r="AM807" i="2"/>
  <c r="AP330" i="2"/>
  <c r="AM14" i="2"/>
  <c r="W329" i="2"/>
  <c r="Z388" i="2"/>
  <c r="AR14" i="2"/>
  <c r="BF14" i="2"/>
  <c r="BG324" i="2"/>
  <c r="BG807" i="2" a="1"/>
  <c r="BG807" i="2"/>
  <c r="BG14" i="2"/>
  <c r="P329" i="2"/>
  <c r="AG329" i="2"/>
  <c r="BC41" i="2"/>
  <c r="BC42" i="2"/>
  <c r="V14" i="2"/>
  <c r="BI14" i="2"/>
  <c r="BC229" i="2"/>
  <c r="P467" i="2"/>
  <c r="O461" i="2"/>
  <c r="AG552" i="2" a="1"/>
  <c r="AG552" i="2"/>
  <c r="AG555" i="2" a="1"/>
  <c r="AG555" i="2"/>
  <c r="AG539" i="2" a="1"/>
  <c r="AG539" i="2"/>
  <c r="BG506" i="2"/>
  <c r="P890" i="2" a="1"/>
  <c r="P890" i="2"/>
  <c r="L532" i="2"/>
  <c r="M532" i="2"/>
  <c r="N532" i="2"/>
  <c r="O532" i="2"/>
  <c r="M735" i="2"/>
  <c r="M732" i="2"/>
  <c r="L734" i="2"/>
  <c r="O734" i="2"/>
  <c r="L732" i="2"/>
  <c r="O732" i="2"/>
  <c r="M734" i="2"/>
  <c r="N735" i="2"/>
  <c r="O735" i="2"/>
  <c r="N734" i="2"/>
  <c r="N732" i="2"/>
  <c r="L735" i="2"/>
  <c r="BI324" i="2"/>
  <c r="BI807" i="2" a="1"/>
  <c r="BI807" i="2"/>
  <c r="BB507" i="2"/>
  <c r="R501" i="2"/>
  <c r="AH501" i="2"/>
  <c r="AZ501" i="2"/>
  <c r="AT506" i="2"/>
  <c r="P506" i="2"/>
  <c r="AJ506" i="2"/>
  <c r="AH507" i="2"/>
  <c r="AZ507" i="2"/>
  <c r="BF507" i="2"/>
  <c r="X721" i="2"/>
  <c r="AP503" i="2"/>
  <c r="BM550" i="2" a="1"/>
  <c r="BM550" i="2"/>
  <c r="S501" i="2"/>
  <c r="AI501" i="2"/>
  <c r="BA501" i="2"/>
  <c r="AQ506" i="2"/>
  <c r="AE506" i="2"/>
  <c r="Q506" i="2"/>
  <c r="AK506" i="2"/>
  <c r="BE506" i="2"/>
  <c r="AM507" i="2"/>
  <c r="BG507" i="2"/>
  <c r="X14" i="2"/>
  <c r="U42" i="2"/>
  <c r="AK42" i="2"/>
  <c r="AB330" i="2"/>
  <c r="V499" i="2"/>
  <c r="AP499" i="2"/>
  <c r="BJ73" i="2"/>
  <c r="T84" i="2"/>
  <c r="AJ84" i="2"/>
  <c r="BB84" i="2"/>
  <c r="AD388" i="2"/>
  <c r="AD325" i="2"/>
  <c r="Q552" i="2" a="1"/>
  <c r="Q552" i="2"/>
  <c r="Q430" i="2"/>
  <c r="AC330" i="2"/>
  <c r="AC499" i="2"/>
  <c r="R237" i="2"/>
  <c r="X330" i="2"/>
  <c r="AE330" i="2"/>
  <c r="AN506" i="2"/>
  <c r="AZ99" i="2"/>
  <c r="BM73" i="2"/>
  <c r="U436" i="2"/>
  <c r="AK720" i="2"/>
  <c r="T99" i="2"/>
  <c r="AJ99" i="2"/>
  <c r="BG84" i="2"/>
  <c r="AO330" i="2"/>
  <c r="AW330" i="2"/>
  <c r="U781" i="2"/>
  <c r="AO14" i="2"/>
  <c r="V532" i="2"/>
  <c r="BC226" i="2"/>
  <c r="W532" i="2"/>
  <c r="AM532" i="2"/>
  <c r="AJ472" i="2"/>
  <c r="AJ483" i="2"/>
  <c r="BM549" i="2" a="1"/>
  <c r="BM549" i="2"/>
  <c r="AW552" i="2" a="1"/>
  <c r="AW552" i="2"/>
  <c r="AW555" i="2" a="1"/>
  <c r="AW555" i="2"/>
  <c r="AW539" i="2" a="1"/>
  <c r="AW539" i="2"/>
  <c r="X324" i="2"/>
  <c r="X807" i="2" a="1"/>
  <c r="X807" i="2"/>
  <c r="AA84" i="2"/>
  <c r="AQ84" i="2"/>
  <c r="AP14" i="2"/>
  <c r="Y330" i="2"/>
  <c r="AO532" i="2"/>
  <c r="AI503" i="2"/>
  <c r="AO324" i="2"/>
  <c r="AO807" i="2" a="1"/>
  <c r="AO807" i="2"/>
  <c r="AB84" i="2"/>
  <c r="AR84" i="2"/>
  <c r="AO129" i="2"/>
  <c r="Z330" i="2"/>
  <c r="T523" i="2"/>
  <c r="T799" i="2"/>
  <c r="AX8" i="2"/>
  <c r="AT84" i="2"/>
  <c r="Z532" i="2"/>
  <c r="Q555" i="2" a="1"/>
  <c r="Q555" i="2"/>
  <c r="BE324" i="2"/>
  <c r="BE807" i="2" a="1"/>
  <c r="BE807" i="2"/>
  <c r="BI56" i="2"/>
  <c r="BJ238" i="2"/>
  <c r="BJ243" i="2"/>
  <c r="U330" i="2"/>
  <c r="AD430" i="2"/>
  <c r="BL549" i="2" a="1"/>
  <c r="BL549" i="2"/>
  <c r="AF552" i="2" a="1"/>
  <c r="AF552" i="2"/>
  <c r="AS506" i="2"/>
  <c r="X644" i="2"/>
  <c r="BQ670" i="2"/>
  <c r="AF506" i="2"/>
  <c r="AD507" i="2"/>
  <c r="AT507" i="2"/>
  <c r="BF324" i="2"/>
  <c r="BF807" i="2" a="1"/>
  <c r="BF807" i="2"/>
  <c r="BK73" i="2"/>
  <c r="R84" i="2"/>
  <c r="AH84" i="2"/>
  <c r="AZ84" i="2"/>
  <c r="BH123" i="2"/>
  <c r="BH122" i="2"/>
  <c r="U329" i="2"/>
  <c r="V330" i="2"/>
  <c r="AE507" i="2"/>
  <c r="AS780" i="2"/>
  <c r="AE552" i="2" a="1"/>
  <c r="AE552" i="2"/>
  <c r="AV74" i="2"/>
  <c r="BL73" i="2"/>
  <c r="V329" i="2"/>
  <c r="BA330" i="2"/>
  <c r="AI461" i="2"/>
  <c r="P552" i="2" a="1"/>
  <c r="P552" i="2"/>
  <c r="AL507" i="2"/>
  <c r="AK507" i="2"/>
  <c r="BN237" i="2"/>
  <c r="BM238" i="2"/>
  <c r="BM243" i="2"/>
  <c r="AP442" i="2"/>
  <c r="AU554" i="2" a="1"/>
  <c r="AU554" i="2"/>
  <c r="AV670" i="2"/>
  <c r="AB499" i="2"/>
  <c r="P69" i="2"/>
  <c r="AN264" i="2"/>
  <c r="AQ436" i="2"/>
  <c r="AQ441" i="2"/>
  <c r="BJ524" i="2"/>
  <c r="AV554" i="2" a="1"/>
  <c r="AV554" i="2"/>
  <c r="P330" i="2"/>
  <c r="AJ330" i="2"/>
  <c r="BD330" i="2"/>
  <c r="AN501" i="2"/>
  <c r="BG501" i="2"/>
  <c r="AY506" i="2"/>
  <c r="AF507" i="2"/>
  <c r="X507" i="2"/>
  <c r="AR507" i="2"/>
  <c r="BL806" i="2" a="1"/>
  <c r="BL806" i="2"/>
  <c r="AD760" i="2"/>
  <c r="AH791" i="2"/>
  <c r="BK549" i="2" a="1"/>
  <c r="BK549" i="2"/>
  <c r="BE507" i="2"/>
  <c r="BA42" i="2"/>
  <c r="AS264" i="2"/>
  <c r="AK330" i="2"/>
  <c r="BE330" i="2"/>
  <c r="Y501" i="2"/>
  <c r="AO501" i="2"/>
  <c r="BI501" i="2"/>
  <c r="AZ506" i="2"/>
  <c r="AG507" i="2"/>
  <c r="AA507" i="2"/>
  <c r="AU507" i="2"/>
  <c r="BM806" i="2" a="1"/>
  <c r="BM806" i="2"/>
  <c r="AT735" i="2"/>
  <c r="AJ791" i="2"/>
  <c r="BB99" i="2"/>
  <c r="AI51" i="2"/>
  <c r="AI49" i="2"/>
  <c r="AI721" i="2"/>
  <c r="BP73" i="2"/>
  <c r="BK551" i="2" a="1"/>
  <c r="BK551" i="2"/>
  <c r="R330" i="2"/>
  <c r="AL330" i="2"/>
  <c r="BF330" i="2"/>
  <c r="Z501" i="2"/>
  <c r="AB507" i="2"/>
  <c r="AV507" i="2"/>
  <c r="AU761" i="2"/>
  <c r="V99" i="2"/>
  <c r="AL99" i="2"/>
  <c r="BQ73" i="2"/>
  <c r="X84" i="2"/>
  <c r="AN84" i="2"/>
  <c r="Z503" i="2"/>
  <c r="AA436" i="2"/>
  <c r="BL551" i="2" a="1"/>
  <c r="BL551" i="2"/>
  <c r="AA506" i="2"/>
  <c r="AU506" i="2"/>
  <c r="AC507" i="2"/>
  <c r="AW507" i="2"/>
  <c r="BD733" i="2"/>
  <c r="AX330" i="2"/>
  <c r="AK329" i="2"/>
  <c r="T14" i="2"/>
  <c r="AA503" i="2"/>
  <c r="AX430" i="2"/>
  <c r="AX472" i="2"/>
  <c r="AX483" i="2"/>
  <c r="AG506" i="2"/>
  <c r="BA506" i="2"/>
  <c r="AB506" i="2"/>
  <c r="AV506" i="2"/>
  <c r="R507" i="2"/>
  <c r="Z507" i="2"/>
  <c r="R781" i="2"/>
  <c r="R791" i="2"/>
  <c r="AM781" i="2"/>
  <c r="BG781" i="2"/>
  <c r="Y42" i="2"/>
  <c r="AO42" i="2"/>
  <c r="BE42" i="2"/>
  <c r="AX324" i="2"/>
  <c r="BD732" i="2"/>
  <c r="BD58" i="2"/>
  <c r="AL329" i="2"/>
  <c r="AN434" i="2"/>
  <c r="AN436" i="2"/>
  <c r="AV499" i="2"/>
  <c r="P670" i="2"/>
  <c r="BB506" i="2"/>
  <c r="AC506" i="2"/>
  <c r="AW506" i="2"/>
  <c r="S781" i="2"/>
  <c r="BI107" i="2"/>
  <c r="AW499" i="2"/>
  <c r="BD506" i="2"/>
  <c r="U507" i="2"/>
  <c r="AO507" i="2"/>
  <c r="BI507" i="2"/>
  <c r="T769" i="2"/>
  <c r="AN51" i="2"/>
  <c r="AN49" i="2"/>
  <c r="AN721" i="2"/>
  <c r="AN732" i="2"/>
  <c r="AT503" i="2"/>
  <c r="BH507" i="2"/>
  <c r="AR729" i="2"/>
  <c r="V507" i="2"/>
  <c r="AP507" i="2"/>
  <c r="AX524" i="2"/>
  <c r="U324" i="2"/>
  <c r="U807" i="2" a="1"/>
  <c r="U807" i="2"/>
  <c r="AK324" i="2"/>
  <c r="AK807" i="2" a="1"/>
  <c r="AK807" i="2"/>
  <c r="AP74" i="2"/>
  <c r="BF74" i="2"/>
  <c r="AU503" i="2"/>
  <c r="W507" i="2"/>
  <c r="AQ507" i="2"/>
  <c r="S507" i="2"/>
  <c r="AI507" i="2"/>
  <c r="BA507" i="2"/>
  <c r="BC524" i="2"/>
  <c r="BH469" i="2"/>
  <c r="AS507" i="2"/>
  <c r="V324" i="2"/>
  <c r="V807" i="2" a="1"/>
  <c r="V807" i="2"/>
  <c r="AL324" i="2"/>
  <c r="AL807" i="2" a="1"/>
  <c r="AL807" i="2"/>
  <c r="BD532" i="2"/>
  <c r="Y499" i="2"/>
  <c r="Y506" i="2"/>
  <c r="U506" i="2"/>
  <c r="AO506" i="2"/>
  <c r="BI506" i="2"/>
  <c r="BH524" i="2"/>
  <c r="AO555" i="2" a="1"/>
  <c r="AO555" i="2"/>
  <c r="AO539" i="2" a="1"/>
  <c r="AO539" i="2"/>
  <c r="AO430" i="2"/>
  <c r="AO472" i="2"/>
  <c r="AO483" i="2"/>
  <c r="AO490" i="2"/>
  <c r="BI555" i="2" a="1"/>
  <c r="BI555" i="2"/>
  <c r="BI539" i="2" a="1"/>
  <c r="BI539" i="2"/>
  <c r="BI430" i="2"/>
  <c r="BI472" i="2"/>
  <c r="BI483" i="2"/>
  <c r="U555" i="2" a="1"/>
  <c r="U555" i="2"/>
  <c r="U539" i="2" a="1"/>
  <c r="U539" i="2"/>
  <c r="U430" i="2"/>
  <c r="AQ555" i="2" a="1"/>
  <c r="AQ555" i="2"/>
  <c r="AQ430" i="2"/>
  <c r="AQ472" i="2"/>
  <c r="AQ483" i="2"/>
  <c r="AQ490" i="2"/>
  <c r="AS555" i="2" a="1"/>
  <c r="AS555" i="2"/>
  <c r="AS539" i="2" a="1"/>
  <c r="AS539" i="2"/>
  <c r="AS430" i="2"/>
  <c r="AS472" i="2"/>
  <c r="AS483" i="2"/>
  <c r="AS490" i="2"/>
  <c r="V555" i="2" a="1"/>
  <c r="V555" i="2"/>
  <c r="V430" i="2"/>
  <c r="BB555" i="2" a="1"/>
  <c r="BB555" i="2"/>
  <c r="BB430" i="2"/>
  <c r="BB472" i="2"/>
  <c r="BB483" i="2"/>
  <c r="BB490" i="2"/>
  <c r="AU555" i="2" a="1"/>
  <c r="AU555" i="2"/>
  <c r="AU539" i="2" a="1"/>
  <c r="AU539" i="2"/>
  <c r="AU430" i="2"/>
  <c r="W555" i="2" a="1"/>
  <c r="W555" i="2"/>
  <c r="W430" i="2"/>
  <c r="AC555" i="2" a="1"/>
  <c r="AC555" i="2"/>
  <c r="AC539" i="2" a="1"/>
  <c r="AC539" i="2"/>
  <c r="AC430" i="2"/>
  <c r="X555" i="2" a="1"/>
  <c r="X555" i="2"/>
  <c r="X539" i="2" a="1"/>
  <c r="X539" i="2"/>
  <c r="X430" i="2"/>
  <c r="BD555" i="2" a="1"/>
  <c r="BD555" i="2"/>
  <c r="BD430" i="2"/>
  <c r="BD472" i="2"/>
  <c r="BD483" i="2"/>
  <c r="BD490" i="2"/>
  <c r="AD99" i="2"/>
  <c r="AT99" i="2"/>
  <c r="U14" i="2"/>
  <c r="BU20" i="2"/>
  <c r="BI329" i="2"/>
  <c r="AV330" i="2"/>
  <c r="P316" i="2"/>
  <c r="P317" i="2"/>
  <c r="S388" i="2"/>
  <c r="AI430" i="2"/>
  <c r="BH461" i="2"/>
  <c r="BS550" i="2" a="1"/>
  <c r="BS550" i="2"/>
  <c r="BS551" i="2" a="1"/>
  <c r="BS551" i="2"/>
  <c r="T539" i="2" a="1"/>
  <c r="T539" i="2"/>
  <c r="AH539" i="2" a="1"/>
  <c r="AH539" i="2"/>
  <c r="V554" i="2" a="1"/>
  <c r="V554" i="2"/>
  <c r="W693" i="2"/>
  <c r="AY726" i="2"/>
  <c r="AY735" i="2"/>
  <c r="AN769" i="2"/>
  <c r="AP791" i="2"/>
  <c r="T780" i="2"/>
  <c r="T781" i="2"/>
  <c r="AX789" i="2"/>
  <c r="BH41" i="2"/>
  <c r="BH42" i="2"/>
  <c r="AG99" i="2"/>
  <c r="AG499" i="2"/>
  <c r="AM554" i="2" a="1"/>
  <c r="AM554" i="2"/>
  <c r="Q324" i="2"/>
  <c r="Q807" i="2" a="1"/>
  <c r="Q807" i="2"/>
  <c r="AG324" i="2"/>
  <c r="AG807" i="2" a="1"/>
  <c r="AG807" i="2"/>
  <c r="AW324" i="2"/>
  <c r="AW807" i="2" a="1"/>
  <c r="AW807" i="2"/>
  <c r="BA235" i="2"/>
  <c r="X74" i="2"/>
  <c r="BT73" i="2"/>
  <c r="BJ122" i="2"/>
  <c r="U183" i="2"/>
  <c r="U237" i="2"/>
  <c r="AA211" i="2"/>
  <c r="AO329" i="2"/>
  <c r="AP472" i="2"/>
  <c r="AP483" i="2"/>
  <c r="AP490" i="2"/>
  <c r="AW436" i="2"/>
  <c r="AN461" i="2"/>
  <c r="AH499" i="2"/>
  <c r="BB499" i="2"/>
  <c r="AN554" i="2" a="1"/>
  <c r="AN554" i="2"/>
  <c r="AN539" i="2" a="1"/>
  <c r="AN539" i="2"/>
  <c r="BM558" i="2"/>
  <c r="AG670" i="2"/>
  <c r="BN667" i="2"/>
  <c r="BN501" i="2"/>
  <c r="AD780" i="2"/>
  <c r="BB721" i="2"/>
  <c r="BB732" i="2"/>
  <c r="AZ388" i="2"/>
  <c r="AZ401" i="2"/>
  <c r="V237" i="2"/>
  <c r="BB235" i="2"/>
  <c r="BE74" i="2"/>
  <c r="BU73" i="2"/>
  <c r="BN121" i="2"/>
  <c r="Z183" i="2"/>
  <c r="AP329" i="2"/>
  <c r="AI388" i="2"/>
  <c r="P532" i="2"/>
  <c r="AY532" i="2"/>
  <c r="AE436" i="2"/>
  <c r="P499" i="2"/>
  <c r="BC499" i="2"/>
  <c r="AL552" i="2" a="1"/>
  <c r="AL552" i="2"/>
  <c r="BB554" i="2" a="1"/>
  <c r="BB554" i="2"/>
  <c r="BN558" i="2"/>
  <c r="AW644" i="2"/>
  <c r="AW493" i="2"/>
  <c r="AV761" i="2"/>
  <c r="AI780" i="2"/>
  <c r="BC8" i="2"/>
  <c r="AY324" i="2"/>
  <c r="AY807" i="2" a="1"/>
  <c r="AY807" i="2"/>
  <c r="W237" i="2"/>
  <c r="BS237" i="2"/>
  <c r="BV73" i="2"/>
  <c r="P80" i="2"/>
  <c r="AQ329" i="2"/>
  <c r="BD388" i="2"/>
  <c r="BD401" i="2"/>
  <c r="BD405" i="2"/>
  <c r="BD796" i="2" a="1"/>
  <c r="BD796" i="2"/>
  <c r="BC554" i="2" a="1"/>
  <c r="BC554" i="2"/>
  <c r="BO558" i="2"/>
  <c r="AP670" i="2"/>
  <c r="AW761" i="2"/>
  <c r="AW781" i="2"/>
  <c r="Z791" i="2"/>
  <c r="Q330" i="2"/>
  <c r="AK99" i="2"/>
  <c r="AW14" i="2"/>
  <c r="AX13" i="2"/>
  <c r="AZ324" i="2"/>
  <c r="AZ807" i="2" a="1"/>
  <c r="AZ807" i="2"/>
  <c r="BD84" i="2"/>
  <c r="AV145" i="2"/>
  <c r="BD153" i="2"/>
  <c r="BR238" i="2"/>
  <c r="BR243" i="2"/>
  <c r="U388" i="2"/>
  <c r="U389" i="2"/>
  <c r="U326" i="2"/>
  <c r="AK388" i="2"/>
  <c r="BE388" i="2"/>
  <c r="P503" i="2"/>
  <c r="AG436" i="2"/>
  <c r="BA436" i="2"/>
  <c r="AS461" i="2"/>
  <c r="BD554" i="2" a="1"/>
  <c r="BD554" i="2"/>
  <c r="BD539" i="2" a="1"/>
  <c r="BD539" i="2"/>
  <c r="BP558" i="2"/>
  <c r="V720" i="2"/>
  <c r="AY781" i="2"/>
  <c r="AY791" i="2"/>
  <c r="AY793" i="2"/>
  <c r="P324" i="2"/>
  <c r="P807" i="2" a="1"/>
  <c r="P807" i="2"/>
  <c r="AY14" i="2"/>
  <c r="AP232" i="2"/>
  <c r="Y47" i="2"/>
  <c r="AQ721" i="2"/>
  <c r="AQ732" i="2"/>
  <c r="T58" i="2"/>
  <c r="AN59" i="2"/>
  <c r="V84" i="2"/>
  <c r="AL84" i="2"/>
  <c r="BE84" i="2"/>
  <c r="AW145" i="2"/>
  <c r="BN151" i="2"/>
  <c r="AM181" i="2"/>
  <c r="AM184" i="2"/>
  <c r="BT238" i="2"/>
  <c r="BT243" i="2"/>
  <c r="AI269" i="2"/>
  <c r="X329" i="2"/>
  <c r="AU329" i="2"/>
  <c r="V388" i="2"/>
  <c r="V325" i="2"/>
  <c r="AL388" i="2"/>
  <c r="AL325" i="2"/>
  <c r="BF388" i="2"/>
  <c r="BF325" i="2"/>
  <c r="AG503" i="2"/>
  <c r="AS434" i="2"/>
  <c r="BQ558" i="2"/>
  <c r="AF781" i="2"/>
  <c r="AZ781" i="2"/>
  <c r="AX403" i="2"/>
  <c r="AV150" i="2"/>
  <c r="BA499" i="2"/>
  <c r="AE14" i="2"/>
  <c r="AZ14" i="2"/>
  <c r="AQ232" i="2"/>
  <c r="AD47" i="2"/>
  <c r="BH51" i="2"/>
  <c r="AC74" i="2"/>
  <c r="AS74" i="2"/>
  <c r="W84" i="2"/>
  <c r="AM84" i="2"/>
  <c r="AY145" i="2"/>
  <c r="AY144" i="2"/>
  <c r="Y329" i="2"/>
  <c r="AW329" i="2"/>
  <c r="AB388" i="2"/>
  <c r="AR388" i="2"/>
  <c r="AJ532" i="2"/>
  <c r="AH503" i="2"/>
  <c r="AX503" i="2"/>
  <c r="P436" i="2"/>
  <c r="BR558" i="2"/>
  <c r="BI644" i="2"/>
  <c r="BI493" i="2"/>
  <c r="BI510" i="2"/>
  <c r="BI511" i="2"/>
  <c r="BI512" i="2"/>
  <c r="BI513" i="2"/>
  <c r="BV722" i="2"/>
  <c r="BV661" i="2"/>
  <c r="BJ726" i="2"/>
  <c r="AB761" i="2"/>
  <c r="BI780" i="2"/>
  <c r="BI781" i="2"/>
  <c r="AE324" i="2"/>
  <c r="AE807" i="2" a="1"/>
  <c r="AE807" i="2"/>
  <c r="BN236" i="2"/>
  <c r="AF14" i="2"/>
  <c r="AC721" i="2"/>
  <c r="AC734" i="2"/>
  <c r="AS721" i="2"/>
  <c r="AA237" i="2"/>
  <c r="AZ145" i="2"/>
  <c r="BH152" i="2"/>
  <c r="BI152" i="2"/>
  <c r="BI155" i="2"/>
  <c r="AE164" i="2"/>
  <c r="AF161" i="2"/>
  <c r="AF164" i="2"/>
  <c r="AG161" i="2"/>
  <c r="Z329" i="2"/>
  <c r="AY329" i="2"/>
  <c r="AY330" i="2"/>
  <c r="X388" i="2"/>
  <c r="X401" i="2"/>
  <c r="X405" i="2"/>
  <c r="X796" i="2" a="1"/>
  <c r="X796" i="2"/>
  <c r="AO388" i="2"/>
  <c r="AO389" i="2"/>
  <c r="AO326" i="2"/>
  <c r="BI388" i="2"/>
  <c r="BS558" i="2"/>
  <c r="AA330" i="2"/>
  <c r="AU330" i="2"/>
  <c r="BN639" i="2"/>
  <c r="AC761" i="2"/>
  <c r="BS236" i="2"/>
  <c r="AG14" i="2"/>
  <c r="BD14" i="2"/>
  <c r="BK20" i="2"/>
  <c r="AN47" i="2"/>
  <c r="AY58" i="2"/>
  <c r="AZ329" i="2"/>
  <c r="AZ330" i="2"/>
  <c r="AJ503" i="2"/>
  <c r="AJ809" i="2" a="1"/>
  <c r="AJ809" i="2"/>
  <c r="BT558" i="2"/>
  <c r="AK644" i="2"/>
  <c r="AK493" i="2"/>
  <c r="AK496" i="2"/>
  <c r="AE761" i="2"/>
  <c r="AL721" i="2"/>
  <c r="BE14" i="2"/>
  <c r="AS47" i="2"/>
  <c r="AS393" i="2"/>
  <c r="AS235" i="2"/>
  <c r="Y226" i="2"/>
  <c r="BA503" i="2"/>
  <c r="S436" i="2"/>
  <c r="BR549" i="2" a="1"/>
  <c r="BR549" i="2"/>
  <c r="BU558" i="2"/>
  <c r="BC751" i="2"/>
  <c r="AX780" i="2"/>
  <c r="Z732" i="2"/>
  <c r="AS9" i="2"/>
  <c r="Q14" i="2"/>
  <c r="AJ14" i="2"/>
  <c r="AX47" i="2"/>
  <c r="Q74" i="2"/>
  <c r="AG74" i="2"/>
  <c r="AW74" i="2"/>
  <c r="BD207" i="2"/>
  <c r="AD226" i="2"/>
  <c r="AC329" i="2"/>
  <c r="BD329" i="2"/>
  <c r="BB503" i="2"/>
  <c r="BA525" i="2"/>
  <c r="BH501" i="2"/>
  <c r="T506" i="2"/>
  <c r="T507" i="2"/>
  <c r="AX507" i="2"/>
  <c r="Y507" i="2"/>
  <c r="BC507" i="2"/>
  <c r="AE670" i="2"/>
  <c r="AY670" i="2"/>
  <c r="BH751" i="2"/>
  <c r="BI693" i="2"/>
  <c r="AK14" i="2"/>
  <c r="BT18" i="2"/>
  <c r="BC47" i="2"/>
  <c r="S721" i="2"/>
  <c r="S732" i="2"/>
  <c r="BB183" i="2"/>
  <c r="AE209" i="2"/>
  <c r="AE329" i="2"/>
  <c r="BC503" i="2"/>
  <c r="R539" i="2" a="1"/>
  <c r="R539" i="2"/>
  <c r="AI599" i="2"/>
  <c r="BS639" i="2"/>
  <c r="BH780" i="2"/>
  <c r="BH84" i="2"/>
  <c r="AF324" i="2"/>
  <c r="AF807" i="2" a="1"/>
  <c r="AF807" i="2"/>
  <c r="AL14" i="2"/>
  <c r="BU18" i="2"/>
  <c r="BT20" i="2"/>
  <c r="AX51" i="2"/>
  <c r="P237" i="2"/>
  <c r="P238" i="2"/>
  <c r="P243" i="2"/>
  <c r="AV235" i="2"/>
  <c r="AY236" i="2"/>
  <c r="BN106" i="2"/>
  <c r="BF183" i="2"/>
  <c r="AJ209" i="2"/>
  <c r="AI209" i="2"/>
  <c r="AK210" i="2"/>
  <c r="AF329" i="2"/>
  <c r="AN403" i="2"/>
  <c r="BS399" i="2"/>
  <c r="BD503" i="2"/>
  <c r="BR550" i="2" a="1"/>
  <c r="BR550" i="2"/>
  <c r="BI560" i="2"/>
  <c r="S791" i="2"/>
  <c r="AN74" i="2"/>
  <c r="BL777" i="2"/>
  <c r="BK524" i="2"/>
  <c r="Y555" i="2" a="1"/>
  <c r="Y555" i="2"/>
  <c r="Y539" i="2" a="1"/>
  <c r="Y539" i="2"/>
  <c r="Y430" i="2"/>
  <c r="AM555" i="2" a="1"/>
  <c r="AM555" i="2"/>
  <c r="AM430" i="2"/>
  <c r="AM472" i="2"/>
  <c r="AM483" i="2"/>
  <c r="AM490" i="2"/>
  <c r="AY555" i="2" a="1"/>
  <c r="AY555" i="2"/>
  <c r="AY539" i="2" a="1"/>
  <c r="AY539" i="2"/>
  <c r="AY430" i="2"/>
  <c r="AY472" i="2"/>
  <c r="AY483" i="2"/>
  <c r="AY490" i="2"/>
  <c r="BJ95" i="2"/>
  <c r="BJ20" i="2"/>
  <c r="BA555" i="2" a="1"/>
  <c r="BA555" i="2"/>
  <c r="BA539" i="2" a="1"/>
  <c r="BA539" i="2"/>
  <c r="BA430" i="2"/>
  <c r="BA472" i="2"/>
  <c r="BA483" i="2"/>
  <c r="BA490" i="2"/>
  <c r="AJ161" i="2"/>
  <c r="BC555" i="2" a="1"/>
  <c r="BC555" i="2"/>
  <c r="BC430" i="2"/>
  <c r="BC472" i="2"/>
  <c r="AO151" i="2"/>
  <c r="AN152" i="2"/>
  <c r="AO152" i="2"/>
  <c r="AO155" i="2"/>
  <c r="BE555" i="2" a="1"/>
  <c r="BE555" i="2"/>
  <c r="BE539" i="2" a="1"/>
  <c r="BE539" i="2"/>
  <c r="BE430" i="2"/>
  <c r="BE472" i="2"/>
  <c r="BE483" i="2"/>
  <c r="BE490" i="2"/>
  <c r="BG555" i="2" a="1"/>
  <c r="BG555" i="2"/>
  <c r="BG539" i="2" a="1"/>
  <c r="BG539" i="2"/>
  <c r="BG430" i="2"/>
  <c r="BG472" i="2"/>
  <c r="BG483" i="2"/>
  <c r="BG490" i="2"/>
  <c r="AT485" i="2"/>
  <c r="X658" i="2"/>
  <c r="X495" i="2"/>
  <c r="X493" i="2"/>
  <c r="BJ560" i="2"/>
  <c r="BK779" i="2"/>
  <c r="AD330" i="2"/>
  <c r="AV430" i="2"/>
  <c r="AS458" i="2"/>
  <c r="AS470" i="2"/>
  <c r="S539" i="2" a="1"/>
  <c r="S539" i="2"/>
  <c r="R625" i="2"/>
  <c r="V670" i="2"/>
  <c r="AX9" i="2"/>
  <c r="BH49" i="2"/>
  <c r="BC49" i="2"/>
  <c r="BC721" i="2"/>
  <c r="R74" i="2"/>
  <c r="AH74" i="2"/>
  <c r="AH71" i="2"/>
  <c r="AR108" i="2"/>
  <c r="AQ152" i="2"/>
  <c r="AQ155" i="2"/>
  <c r="Y228" i="2"/>
  <c r="AQ388" i="2"/>
  <c r="AQ401" i="2"/>
  <c r="AA532" i="2"/>
  <c r="AV436" i="2"/>
  <c r="AR539" i="2" a="1"/>
  <c r="AR539" i="2"/>
  <c r="S625" i="2"/>
  <c r="AM625" i="2"/>
  <c r="BF625" i="2"/>
  <c r="W670" i="2"/>
  <c r="BS691" i="2"/>
  <c r="BS507" i="2"/>
  <c r="AD746" i="2"/>
  <c r="AD707" i="2"/>
  <c r="P99" i="2"/>
  <c r="AF99" i="2"/>
  <c r="AV99" i="2"/>
  <c r="BA14" i="2"/>
  <c r="X732" i="2"/>
  <c r="S74" i="2"/>
  <c r="AV108" i="2"/>
  <c r="BB145" i="2"/>
  <c r="AR152" i="2"/>
  <c r="AO173" i="2"/>
  <c r="BH264" i="2"/>
  <c r="Y388" i="2"/>
  <c r="AP388" i="2"/>
  <c r="AA388" i="2"/>
  <c r="AA394" i="2"/>
  <c r="AB532" i="2"/>
  <c r="AI434" i="2"/>
  <c r="AI436" i="2"/>
  <c r="AI441" i="2"/>
  <c r="BG625" i="2"/>
  <c r="X670" i="2"/>
  <c r="AJ670" i="2"/>
  <c r="BP670" i="2"/>
  <c r="AD724" i="2"/>
  <c r="BI733" i="2"/>
  <c r="Q99" i="2"/>
  <c r="AW99" i="2"/>
  <c r="S14" i="2"/>
  <c r="AI14" i="2"/>
  <c r="AC306" i="2"/>
  <c r="BM18" i="2"/>
  <c r="AJ232" i="2"/>
  <c r="AM235" i="2"/>
  <c r="BC235" i="2"/>
  <c r="R59" i="2"/>
  <c r="T74" i="2"/>
  <c r="AZ74" i="2"/>
  <c r="BJ106" i="2"/>
  <c r="BD145" i="2"/>
  <c r="BD144" i="2"/>
  <c r="BH385" i="2"/>
  <c r="AV388" i="2"/>
  <c r="AV394" i="2"/>
  <c r="AT532" i="2"/>
  <c r="AD503" i="2"/>
  <c r="AF436" i="2"/>
  <c r="AA499" i="2"/>
  <c r="AA809" i="2" a="1"/>
  <c r="AA809" i="2"/>
  <c r="BH573" i="2"/>
  <c r="BH587" i="2"/>
  <c r="AP625" i="2"/>
  <c r="AR625" i="2"/>
  <c r="AT670" i="2"/>
  <c r="BE670" i="2"/>
  <c r="AW670" i="2"/>
  <c r="AC693" i="2"/>
  <c r="AN751" i="2"/>
  <c r="P791" i="2"/>
  <c r="V42" i="2"/>
  <c r="AL42" i="2"/>
  <c r="BB42" i="2"/>
  <c r="AD324" i="2"/>
  <c r="AD807" i="2" a="1"/>
  <c r="AD807" i="2"/>
  <c r="X59" i="2"/>
  <c r="AK74" i="2"/>
  <c r="AK71" i="2"/>
  <c r="BA74" i="2"/>
  <c r="AW123" i="2"/>
  <c r="BH108" i="2"/>
  <c r="BI108" i="2"/>
  <c r="BC152" i="2"/>
  <c r="BD152" i="2"/>
  <c r="BI153" i="2"/>
  <c r="AO182" i="2"/>
  <c r="AX226" i="2"/>
  <c r="AV329" i="2"/>
  <c r="AU388" i="2"/>
  <c r="P388" i="2"/>
  <c r="AF388" i="2"/>
  <c r="AF394" i="2"/>
  <c r="AJ436" i="2"/>
  <c r="AZ436" i="2"/>
  <c r="AU499" i="2"/>
  <c r="AL525" i="2"/>
  <c r="AT539" i="2" a="1"/>
  <c r="AT539" i="2"/>
  <c r="Q539" i="2" a="1"/>
  <c r="Q539" i="2"/>
  <c r="W625" i="2"/>
  <c r="AQ625" i="2"/>
  <c r="AS622" i="2"/>
  <c r="BA644" i="2"/>
  <c r="BA493" i="2"/>
  <c r="BA496" i="2"/>
  <c r="AC644" i="2"/>
  <c r="AA670" i="2"/>
  <c r="AU670" i="2"/>
  <c r="BP806" i="2" a="1"/>
  <c r="BP806" i="2"/>
  <c r="AU693" i="2"/>
  <c r="BJ720" i="2"/>
  <c r="BE791" i="2"/>
  <c r="AA732" i="2"/>
  <c r="BG721" i="2"/>
  <c r="BG732" i="2"/>
  <c r="AC59" i="2"/>
  <c r="V74" i="2"/>
  <c r="V71" i="2"/>
  <c r="AL74" i="2"/>
  <c r="AL71" i="2"/>
  <c r="BB74" i="2"/>
  <c r="AZ129" i="2"/>
  <c r="BF144" i="2"/>
  <c r="BG152" i="2"/>
  <c r="BG155" i="2"/>
  <c r="BL155" i="2"/>
  <c r="AT388" i="2"/>
  <c r="AT325" i="2"/>
  <c r="AE532" i="2"/>
  <c r="AX434" i="2"/>
  <c r="AX436" i="2"/>
  <c r="AJ539" i="2" a="1"/>
  <c r="AJ539" i="2"/>
  <c r="AE693" i="2"/>
  <c r="AZ693" i="2"/>
  <c r="Q726" i="2"/>
  <c r="Q735" i="2"/>
  <c r="AO761" i="2"/>
  <c r="BC780" i="2"/>
  <c r="BC789" i="2"/>
  <c r="AC99" i="2"/>
  <c r="BA99" i="2"/>
  <c r="X42" i="2"/>
  <c r="AN42" i="2"/>
  <c r="BD42" i="2"/>
  <c r="AV324" i="2"/>
  <c r="AV807" i="2" a="1"/>
  <c r="AV807" i="2"/>
  <c r="BH47" i="2"/>
  <c r="Z237" i="2"/>
  <c r="AH59" i="2"/>
  <c r="W74" i="2"/>
  <c r="AM74" i="2"/>
  <c r="AM71" i="2"/>
  <c r="BC74" i="2"/>
  <c r="AD228" i="2"/>
  <c r="AC388" i="2"/>
  <c r="AE388" i="2"/>
  <c r="AE394" i="2"/>
  <c r="AK430" i="2"/>
  <c r="BC434" i="2"/>
  <c r="BC436" i="2"/>
  <c r="BC441" i="2"/>
  <c r="BB442" i="2"/>
  <c r="AX461" i="2"/>
  <c r="BC469" i="2"/>
  <c r="AE499" i="2"/>
  <c r="BF539" i="2" a="1"/>
  <c r="BF539" i="2"/>
  <c r="AD599" i="2"/>
  <c r="Z625" i="2"/>
  <c r="BC622" i="2"/>
  <c r="AB625" i="2"/>
  <c r="BD644" i="2"/>
  <c r="BS662" i="2"/>
  <c r="AO670" i="2"/>
  <c r="BH760" i="2"/>
  <c r="AM791" i="2"/>
  <c r="AM793" i="2"/>
  <c r="U99" i="2"/>
  <c r="AV539" i="2" a="1"/>
  <c r="AV539" i="2"/>
  <c r="AA625" i="2"/>
  <c r="AU625" i="2"/>
  <c r="AC781" i="2"/>
  <c r="U791" i="2"/>
  <c r="BI791" i="2"/>
  <c r="BF42" i="2"/>
  <c r="W42" i="2"/>
  <c r="AM42" i="2"/>
  <c r="T721" i="2"/>
  <c r="T732" i="2"/>
  <c r="AR235" i="2"/>
  <c r="AP59" i="2"/>
  <c r="AF69" i="2"/>
  <c r="AF30" i="2"/>
  <c r="AF31" i="2"/>
  <c r="BV86" i="2"/>
  <c r="BD129" i="2"/>
  <c r="BE148" i="2"/>
  <c r="BE150" i="2"/>
  <c r="BI211" i="2"/>
  <c r="BA329" i="2"/>
  <c r="AM330" i="2"/>
  <c r="BG330" i="2"/>
  <c r="BC387" i="2"/>
  <c r="BH470" i="2"/>
  <c r="AY499" i="2"/>
  <c r="AF670" i="2"/>
  <c r="R693" i="2"/>
  <c r="AH693" i="2"/>
  <c r="AY761" i="2"/>
  <c r="BC769" i="2"/>
  <c r="AE781" i="2"/>
  <c r="Y789" i="2"/>
  <c r="BE99" i="2"/>
  <c r="BM20" i="2"/>
  <c r="AM56" i="2"/>
  <c r="AM237" i="2"/>
  <c r="AS59" i="2"/>
  <c r="AV69" i="2"/>
  <c r="AV30" i="2"/>
  <c r="AR183" i="2"/>
  <c r="AH329" i="2"/>
  <c r="BF442" i="2"/>
  <c r="AO436" i="2"/>
  <c r="BH539" i="2" a="1"/>
  <c r="BH539" i="2"/>
  <c r="BV670" i="2"/>
  <c r="AR670" i="2"/>
  <c r="Q670" i="2"/>
  <c r="Y760" i="2"/>
  <c r="AQ791" i="2"/>
  <c r="AV721" i="2"/>
  <c r="BJ54" i="2"/>
  <c r="BJ57" i="2"/>
  <c r="BJ59" i="2"/>
  <c r="AS56" i="2"/>
  <c r="AS237" i="2"/>
  <c r="AX59" i="2"/>
  <c r="AA74" i="2"/>
  <c r="AQ74" i="2"/>
  <c r="BG74" i="2"/>
  <c r="BG71" i="2"/>
  <c r="AB72" i="2"/>
  <c r="BA145" i="2"/>
  <c r="BA144" i="2"/>
  <c r="AR155" i="2"/>
  <c r="AW183" i="2"/>
  <c r="V436" i="2"/>
  <c r="V442" i="2"/>
  <c r="T458" i="2"/>
  <c r="T470" i="2"/>
  <c r="BC461" i="2"/>
  <c r="AG625" i="2"/>
  <c r="BB670" i="2"/>
  <c r="BU728" i="2"/>
  <c r="BU662" i="2"/>
  <c r="BU806" i="2" a="1"/>
  <c r="BU806" i="2"/>
  <c r="Y99" i="2"/>
  <c r="AO99" i="2"/>
  <c r="AN33" i="2"/>
  <c r="AO236" i="2"/>
  <c r="BF59" i="2"/>
  <c r="AB74" i="2"/>
  <c r="AR74" i="2"/>
  <c r="BH74" i="2"/>
  <c r="BI129" i="2"/>
  <c r="BE145" i="2"/>
  <c r="AX183" i="2"/>
  <c r="AO207" i="2"/>
  <c r="AO209" i="2"/>
  <c r="BP238" i="2"/>
  <c r="BP243" i="2"/>
  <c r="BC264" i="2"/>
  <c r="R329" i="2"/>
  <c r="AN400" i="2"/>
  <c r="BA388" i="2"/>
  <c r="BA389" i="2"/>
  <c r="BA326" i="2"/>
  <c r="AN387" i="2"/>
  <c r="BG441" i="2"/>
  <c r="AI469" i="2"/>
  <c r="AN458" i="2"/>
  <c r="AN470" i="2"/>
  <c r="U467" i="2"/>
  <c r="AB539" i="2" a="1"/>
  <c r="AB539" i="2"/>
  <c r="AX539" i="2" a="1"/>
  <c r="AX539" i="2"/>
  <c r="AS573" i="2"/>
  <c r="AS587" i="2"/>
  <c r="BC673" i="2"/>
  <c r="AI769" i="2"/>
  <c r="AI781" i="2"/>
  <c r="BR20" i="2"/>
  <c r="AX41" i="2"/>
  <c r="AX56" i="2"/>
  <c r="BH72" i="2"/>
  <c r="BG105" i="2"/>
  <c r="BC123" i="2"/>
  <c r="BC122" i="2"/>
  <c r="BI148" i="2"/>
  <c r="BA183" i="2"/>
  <c r="AT207" i="2"/>
  <c r="BQ238" i="2"/>
  <c r="BQ243" i="2"/>
  <c r="BB388" i="2"/>
  <c r="BB325" i="2"/>
  <c r="AR472" i="2"/>
  <c r="AR483" i="2"/>
  <c r="X441" i="2"/>
  <c r="AB436" i="2"/>
  <c r="AR436" i="2"/>
  <c r="AR441" i="2"/>
  <c r="AD525" i="2"/>
  <c r="Y573" i="2"/>
  <c r="BC573" i="2"/>
  <c r="AK670" i="2"/>
  <c r="AB670" i="2"/>
  <c r="AO693" i="2"/>
  <c r="BB781" i="2"/>
  <c r="BB791" i="2"/>
  <c r="BI99" i="2"/>
  <c r="AD232" i="2"/>
  <c r="AW235" i="2"/>
  <c r="BC56" i="2"/>
  <c r="AD74" i="2"/>
  <c r="AD73" i="2"/>
  <c r="BN72" i="2"/>
  <c r="AY84" i="2"/>
  <c r="AV144" i="2"/>
  <c r="AV155" i="2"/>
  <c r="U209" i="2"/>
  <c r="AY207" i="2"/>
  <c r="AY209" i="2"/>
  <c r="T388" i="2"/>
  <c r="AC436" i="2"/>
  <c r="BI490" i="2"/>
  <c r="AZ539" i="2" a="1"/>
  <c r="AZ539" i="2"/>
  <c r="AH625" i="2"/>
  <c r="AD506" i="2"/>
  <c r="Q625" i="2"/>
  <c r="AK625" i="2"/>
  <c r="BD625" i="2"/>
  <c r="AG644" i="2"/>
  <c r="R670" i="2"/>
  <c r="AL670" i="2"/>
  <c r="BF670" i="2"/>
  <c r="AM693" i="2"/>
  <c r="BE693" i="2"/>
  <c r="AD14" i="2"/>
  <c r="AV14" i="2"/>
  <c r="X306" i="2"/>
  <c r="T47" i="2"/>
  <c r="AD721" i="2"/>
  <c r="AD734" i="2"/>
  <c r="BD236" i="2"/>
  <c r="AU74" i="2"/>
  <c r="AN183" i="2"/>
  <c r="AN237" i="2"/>
  <c r="AN238" i="2"/>
  <c r="AT182" i="2"/>
  <c r="AT236" i="2"/>
  <c r="W388" i="2"/>
  <c r="W325" i="2"/>
  <c r="AM388" i="2"/>
  <c r="AM325" i="2"/>
  <c r="BN399" i="2"/>
  <c r="AX469" i="2"/>
  <c r="AI468" i="2"/>
  <c r="AD539" i="2" a="1"/>
  <c r="AD539" i="2"/>
  <c r="AP539" i="2" a="1"/>
  <c r="AP539" i="2"/>
  <c r="AI573" i="2"/>
  <c r="AI587" i="2"/>
  <c r="BC599" i="2"/>
  <c r="AL625" i="2"/>
  <c r="BE625" i="2"/>
  <c r="S670" i="2"/>
  <c r="AM670" i="2"/>
  <c r="BG670" i="2"/>
  <c r="AX760" i="2"/>
  <c r="R761" i="2"/>
  <c r="AD769" i="2"/>
  <c r="AD781" i="2"/>
  <c r="AL781" i="2"/>
  <c r="AL791" i="2"/>
  <c r="U182" i="2"/>
  <c r="U236" i="2"/>
  <c r="AS99" i="2"/>
  <c r="AX33" i="2"/>
  <c r="BI236" i="2"/>
  <c r="AF74" i="2"/>
  <c r="Y84" i="2"/>
  <c r="BI207" i="2"/>
  <c r="Y232" i="2"/>
  <c r="BH400" i="2"/>
  <c r="BI532" i="2"/>
  <c r="Z467" i="2"/>
  <c r="U670" i="2"/>
  <c r="AZ670" i="2"/>
  <c r="BM670" i="2"/>
  <c r="T746" i="2"/>
  <c r="AO781" i="2"/>
  <c r="AO791" i="2"/>
  <c r="AO793" i="2"/>
  <c r="BN73" i="2"/>
  <c r="AN73" i="2"/>
  <c r="AN71" i="2"/>
  <c r="BQ122" i="2"/>
  <c r="V732" i="2"/>
  <c r="AL732" i="2"/>
  <c r="AU73" i="2"/>
  <c r="AU71" i="2"/>
  <c r="AP71" i="2"/>
  <c r="AC71" i="2"/>
  <c r="W721" i="2"/>
  <c r="W732" i="2"/>
  <c r="AM721" i="2"/>
  <c r="AF71" i="2"/>
  <c r="AS73" i="2"/>
  <c r="AS71" i="2"/>
  <c r="AD237" i="2"/>
  <c r="BN57" i="2"/>
  <c r="Q71" i="2"/>
  <c r="Q62" i="2"/>
  <c r="AG71" i="2"/>
  <c r="AW71" i="2"/>
  <c r="AW62" i="2"/>
  <c r="AV73" i="2"/>
  <c r="AV71" i="2"/>
  <c r="BT122" i="2"/>
  <c r="R71" i="2"/>
  <c r="R62" i="2"/>
  <c r="R73" i="2"/>
  <c r="BE71" i="2"/>
  <c r="S71" i="2"/>
  <c r="S62" i="2"/>
  <c r="BS73" i="2"/>
  <c r="BS74" i="2"/>
  <c r="BF71" i="2"/>
  <c r="BS148" i="2"/>
  <c r="BS151" i="2"/>
  <c r="BN153" i="2"/>
  <c r="BO148" i="2"/>
  <c r="T71" i="2"/>
  <c r="T62" i="2"/>
  <c r="T73" i="2"/>
  <c r="AZ71" i="2"/>
  <c r="AZ73" i="2"/>
  <c r="BA71" i="2"/>
  <c r="AJ61" i="2"/>
  <c r="BB71" i="2"/>
  <c r="W71" i="2"/>
  <c r="BC71" i="2"/>
  <c r="BS103" i="2"/>
  <c r="BS106" i="2"/>
  <c r="BO103" i="2"/>
  <c r="BN107" i="2"/>
  <c r="Y72" i="2"/>
  <c r="Y69" i="2"/>
  <c r="Y30" i="2"/>
  <c r="AF381" i="2"/>
  <c r="AW120" i="2"/>
  <c r="AV381" i="2"/>
  <c r="AV217" i="2"/>
  <c r="AV31" i="2"/>
  <c r="AY103" i="2"/>
  <c r="AU103" i="2"/>
  <c r="AY107" i="2"/>
  <c r="BP134" i="2"/>
  <c r="BP124" i="2"/>
  <c r="BM122" i="2"/>
  <c r="AA71" i="2"/>
  <c r="AQ71" i="2"/>
  <c r="X71" i="2"/>
  <c r="Y237" i="2"/>
  <c r="AB71" i="2"/>
  <c r="AR73" i="2"/>
  <c r="AR71" i="2"/>
  <c r="BH73" i="2"/>
  <c r="BH71" i="2"/>
  <c r="Y74" i="2"/>
  <c r="BB890" i="2" a="1"/>
  <c r="BB890" i="2"/>
  <c r="BB121" i="2"/>
  <c r="BB118" i="2"/>
  <c r="AD920" i="2" a="1"/>
  <c r="AD920" i="2"/>
  <c r="AD890" i="2" a="1"/>
  <c r="AD890" i="2"/>
  <c r="AD429" i="2"/>
  <c r="BC84" i="2"/>
  <c r="AX17" i="2"/>
  <c r="AX83" i="2"/>
  <c r="AX84" i="2"/>
  <c r="AB290" i="2"/>
  <c r="AA290" i="2"/>
  <c r="Y290" i="2"/>
  <c r="Z290" i="2"/>
  <c r="AK732" i="2"/>
  <c r="BA721" i="2"/>
  <c r="BA732" i="2"/>
  <c r="AS242" i="2"/>
  <c r="AT56" i="2"/>
  <c r="Y59" i="2"/>
  <c r="BE59" i="2"/>
  <c r="AQ61" i="2"/>
  <c r="Q69" i="2"/>
  <c r="AG69" i="2"/>
  <c r="AG30" i="2"/>
  <c r="AW69" i="2"/>
  <c r="AW30" i="2"/>
  <c r="AC72" i="2"/>
  <c r="AC73" i="2"/>
  <c r="BA121" i="2"/>
  <c r="AT148" i="2"/>
  <c r="AP148" i="2"/>
  <c r="Z238" i="2"/>
  <c r="AI920" i="2" a="1"/>
  <c r="AI920" i="2"/>
  <c r="AI429" i="2"/>
  <c r="AF306" i="2"/>
  <c r="AH290" i="2"/>
  <c r="AG290" i="2"/>
  <c r="AF290" i="2"/>
  <c r="AD290" i="2"/>
  <c r="AE290" i="2"/>
  <c r="R69" i="2"/>
  <c r="R30" i="2"/>
  <c r="AH69" i="2"/>
  <c r="AH30" i="2"/>
  <c r="AS107" i="2"/>
  <c r="AX107" i="2"/>
  <c r="BG129" i="2"/>
  <c r="BG118" i="2"/>
  <c r="BG145" i="2"/>
  <c r="BG144" i="2"/>
  <c r="S238" i="2"/>
  <c r="S243" i="2"/>
  <c r="AB232" i="2"/>
  <c r="AU232" i="2"/>
  <c r="BD890" i="2" a="1"/>
  <c r="BD890" i="2"/>
  <c r="BD118" i="2"/>
  <c r="AN920" i="2" a="1"/>
  <c r="AN920" i="2"/>
  <c r="AN890" i="2" a="1"/>
  <c r="AN890" i="2"/>
  <c r="AN429" i="2"/>
  <c r="AX7" i="2"/>
  <c r="AX100" i="2"/>
  <c r="AX99" i="2"/>
  <c r="AG306" i="2"/>
  <c r="AM290" i="2"/>
  <c r="AL290" i="2"/>
  <c r="AK290" i="2"/>
  <c r="AI290" i="2"/>
  <c r="AJ290" i="2"/>
  <c r="AV56" i="2"/>
  <c r="AA59" i="2"/>
  <c r="AQ59" i="2"/>
  <c r="BG59" i="2"/>
  <c r="S69" i="2"/>
  <c r="S30" i="2"/>
  <c r="AY69" i="2"/>
  <c r="AW84" i="2"/>
  <c r="BF123" i="2"/>
  <c r="AV123" i="2"/>
  <c r="AM238" i="2"/>
  <c r="AM243" i="2"/>
  <c r="AN226" i="2"/>
  <c r="AN232" i="2"/>
  <c r="AN228" i="2"/>
  <c r="AO890" i="2" a="1"/>
  <c r="AO890" i="2"/>
  <c r="AO118" i="2"/>
  <c r="BE890" i="2" a="1"/>
  <c r="BE890" i="2"/>
  <c r="BE118" i="2"/>
  <c r="AS920" i="2" a="1"/>
  <c r="AS920" i="2"/>
  <c r="AS890" i="2" a="1"/>
  <c r="AS890" i="2"/>
  <c r="AS429" i="2"/>
  <c r="Y10" i="2"/>
  <c r="AH306" i="2"/>
  <c r="AX18" i="2"/>
  <c r="AX19" i="2"/>
  <c r="AX85" i="2"/>
  <c r="AR290" i="2"/>
  <c r="AQ290" i="2"/>
  <c r="AP290" i="2"/>
  <c r="AN290" i="2"/>
  <c r="AO290" i="2"/>
  <c r="AV240" i="2"/>
  <c r="AV242" i="2"/>
  <c r="BN238" i="2"/>
  <c r="AW56" i="2"/>
  <c r="AW237" i="2"/>
  <c r="AB59" i="2"/>
  <c r="AR59" i="2"/>
  <c r="BH59" i="2"/>
  <c r="T69" i="2"/>
  <c r="AJ69" i="2"/>
  <c r="AZ69" i="2"/>
  <c r="AZ30" i="2"/>
  <c r="AZ381" i="2"/>
  <c r="AF72" i="2"/>
  <c r="Q84" i="2"/>
  <c r="AG84" i="2"/>
  <c r="BB123" i="2"/>
  <c r="AQ129" i="2"/>
  <c r="AQ118" i="2"/>
  <c r="Z358" i="2" a="1"/>
  <c r="Z358" i="2"/>
  <c r="Z356" i="2"/>
  <c r="Z361" i="2"/>
  <c r="Z377" i="2"/>
  <c r="AP890" i="2" a="1"/>
  <c r="AP890" i="2"/>
  <c r="AP118" i="2"/>
  <c r="BF890" i="2" a="1"/>
  <c r="BF890" i="2"/>
  <c r="BF118" i="2"/>
  <c r="BF121" i="2"/>
  <c r="AX920" i="2" a="1"/>
  <c r="AX920" i="2"/>
  <c r="AX429" i="2"/>
  <c r="BQ20" i="2"/>
  <c r="AW290" i="2"/>
  <c r="AV290" i="2"/>
  <c r="AU290" i="2"/>
  <c r="AS290" i="2"/>
  <c r="AT290" i="2"/>
  <c r="BC33" i="2"/>
  <c r="BC232" i="2"/>
  <c r="P301" i="2"/>
  <c r="Z42" i="2"/>
  <c r="AP42" i="2"/>
  <c r="Y721" i="2"/>
  <c r="AO732" i="2"/>
  <c r="AO734" i="2"/>
  <c r="BE732" i="2"/>
  <c r="BE734" i="2"/>
  <c r="AW240" i="2"/>
  <c r="AW242" i="2"/>
  <c r="BS238" i="2"/>
  <c r="U69" i="2"/>
  <c r="AK69" i="2"/>
  <c r="AK30" i="2"/>
  <c r="BA69" i="2"/>
  <c r="BA30" i="2"/>
  <c r="BA381" i="2"/>
  <c r="Q72" i="2"/>
  <c r="AG72" i="2"/>
  <c r="AG73" i="2"/>
  <c r="AW72" i="2"/>
  <c r="AW73" i="2"/>
  <c r="BG123" i="2"/>
  <c r="BJ107" i="2"/>
  <c r="BK103" i="2"/>
  <c r="BE123" i="2"/>
  <c r="BA123" i="2"/>
  <c r="W238" i="2"/>
  <c r="W243" i="2"/>
  <c r="AX232" i="2"/>
  <c r="AC290" i="2"/>
  <c r="BG890" i="2" a="1"/>
  <c r="BG890" i="2"/>
  <c r="BG121" i="2"/>
  <c r="BC920" i="2" a="1"/>
  <c r="BC920" i="2"/>
  <c r="BC890" i="2" a="1"/>
  <c r="BC890" i="2"/>
  <c r="BC429" i="2"/>
  <c r="AX290" i="2"/>
  <c r="AY290" i="2"/>
  <c r="AA42" i="2"/>
  <c r="AQ42" i="2"/>
  <c r="BG42" i="2"/>
  <c r="BF721" i="2"/>
  <c r="BF732" i="2"/>
  <c r="AX240" i="2"/>
  <c r="AX242" i="2"/>
  <c r="AY56" i="2"/>
  <c r="AD59" i="2"/>
  <c r="V69" i="2"/>
  <c r="V30" i="2"/>
  <c r="AL69" i="2"/>
  <c r="AL30" i="2"/>
  <c r="BB69" i="2"/>
  <c r="BB30" i="2"/>
  <c r="AH72" i="2"/>
  <c r="AH73" i="2"/>
  <c r="AX105" i="2"/>
  <c r="AX108" i="2"/>
  <c r="AY108" i="2"/>
  <c r="AR890" i="2" a="1"/>
  <c r="AR890" i="2"/>
  <c r="AR118" i="2"/>
  <c r="BH920" i="2" a="1"/>
  <c r="BH920" i="2"/>
  <c r="BH890" i="2" a="1"/>
  <c r="BH890" i="2"/>
  <c r="BH429" i="2"/>
  <c r="BH9" i="2"/>
  <c r="AK306" i="2"/>
  <c r="AZ290" i="2"/>
  <c r="AB42" i="2"/>
  <c r="AR42" i="2"/>
  <c r="T56" i="2"/>
  <c r="T237" i="2"/>
  <c r="AU59" i="2"/>
  <c r="W69" i="2"/>
  <c r="W30" i="2"/>
  <c r="AM69" i="2"/>
  <c r="AM30" i="2"/>
  <c r="S72" i="2"/>
  <c r="S73" i="2"/>
  <c r="BK122" i="2"/>
  <c r="BL122" i="2"/>
  <c r="BA118" i="2"/>
  <c r="AU118" i="2"/>
  <c r="BI890" i="2" a="1"/>
  <c r="BI890" i="2"/>
  <c r="BE733" i="2"/>
  <c r="BJ920" i="2" a="1"/>
  <c r="BJ920" i="2"/>
  <c r="BJ890" i="2" a="1"/>
  <c r="BJ890" i="2"/>
  <c r="AS10" i="2"/>
  <c r="BC13" i="2"/>
  <c r="V306" i="2"/>
  <c r="AL306" i="2"/>
  <c r="BB306" i="2"/>
  <c r="AW308" i="2"/>
  <c r="AV308" i="2"/>
  <c r="AU308" i="2"/>
  <c r="AN93" i="2"/>
  <c r="BA290" i="2"/>
  <c r="AC42" i="2"/>
  <c r="AS42" i="2"/>
  <c r="BI42" i="2"/>
  <c r="AB721" i="2"/>
  <c r="AR721" i="2"/>
  <c r="AR732" i="2"/>
  <c r="BH721" i="2"/>
  <c r="BH732" i="2"/>
  <c r="BA56" i="2"/>
  <c r="BA237" i="2"/>
  <c r="AF59" i="2"/>
  <c r="AV59" i="2"/>
  <c r="X69" i="2"/>
  <c r="X30" i="2"/>
  <c r="BD69" i="2"/>
  <c r="U84" i="2"/>
  <c r="AK84" i="2"/>
  <c r="BI118" i="2"/>
  <c r="BS121" i="2"/>
  <c r="AX150" i="2"/>
  <c r="AX152" i="2"/>
  <c r="AY152" i="2"/>
  <c r="AS186" i="2"/>
  <c r="AX185" i="2"/>
  <c r="AA238" i="2"/>
  <c r="BH240" i="2"/>
  <c r="BH242" i="2"/>
  <c r="AT890" i="2" a="1"/>
  <c r="AT890" i="2"/>
  <c r="AT118" i="2"/>
  <c r="BK4" i="2"/>
  <c r="AD10" i="2"/>
  <c r="AN13" i="2"/>
  <c r="W306" i="2"/>
  <c r="AM306" i="2"/>
  <c r="BC18" i="2"/>
  <c r="BC19" i="2"/>
  <c r="BC85" i="2"/>
  <c r="BB308" i="2"/>
  <c r="BA308" i="2"/>
  <c r="AZ308" i="2"/>
  <c r="BB307" i="2"/>
  <c r="BA307" i="2"/>
  <c r="AZ307" i="2"/>
  <c r="AS228" i="2"/>
  <c r="AS93" i="2"/>
  <c r="AS248" i="2"/>
  <c r="BB381" i="2"/>
  <c r="BB290" i="2"/>
  <c r="AD42" i="2"/>
  <c r="AT42" i="2"/>
  <c r="AS732" i="2"/>
  <c r="AS734" i="2"/>
  <c r="BI734" i="2"/>
  <c r="BI732" i="2"/>
  <c r="BA240" i="2"/>
  <c r="BA242" i="2"/>
  <c r="BB56" i="2"/>
  <c r="BB237" i="2"/>
  <c r="Y58" i="2"/>
  <c r="AO58" i="2"/>
  <c r="Q59" i="2"/>
  <c r="AG59" i="2"/>
  <c r="AW59" i="2"/>
  <c r="S61" i="2"/>
  <c r="S89" i="2"/>
  <c r="AI61" i="2"/>
  <c r="AO69" i="2"/>
  <c r="BE69" i="2"/>
  <c r="BE30" i="2"/>
  <c r="AK72" i="2"/>
  <c r="AK73" i="2"/>
  <c r="BA72" i="2"/>
  <c r="BA73" i="2"/>
  <c r="AL80" i="2"/>
  <c r="AE183" i="2"/>
  <c r="AE237" i="2"/>
  <c r="AE238" i="2"/>
  <c r="Y920" i="2" a="1"/>
  <c r="Y920" i="2"/>
  <c r="Y890" i="2" a="1"/>
  <c r="Y890" i="2"/>
  <c r="Y429" i="2"/>
  <c r="AU890" i="2" a="1"/>
  <c r="AU890" i="2"/>
  <c r="AU121" i="2"/>
  <c r="AX800" i="2"/>
  <c r="BF308" i="2"/>
  <c r="BE308" i="2"/>
  <c r="BG307" i="2"/>
  <c r="AX248" i="2"/>
  <c r="BG308" i="2"/>
  <c r="AN229" i="2"/>
  <c r="AN138" i="2"/>
  <c r="BC290" i="2"/>
  <c r="BD290" i="2"/>
  <c r="BH33" i="2"/>
  <c r="AE42" i="2"/>
  <c r="AU42" i="2"/>
  <c r="BB240" i="2"/>
  <c r="BB242" i="2"/>
  <c r="BB245" i="2"/>
  <c r="Z69" i="2"/>
  <c r="AP69" i="2"/>
  <c r="AP30" i="2"/>
  <c r="BF69" i="2"/>
  <c r="BF30" i="2"/>
  <c r="V72" i="2"/>
  <c r="AL72" i="2"/>
  <c r="AL73" i="2"/>
  <c r="BB72" i="2"/>
  <c r="BB73" i="2"/>
  <c r="AU123" i="2"/>
  <c r="AY155" i="2"/>
  <c r="AL183" i="2"/>
  <c r="AL237" i="2"/>
  <c r="AL238" i="2"/>
  <c r="AL243" i="2"/>
  <c r="AZ211" i="2"/>
  <c r="BD211" i="2"/>
  <c r="AL232" i="2"/>
  <c r="AZ732" i="2"/>
  <c r="AZ734" i="2"/>
  <c r="AV890" i="2" a="1"/>
  <c r="AV890" i="2"/>
  <c r="AV118" i="2"/>
  <c r="AV121" i="2"/>
  <c r="B941" i="2"/>
  <c r="Z99" i="2"/>
  <c r="AP99" i="2"/>
  <c r="BF99" i="2"/>
  <c r="BE306" i="2"/>
  <c r="BC248" i="2"/>
  <c r="BC228" i="2"/>
  <c r="BC93" i="2"/>
  <c r="AS229" i="2"/>
  <c r="AS138" i="2"/>
  <c r="AX145" i="2"/>
  <c r="AX144" i="2"/>
  <c r="BD29" i="2"/>
  <c r="AS33" i="2"/>
  <c r="AS232" i="2"/>
  <c r="P42" i="2"/>
  <c r="AF42" i="2"/>
  <c r="AV42" i="2"/>
  <c r="AE732" i="2"/>
  <c r="AE734" i="2"/>
  <c r="AU732" i="2"/>
  <c r="BC733" i="2"/>
  <c r="AM242" i="2"/>
  <c r="BC242" i="2"/>
  <c r="BC245" i="2"/>
  <c r="BC240" i="2"/>
  <c r="BD56" i="2"/>
  <c r="S59" i="2"/>
  <c r="AI59" i="2"/>
  <c r="AK61" i="2"/>
  <c r="AA69" i="2"/>
  <c r="AA30" i="2"/>
  <c r="AQ69" i="2"/>
  <c r="AQ30" i="2"/>
  <c r="BG69" i="2"/>
  <c r="BG30" i="2"/>
  <c r="W72" i="2"/>
  <c r="W73" i="2"/>
  <c r="AM72" i="2"/>
  <c r="BC72" i="2"/>
  <c r="BC73" i="2"/>
  <c r="V80" i="2"/>
  <c r="BF84" i="2"/>
  <c r="BF108" i="2"/>
  <c r="BF105" i="2"/>
  <c r="BO122" i="2"/>
  <c r="AZ144" i="2"/>
  <c r="BG235" i="2"/>
  <c r="AW890" i="2" a="1"/>
  <c r="AW890" i="2"/>
  <c r="AW121" i="2"/>
  <c r="AW122" i="2"/>
  <c r="AS8" i="2"/>
  <c r="AP306" i="2"/>
  <c r="BH93" i="2"/>
  <c r="AX129" i="2"/>
  <c r="BE29" i="2"/>
  <c r="BA31" i="2"/>
  <c r="Q42" i="2"/>
  <c r="AG42" i="2"/>
  <c r="AW42" i="2"/>
  <c r="BH733" i="2"/>
  <c r="AO56" i="2"/>
  <c r="T59" i="2"/>
  <c r="AZ59" i="2"/>
  <c r="V61" i="2"/>
  <c r="AL61" i="2"/>
  <c r="AB69" i="2"/>
  <c r="AB30" i="2"/>
  <c r="AR69" i="2"/>
  <c r="AR30" i="2"/>
  <c r="X72" i="2"/>
  <c r="X73" i="2"/>
  <c r="AP80" i="2"/>
  <c r="AX93" i="2"/>
  <c r="BP122" i="2"/>
  <c r="AW144" i="2"/>
  <c r="BI150" i="2"/>
  <c r="AL181" i="2"/>
  <c r="R890" i="2" a="1"/>
  <c r="R890" i="2"/>
  <c r="R735" i="2"/>
  <c r="AX3" i="2"/>
  <c r="AX118" i="2"/>
  <c r="AX10" i="2"/>
  <c r="BH13" i="2"/>
  <c r="AA306" i="2"/>
  <c r="AQ306" i="2"/>
  <c r="BG306" i="2"/>
  <c r="AS158" i="2"/>
  <c r="AS230" i="2"/>
  <c r="BF29" i="2"/>
  <c r="BB31" i="2"/>
  <c r="P300" i="2"/>
  <c r="R42" i="2"/>
  <c r="AH42" i="2"/>
  <c r="AX42" i="2"/>
  <c r="Q732" i="2"/>
  <c r="AG721" i="2"/>
  <c r="AW721" i="2"/>
  <c r="BF56" i="2"/>
  <c r="BI58" i="2"/>
  <c r="AK59" i="2"/>
  <c r="BA59" i="2"/>
  <c r="AM61" i="2"/>
  <c r="BC61" i="2"/>
  <c r="AC69" i="2"/>
  <c r="AC30" i="2"/>
  <c r="BI69" i="2"/>
  <c r="BE72" i="2"/>
  <c r="Z84" i="2"/>
  <c r="AP84" i="2"/>
  <c r="BI84" i="2"/>
  <c r="BB144" i="2"/>
  <c r="V232" i="2"/>
  <c r="AI3" i="2"/>
  <c r="AI890" i="2" a="1"/>
  <c r="AI890" i="2"/>
  <c r="AI10" i="2"/>
  <c r="AS13" i="2"/>
  <c r="AB306" i="2"/>
  <c r="AR306" i="2"/>
  <c r="BH18" i="2"/>
  <c r="BH19" i="2"/>
  <c r="BH85" i="2"/>
  <c r="BH118" i="2"/>
  <c r="AX158" i="2"/>
  <c r="AX230" i="2"/>
  <c r="BG29" i="2"/>
  <c r="S42" i="2"/>
  <c r="AI42" i="2"/>
  <c r="AY42" i="2"/>
  <c r="R721" i="2"/>
  <c r="R732" i="2"/>
  <c r="AH721" i="2"/>
  <c r="AH732" i="2"/>
  <c r="AX49" i="2"/>
  <c r="AX721" i="2"/>
  <c r="BF240" i="2"/>
  <c r="BF242" i="2"/>
  <c r="AT58" i="2"/>
  <c r="V59" i="2"/>
  <c r="AL59" i="2"/>
  <c r="BB59" i="2"/>
  <c r="X61" i="2"/>
  <c r="AN61" i="2"/>
  <c r="BD61" i="2"/>
  <c r="AD69" i="2"/>
  <c r="AT69" i="2"/>
  <c r="AP72" i="2"/>
  <c r="BF72" i="2"/>
  <c r="BF73" i="2"/>
  <c r="BO95" i="2"/>
  <c r="AZ123" i="2"/>
  <c r="BR122" i="2"/>
  <c r="BC138" i="2"/>
  <c r="BH145" i="2"/>
  <c r="BH144" i="2"/>
  <c r="BE144" i="2"/>
  <c r="BC186" i="2"/>
  <c r="BC183" i="2"/>
  <c r="BC237" i="2"/>
  <c r="BC238" i="2"/>
  <c r="BC243" i="2"/>
  <c r="X290" i="2"/>
  <c r="W290" i="2"/>
  <c r="V290" i="2"/>
  <c r="T290" i="2"/>
  <c r="U290" i="2"/>
  <c r="AR240" i="2"/>
  <c r="AR242" i="2"/>
  <c r="AR245" i="2"/>
  <c r="AZ890" i="2" a="1"/>
  <c r="AZ890" i="2"/>
  <c r="AZ121" i="2"/>
  <c r="BD121" i="2"/>
  <c r="T920" i="2" a="1"/>
  <c r="T920" i="2"/>
  <c r="T890" i="2" a="1"/>
  <c r="T890" i="2"/>
  <c r="T429" i="2"/>
  <c r="T10" i="2"/>
  <c r="AS84" i="2"/>
  <c r="AS18" i="2"/>
  <c r="AS19" i="2"/>
  <c r="AS85" i="2"/>
  <c r="S290" i="2"/>
  <c r="R290" i="2"/>
  <c r="Q290" i="2"/>
  <c r="P290" i="2"/>
  <c r="BH29" i="2"/>
  <c r="T42" i="2"/>
  <c r="AJ42" i="2"/>
  <c r="AZ42" i="2"/>
  <c r="AB56" i="2"/>
  <c r="AB237" i="2"/>
  <c r="AB238" i="2"/>
  <c r="AB243" i="2"/>
  <c r="AR56" i="2"/>
  <c r="AR237" i="2"/>
  <c r="AR238" i="2"/>
  <c r="AR243" i="2"/>
  <c r="BH56" i="2"/>
  <c r="W59" i="2"/>
  <c r="AM59" i="2"/>
  <c r="BC59" i="2"/>
  <c r="Y61" i="2"/>
  <c r="AO61" i="2"/>
  <c r="BE61" i="2"/>
  <c r="AE69" i="2"/>
  <c r="AU69" i="2"/>
  <c r="AU30" i="2"/>
  <c r="AA72" i="2"/>
  <c r="AE72" i="2"/>
  <c r="AQ72" i="2"/>
  <c r="AQ73" i="2"/>
  <c r="BG72" i="2"/>
  <c r="BG73" i="2"/>
  <c r="BJ108" i="2"/>
  <c r="BI144" i="2"/>
  <c r="BD155" i="2"/>
  <c r="BD156" i="2"/>
  <c r="AS108" i="2"/>
  <c r="AT108" i="2"/>
  <c r="BM110" i="2"/>
  <c r="BM111" i="2"/>
  <c r="BM120" i="2"/>
  <c r="AN181" i="2"/>
  <c r="AN235" i="2"/>
  <c r="AF238" i="2"/>
  <c r="Y210" i="2"/>
  <c r="Y211" i="2"/>
  <c r="AA210" i="2"/>
  <c r="AC232" i="2"/>
  <c r="AV232" i="2"/>
  <c r="BF358" i="2" a="1"/>
  <c r="BF358" i="2"/>
  <c r="BF356" i="2"/>
  <c r="BF361" i="2"/>
  <c r="BF377" i="2"/>
  <c r="BE105" i="2"/>
  <c r="BN110" i="2"/>
  <c r="AY118" i="2"/>
  <c r="AZ148" i="2"/>
  <c r="AW152" i="2"/>
  <c r="AW155" i="2"/>
  <c r="AW156" i="2"/>
  <c r="Q238" i="2"/>
  <c r="Q243" i="2"/>
  <c r="AG238" i="2"/>
  <c r="AG243" i="2"/>
  <c r="AE232" i="2"/>
  <c r="AW232" i="2"/>
  <c r="AS238" i="2"/>
  <c r="BE215" i="2"/>
  <c r="S401" i="2"/>
  <c r="S405" i="2"/>
  <c r="S797" i="2" a="1"/>
  <c r="S797" i="2"/>
  <c r="S389" i="2"/>
  <c r="S326" i="2"/>
  <c r="S325" i="2"/>
  <c r="S394" i="2"/>
  <c r="AI401" i="2"/>
  <c r="AI405" i="2"/>
  <c r="AI797" i="2" a="1"/>
  <c r="AI797" i="2"/>
  <c r="AI389" i="2"/>
  <c r="AI326" i="2"/>
  <c r="AI325" i="2"/>
  <c r="AI394" i="2"/>
  <c r="BO110" i="2"/>
  <c r="BO111" i="2"/>
  <c r="BO120" i="2"/>
  <c r="AZ118" i="2"/>
  <c r="AU129" i="2"/>
  <c r="R238" i="2"/>
  <c r="R243" i="2"/>
  <c r="AH238" i="2"/>
  <c r="AH243" i="2"/>
  <c r="Z210" i="2"/>
  <c r="AF232" i="2"/>
  <c r="AY232" i="2"/>
  <c r="BO238" i="2"/>
  <c r="BO243" i="2"/>
  <c r="BH228" i="2"/>
  <c r="BH226" i="2"/>
  <c r="AG232" i="2"/>
  <c r="BB215" i="2"/>
  <c r="AQ105" i="2"/>
  <c r="AW108" i="2"/>
  <c r="AB164" i="2"/>
  <c r="AC161" i="2"/>
  <c r="T238" i="2"/>
  <c r="P232" i="2"/>
  <c r="BA232" i="2"/>
  <c r="AW238" i="2"/>
  <c r="AW243" i="2"/>
  <c r="BH245" i="2"/>
  <c r="BH215" i="2"/>
  <c r="BF215" i="2"/>
  <c r="BF245" i="2"/>
  <c r="AZ103" i="2"/>
  <c r="BA152" i="2"/>
  <c r="BA155" i="2"/>
  <c r="BA156" i="2"/>
  <c r="AX229" i="2"/>
  <c r="Q232" i="2"/>
  <c r="AY129" i="2"/>
  <c r="AS151" i="2"/>
  <c r="BB152" i="2"/>
  <c r="BB155" i="2"/>
  <c r="V238" i="2"/>
  <c r="BJ209" i="2"/>
  <c r="BI210" i="2"/>
  <c r="AK232" i="2"/>
  <c r="BD232" i="2"/>
  <c r="AT356" i="2"/>
  <c r="AT361" i="2"/>
  <c r="AT377" i="2"/>
  <c r="AT358" i="2" a="1"/>
  <c r="AT358" i="2"/>
  <c r="R356" i="2"/>
  <c r="R358" i="2" a="1"/>
  <c r="R358" i="2"/>
  <c r="AK401" i="2"/>
  <c r="AK389" i="2"/>
  <c r="AK326" i="2"/>
  <c r="AK325" i="2"/>
  <c r="AK394" i="2"/>
  <c r="BE389" i="2"/>
  <c r="BE326" i="2"/>
  <c r="BE325" i="2"/>
  <c r="BE394" i="2"/>
  <c r="BE401" i="2"/>
  <c r="BE405" i="2"/>
  <c r="BE797" i="2" a="1"/>
  <c r="BE797" i="2"/>
  <c r="V211" i="2"/>
  <c r="U210" i="2"/>
  <c r="T209" i="2"/>
  <c r="BH229" i="2"/>
  <c r="S232" i="2"/>
  <c r="BE232" i="2"/>
  <c r="BA238" i="2"/>
  <c r="BA243" i="2"/>
  <c r="AR215" i="2"/>
  <c r="BD107" i="2"/>
  <c r="BA108" i="2"/>
  <c r="AN230" i="2"/>
  <c r="U232" i="2"/>
  <c r="AM232" i="2"/>
  <c r="BB238" i="2"/>
  <c r="BB243" i="2"/>
  <c r="BD358" i="2" a="1"/>
  <c r="BD358" i="2"/>
  <c r="BD356" i="2"/>
  <c r="BD361" i="2"/>
  <c r="BD377" i="2"/>
  <c r="AO106" i="2"/>
  <c r="BB108" i="2"/>
  <c r="AU145" i="2"/>
  <c r="AU144" i="2"/>
  <c r="BE152" i="2"/>
  <c r="BE155" i="2"/>
  <c r="Y238" i="2"/>
  <c r="BG183" i="2"/>
  <c r="BG237" i="2"/>
  <c r="BG238" i="2"/>
  <c r="BG243" i="2"/>
  <c r="AD209" i="2"/>
  <c r="AF211" i="2"/>
  <c r="AE210" i="2"/>
  <c r="AO232" i="2"/>
  <c r="AV215" i="2"/>
  <c r="AV245" i="2"/>
  <c r="Q356" i="2"/>
  <c r="Q358" i="2" a="1"/>
  <c r="Q358" i="2"/>
  <c r="AP358" i="2" a="1"/>
  <c r="AP358" i="2"/>
  <c r="AP356" i="2"/>
  <c r="AP361" i="2"/>
  <c r="AP377" i="2"/>
  <c r="BC108" i="2"/>
  <c r="BD108" i="2"/>
  <c r="BF152" i="2"/>
  <c r="BF155" i="2"/>
  <c r="BH183" i="2"/>
  <c r="BC230" i="2"/>
  <c r="W232" i="2"/>
  <c r="BI232" i="2"/>
  <c r="AW215" i="2"/>
  <c r="AW245" i="2"/>
  <c r="BC385" i="2"/>
  <c r="BC346" i="2"/>
  <c r="BC347" i="2"/>
  <c r="BC350" i="2"/>
  <c r="BC352" i="2"/>
  <c r="BC358" i="2" a="1"/>
  <c r="BC358" i="2"/>
  <c r="AY361" i="2"/>
  <c r="AY377" i="2"/>
  <c r="AY358" i="2" a="1"/>
  <c r="AY358" i="2"/>
  <c r="BJ151" i="2"/>
  <c r="T226" i="2"/>
  <c r="T232" i="2"/>
  <c r="T228" i="2"/>
  <c r="BH230" i="2"/>
  <c r="X232" i="2"/>
  <c r="X238" i="2"/>
  <c r="X243" i="2"/>
  <c r="AT209" i="2"/>
  <c r="AY210" i="2"/>
  <c r="AR232" i="2"/>
  <c r="AH356" i="2"/>
  <c r="AH361" i="2"/>
  <c r="AH377" i="2"/>
  <c r="AH358" i="2" a="1"/>
  <c r="AH358" i="2"/>
  <c r="AC238" i="2"/>
  <c r="AC243" i="2"/>
  <c r="AZ215" i="2"/>
  <c r="AD238" i="2"/>
  <c r="AV183" i="2"/>
  <c r="AI226" i="2"/>
  <c r="AI232" i="2"/>
  <c r="BA215" i="2"/>
  <c r="BA245" i="2"/>
  <c r="AX228" i="2"/>
  <c r="T361" i="2"/>
  <c r="T377" i="2"/>
  <c r="T356" i="2"/>
  <c r="BE358" i="2" a="1"/>
  <c r="BE358" i="2"/>
  <c r="BE356" i="2"/>
  <c r="AD356" i="2"/>
  <c r="AD361" i="2"/>
  <c r="AD377" i="2"/>
  <c r="AD358" i="2" a="1"/>
  <c r="AD358" i="2"/>
  <c r="AL401" i="2"/>
  <c r="AL389" i="2"/>
  <c r="AL326" i="2"/>
  <c r="AL394" i="2"/>
  <c r="BF401" i="2"/>
  <c r="BF405" i="2"/>
  <c r="BF797" i="2" a="1"/>
  <c r="BF797" i="2"/>
  <c r="BF394" i="2"/>
  <c r="AU394" i="2"/>
  <c r="AU389" i="2"/>
  <c r="AU326" i="2"/>
  <c r="AU325" i="2"/>
  <c r="AU401" i="2"/>
  <c r="AU417" i="2"/>
  <c r="AY401" i="2"/>
  <c r="AY389" i="2"/>
  <c r="AY326" i="2"/>
  <c r="AY325" i="2"/>
  <c r="AY394" i="2"/>
  <c r="AI228" i="2"/>
  <c r="U358" i="2" a="1"/>
  <c r="U358" i="2"/>
  <c r="U361" i="2"/>
  <c r="U377" i="2"/>
  <c r="U356" i="2"/>
  <c r="BI358" i="2" a="1"/>
  <c r="BI358" i="2"/>
  <c r="BI356" i="2"/>
  <c r="BI361" i="2"/>
  <c r="BI377" i="2"/>
  <c r="Q532" i="2"/>
  <c r="AG532" i="2"/>
  <c r="AX245" i="2"/>
  <c r="S358" i="2" a="1"/>
  <c r="S358" i="2"/>
  <c r="AI361" i="2"/>
  <c r="AI377" i="2"/>
  <c r="BB356" i="2"/>
  <c r="BB361" i="2"/>
  <c r="BB377" i="2"/>
  <c r="BB358" i="2" a="1"/>
  <c r="BB358" i="2"/>
  <c r="X358" i="2" a="1"/>
  <c r="X358" i="2"/>
  <c r="X356" i="2"/>
  <c r="X361" i="2"/>
  <c r="X377" i="2"/>
  <c r="X325" i="2"/>
  <c r="BI394" i="2"/>
  <c r="BI401" i="2"/>
  <c r="BI405" i="2"/>
  <c r="BI796" i="2" a="1"/>
  <c r="BI796" i="2"/>
  <c r="BI389" i="2"/>
  <c r="BI326" i="2"/>
  <c r="BI325" i="2"/>
  <c r="AS802" i="2" a="1"/>
  <c r="AS802" i="2"/>
  <c r="AS382" i="2"/>
  <c r="AS324" i="2"/>
  <c r="AS807" i="2" a="1"/>
  <c r="AS807" i="2"/>
  <c r="Y356" i="2"/>
  <c r="Y389" i="2"/>
  <c r="Y326" i="2"/>
  <c r="Y325" i="2"/>
  <c r="Y394" i="2"/>
  <c r="Y401" i="2"/>
  <c r="Y416" i="2"/>
  <c r="AP401" i="2"/>
  <c r="AP405" i="2"/>
  <c r="AP394" i="2"/>
  <c r="AG330" i="2"/>
  <c r="AX710" i="2"/>
  <c r="AX709" i="2"/>
  <c r="AX708" i="2"/>
  <c r="AX707" i="2"/>
  <c r="AX711" i="2"/>
  <c r="AC358" i="2" a="1"/>
  <c r="AC358" i="2"/>
  <c r="AC356" i="2"/>
  <c r="AC361" i="2"/>
  <c r="AC377" i="2"/>
  <c r="AX400" i="2"/>
  <c r="Z401" i="2"/>
  <c r="Z405" i="2"/>
  <c r="Z797" i="2" a="1"/>
  <c r="Z797" i="2"/>
  <c r="Z394" i="2"/>
  <c r="AP389" i="2"/>
  <c r="AP326" i="2"/>
  <c r="V356" i="2"/>
  <c r="V358" i="2" a="1"/>
  <c r="V358" i="2"/>
  <c r="AL356" i="2"/>
  <c r="AL361" i="2"/>
  <c r="AL377" i="2"/>
  <c r="AL358" i="2" a="1"/>
  <c r="AL358" i="2"/>
  <c r="AF356" i="2"/>
  <c r="AF361" i="2"/>
  <c r="AF377" i="2"/>
  <c r="AF358" i="2" a="1"/>
  <c r="AF358" i="2"/>
  <c r="AB401" i="2"/>
  <c r="AB417" i="2"/>
  <c r="AB394" i="2"/>
  <c r="AB389" i="2"/>
  <c r="AB326" i="2"/>
  <c r="AB325" i="2"/>
  <c r="AR401" i="2"/>
  <c r="AR417" i="2"/>
  <c r="AR394" i="2"/>
  <c r="AR389" i="2"/>
  <c r="AR326" i="2"/>
  <c r="AR325" i="2"/>
  <c r="BF389" i="2"/>
  <c r="BF326" i="2"/>
  <c r="W358" i="2" a="1"/>
  <c r="W358" i="2"/>
  <c r="AM358" i="2" a="1"/>
  <c r="AM358" i="2"/>
  <c r="AM361" i="2"/>
  <c r="AM377" i="2"/>
  <c r="BG358" i="2" a="1"/>
  <c r="BG358" i="2"/>
  <c r="BG356" i="2"/>
  <c r="BG361" i="2"/>
  <c r="BG377" i="2"/>
  <c r="AG356" i="2"/>
  <c r="AG358" i="2" a="1"/>
  <c r="AG358" i="2"/>
  <c r="AT394" i="2"/>
  <c r="AT389" i="2"/>
  <c r="AT326" i="2"/>
  <c r="AT401" i="2"/>
  <c r="AT417" i="2"/>
  <c r="AN385" i="2"/>
  <c r="BH346" i="2"/>
  <c r="BH347" i="2"/>
  <c r="BH350" i="2"/>
  <c r="BH352" i="2"/>
  <c r="AJ361" i="2"/>
  <c r="AJ377" i="2"/>
  <c r="AJ358" i="2" a="1"/>
  <c r="AJ358" i="2"/>
  <c r="AJ356" i="2"/>
  <c r="AC394" i="2"/>
  <c r="AC401" i="2"/>
  <c r="AC389" i="2"/>
  <c r="AC326" i="2"/>
  <c r="AC325" i="2"/>
  <c r="Z806" i="2" a="1"/>
  <c r="Z806" i="2"/>
  <c r="Z738" i="2"/>
  <c r="Z722" i="2"/>
  <c r="P322" i="2"/>
  <c r="AS346" i="2"/>
  <c r="AS347" i="2"/>
  <c r="AS350" i="2"/>
  <c r="AS352" i="2"/>
  <c r="AK358" i="2" a="1"/>
  <c r="AK358" i="2"/>
  <c r="AK356" i="2"/>
  <c r="AN532" i="2"/>
  <c r="AD394" i="2"/>
  <c r="AD401" i="2"/>
  <c r="AD389" i="2"/>
  <c r="AD326" i="2"/>
  <c r="AV401" i="2"/>
  <c r="AV417" i="2"/>
  <c r="AV389" i="2"/>
  <c r="AV326" i="2"/>
  <c r="AV325" i="2"/>
  <c r="AC442" i="2"/>
  <c r="AC441" i="2"/>
  <c r="AP325" i="2"/>
  <c r="AX385" i="2"/>
  <c r="AQ358" i="2" a="1"/>
  <c r="AQ358" i="2"/>
  <c r="AQ356" i="2"/>
  <c r="AQ361" i="2"/>
  <c r="AQ377" i="2"/>
  <c r="S356" i="2"/>
  <c r="AW800" i="2"/>
  <c r="AW388" i="2"/>
  <c r="P401" i="2"/>
  <c r="P405" i="2"/>
  <c r="P389" i="2"/>
  <c r="P326" i="2"/>
  <c r="P325" i="2"/>
  <c r="AF401" i="2"/>
  <c r="AF405" i="2"/>
  <c r="AF796" i="2" a="1"/>
  <c r="AF796" i="2"/>
  <c r="AF389" i="2"/>
  <c r="AF326" i="2"/>
  <c r="AF325" i="2"/>
  <c r="AN737" i="2"/>
  <c r="AA358" i="2" a="1"/>
  <c r="AA358" i="2"/>
  <c r="AA356" i="2"/>
  <c r="AA361" i="2"/>
  <c r="AA377" i="2"/>
  <c r="AR358" i="2" a="1"/>
  <c r="AR358" i="2"/>
  <c r="AR356" i="2"/>
  <c r="AR361" i="2"/>
  <c r="AR377" i="2"/>
  <c r="AO358" i="2" a="1"/>
  <c r="AO358" i="2"/>
  <c r="AO356" i="2"/>
  <c r="AX532" i="2"/>
  <c r="W356" i="2"/>
  <c r="W389" i="2"/>
  <c r="W326" i="2"/>
  <c r="W394" i="2"/>
  <c r="W401" i="2"/>
  <c r="W405" i="2"/>
  <c r="W797" i="2" a="1"/>
  <c r="W797" i="2"/>
  <c r="AM401" i="2"/>
  <c r="AM389" i="2"/>
  <c r="AM326" i="2"/>
  <c r="AM394" i="2"/>
  <c r="BG388" i="2"/>
  <c r="P394" i="2"/>
  <c r="U442" i="2"/>
  <c r="AS392" i="2"/>
  <c r="AS387" i="2"/>
  <c r="AB358" i="2" a="1"/>
  <c r="AB358" i="2"/>
  <c r="AB356" i="2"/>
  <c r="AB361" i="2"/>
  <c r="AB377" i="2"/>
  <c r="AV356" i="2"/>
  <c r="AV361" i="2"/>
  <c r="AV377" i="2"/>
  <c r="AV358" i="2" a="1"/>
  <c r="AV358" i="2"/>
  <c r="BC532" i="2"/>
  <c r="Q800" i="2"/>
  <c r="Q711" i="2"/>
  <c r="Q709" i="2"/>
  <c r="Q708" i="2"/>
  <c r="Q707" i="2"/>
  <c r="Q388" i="2"/>
  <c r="AG800" i="2"/>
  <c r="AG711" i="2"/>
  <c r="AG709" i="2"/>
  <c r="AG708" i="2"/>
  <c r="AG707" i="2"/>
  <c r="AG710" i="2"/>
  <c r="AG388" i="2"/>
  <c r="AF395" i="2"/>
  <c r="AF331" i="2"/>
  <c r="AX392" i="2"/>
  <c r="AX387" i="2"/>
  <c r="AU361" i="2"/>
  <c r="AU377" i="2"/>
  <c r="AU358" i="2" a="1"/>
  <c r="AU358" i="2"/>
  <c r="AW356" i="2"/>
  <c r="AW358" i="2" a="1"/>
  <c r="AW358" i="2"/>
  <c r="BH532" i="2"/>
  <c r="BA394" i="2"/>
  <c r="BA401" i="2"/>
  <c r="BA405" i="2"/>
  <c r="BA797" i="2" a="1"/>
  <c r="BA797" i="2"/>
  <c r="AV395" i="2"/>
  <c r="AV331" i="2"/>
  <c r="BD210" i="2"/>
  <c r="BC737" i="2"/>
  <c r="AZ361" i="2"/>
  <c r="AZ377" i="2"/>
  <c r="AZ358" i="2" a="1"/>
  <c r="AZ358" i="2"/>
  <c r="AZ356" i="2"/>
  <c r="AM356" i="2"/>
  <c r="Y361" i="2"/>
  <c r="Y377" i="2"/>
  <c r="BB401" i="2"/>
  <c r="BB416" i="2"/>
  <c r="BB389" i="2"/>
  <c r="BB326" i="2"/>
  <c r="BB394" i="2"/>
  <c r="AQ389" i="2"/>
  <c r="AQ326" i="2"/>
  <c r="AQ325" i="2"/>
  <c r="AX346" i="2"/>
  <c r="AX347" i="2"/>
  <c r="AX350" i="2"/>
  <c r="AX352" i="2"/>
  <c r="BH737" i="2"/>
  <c r="AE361" i="2"/>
  <c r="AE377" i="2"/>
  <c r="AE358" i="2" a="1"/>
  <c r="AE358" i="2"/>
  <c r="P356" i="2"/>
  <c r="P358" i="2" a="1"/>
  <c r="P358" i="2"/>
  <c r="BA358" i="2" a="1"/>
  <c r="BA358" i="2"/>
  <c r="BA356" i="2"/>
  <c r="AU356" i="2"/>
  <c r="AG361" i="2"/>
  <c r="AG377" i="2"/>
  <c r="T401" i="2"/>
  <c r="T417" i="2"/>
  <c r="T389" i="2"/>
  <c r="T326" i="2"/>
  <c r="T325" i="2"/>
  <c r="T394" i="2"/>
  <c r="BD394" i="2"/>
  <c r="AA401" i="2"/>
  <c r="AA405" i="2"/>
  <c r="AA796" i="2" a="1"/>
  <c r="AA796" i="2"/>
  <c r="Z442" i="2"/>
  <c r="AD329" i="2"/>
  <c r="AT329" i="2"/>
  <c r="R800" i="2"/>
  <c r="R709" i="2"/>
  <c r="R715" i="2"/>
  <c r="R708" i="2"/>
  <c r="R714" i="2"/>
  <c r="R707" i="2"/>
  <c r="R711" i="2"/>
  <c r="AH800" i="2"/>
  <c r="AH710" i="2"/>
  <c r="AH709" i="2"/>
  <c r="AH708" i="2"/>
  <c r="AH707" i="2"/>
  <c r="AH711" i="2"/>
  <c r="BH387" i="2"/>
  <c r="AJ388" i="2"/>
  <c r="R532" i="2"/>
  <c r="AH532" i="2"/>
  <c r="AA441" i="2"/>
  <c r="Q442" i="2"/>
  <c r="S800" i="2"/>
  <c r="S708" i="2"/>
  <c r="S709" i="2"/>
  <c r="S707" i="2"/>
  <c r="S711" i="2"/>
  <c r="AI800" i="2"/>
  <c r="AI708" i="2"/>
  <c r="AI709" i="2"/>
  <c r="AI707" i="2"/>
  <c r="AI711" i="2"/>
  <c r="AI710" i="2"/>
  <c r="AY800" i="2"/>
  <c r="AY708" i="2"/>
  <c r="AY710" i="2"/>
  <c r="AY709" i="2"/>
  <c r="AY707" i="2"/>
  <c r="AY711" i="2"/>
  <c r="AS385" i="2"/>
  <c r="S532" i="2"/>
  <c r="AI532" i="2"/>
  <c r="AN802" i="2" a="1"/>
  <c r="AN802" i="2"/>
  <c r="T800" i="2"/>
  <c r="T709" i="2"/>
  <c r="T707" i="2"/>
  <c r="T711" i="2"/>
  <c r="T708" i="2"/>
  <c r="AZ800" i="2"/>
  <c r="AZ710" i="2"/>
  <c r="AZ709" i="2"/>
  <c r="AZ707" i="2"/>
  <c r="AZ711" i="2"/>
  <c r="AZ708" i="2"/>
  <c r="AZ532" i="2"/>
  <c r="AD403" i="2"/>
  <c r="AT403" i="2"/>
  <c r="AJ485" i="2"/>
  <c r="AJ442" i="2"/>
  <c r="AZ441" i="2"/>
  <c r="AZ485" i="2"/>
  <c r="AZ442" i="2"/>
  <c r="U800" i="2"/>
  <c r="U708" i="2"/>
  <c r="U707" i="2"/>
  <c r="U709" i="2"/>
  <c r="U711" i="2"/>
  <c r="AK800" i="2"/>
  <c r="AK710" i="2"/>
  <c r="AK708" i="2"/>
  <c r="AK707" i="2"/>
  <c r="AK711" i="2"/>
  <c r="AK709" i="2"/>
  <c r="BA800" i="2"/>
  <c r="BA710" i="2"/>
  <c r="BA708" i="2"/>
  <c r="BA707" i="2"/>
  <c r="BA709" i="2"/>
  <c r="BA711" i="2"/>
  <c r="BA532" i="2"/>
  <c r="AY404" i="2"/>
  <c r="AD441" i="2"/>
  <c r="AD442" i="2"/>
  <c r="AV441" i="2"/>
  <c r="AV442" i="2"/>
  <c r="AW441" i="2"/>
  <c r="AX807" i="2" a="1"/>
  <c r="AX807" i="2"/>
  <c r="AX802" i="2" a="1"/>
  <c r="AX802" i="2"/>
  <c r="V800" i="2"/>
  <c r="V709" i="2"/>
  <c r="V715" i="2"/>
  <c r="V708" i="2"/>
  <c r="V707" i="2"/>
  <c r="V713" i="2"/>
  <c r="V711" i="2"/>
  <c r="AL800" i="2"/>
  <c r="AL709" i="2"/>
  <c r="AL708" i="2"/>
  <c r="AL707" i="2"/>
  <c r="AL711" i="2"/>
  <c r="AL710" i="2"/>
  <c r="BB800" i="2"/>
  <c r="BB709" i="2"/>
  <c r="BB708" i="2"/>
  <c r="BB707" i="2"/>
  <c r="BB711" i="2"/>
  <c r="BB710" i="2"/>
  <c r="AL532" i="2"/>
  <c r="BB532" i="2"/>
  <c r="AU403" i="2"/>
  <c r="P417" i="2"/>
  <c r="BC802" i="2" a="1"/>
  <c r="BC802" i="2"/>
  <c r="W800" i="2"/>
  <c r="W709" i="2"/>
  <c r="W707" i="2"/>
  <c r="W713" i="2"/>
  <c r="W711" i="2"/>
  <c r="W708" i="2"/>
  <c r="AM800" i="2"/>
  <c r="AM709" i="2"/>
  <c r="AM707" i="2"/>
  <c r="AM711" i="2"/>
  <c r="AM708" i="2"/>
  <c r="AM710" i="2"/>
  <c r="BC382" i="2"/>
  <c r="BF708" i="2"/>
  <c r="AK441" i="2"/>
  <c r="AK442" i="2"/>
  <c r="BH802" i="2" a="1"/>
  <c r="BH802" i="2"/>
  <c r="X800" i="2"/>
  <c r="X708" i="2"/>
  <c r="X711" i="2"/>
  <c r="X709" i="2"/>
  <c r="X707" i="2"/>
  <c r="AN382" i="2"/>
  <c r="AP710" i="2"/>
  <c r="BD800" i="2"/>
  <c r="BD708" i="2"/>
  <c r="BD711" i="2"/>
  <c r="BD710" i="2"/>
  <c r="BD709" i="2"/>
  <c r="BD707" i="2"/>
  <c r="Y800" i="2"/>
  <c r="Y707" i="2"/>
  <c r="Y711" i="2"/>
  <c r="Y710" i="2"/>
  <c r="Y709" i="2"/>
  <c r="Y708" i="2"/>
  <c r="AO800" i="2"/>
  <c r="AO707" i="2"/>
  <c r="AO711" i="2"/>
  <c r="AO708" i="2"/>
  <c r="AO710" i="2"/>
  <c r="AO709" i="2"/>
  <c r="BE800" i="2"/>
  <c r="AE403" i="2"/>
  <c r="P442" i="2"/>
  <c r="AM442" i="2"/>
  <c r="AH442" i="2"/>
  <c r="AO485" i="2"/>
  <c r="AO442" i="2"/>
  <c r="AS436" i="2"/>
  <c r="AU441" i="2"/>
  <c r="AN346" i="2"/>
  <c r="AN347" i="2"/>
  <c r="AN350" i="2"/>
  <c r="AN352" i="2"/>
  <c r="Z800" i="2"/>
  <c r="Z708" i="2"/>
  <c r="Z707" i="2"/>
  <c r="Z710" i="2"/>
  <c r="Z709" i="2"/>
  <c r="Z711" i="2"/>
  <c r="AP800" i="2"/>
  <c r="BF800" i="2"/>
  <c r="AP532" i="2"/>
  <c r="BF532" i="2"/>
  <c r="AT442" i="2"/>
  <c r="AA800" i="2"/>
  <c r="AA708" i="2"/>
  <c r="AA711" i="2"/>
  <c r="AA710" i="2"/>
  <c r="AA709" i="2"/>
  <c r="AA707" i="2"/>
  <c r="AQ800" i="2"/>
  <c r="BG800" i="2"/>
  <c r="AQ532" i="2"/>
  <c r="BG532" i="2"/>
  <c r="AI472" i="2"/>
  <c r="AI483" i="2"/>
  <c r="Y441" i="2"/>
  <c r="AS400" i="2"/>
  <c r="AB800" i="2"/>
  <c r="AB707" i="2"/>
  <c r="AB711" i="2"/>
  <c r="AB710" i="2"/>
  <c r="AB709" i="2"/>
  <c r="AB708" i="2"/>
  <c r="AR800" i="2"/>
  <c r="BH382" i="2"/>
  <c r="BH800" i="2"/>
  <c r="AR532" i="2"/>
  <c r="P416" i="2"/>
  <c r="AL417" i="2"/>
  <c r="AB442" i="2"/>
  <c r="AB441" i="2"/>
  <c r="BO435" i="2"/>
  <c r="BP435" i="2"/>
  <c r="BQ435" i="2"/>
  <c r="BR435" i="2"/>
  <c r="BS435" i="2"/>
  <c r="BT435" i="2"/>
  <c r="BU435" i="2"/>
  <c r="BV435" i="2"/>
  <c r="BN435" i="2"/>
  <c r="BA485" i="2"/>
  <c r="BA442" i="2"/>
  <c r="BA441" i="2"/>
  <c r="AC800" i="2"/>
  <c r="AC710" i="2"/>
  <c r="AC709" i="2"/>
  <c r="AC707" i="2"/>
  <c r="AC711" i="2"/>
  <c r="AC708" i="2"/>
  <c r="BI800" i="2"/>
  <c r="BI710" i="2"/>
  <c r="BI709" i="2"/>
  <c r="BI707" i="2"/>
  <c r="BI711" i="2"/>
  <c r="BI708" i="2"/>
  <c r="AC532" i="2"/>
  <c r="AS532" i="2"/>
  <c r="BE485" i="2"/>
  <c r="BE441" i="2"/>
  <c r="BE442" i="2"/>
  <c r="V806" i="2" a="1"/>
  <c r="V806" i="2"/>
  <c r="V738" i="2"/>
  <c r="V722" i="2"/>
  <c r="V723" i="2"/>
  <c r="BC400" i="2"/>
  <c r="AD800" i="2"/>
  <c r="AD711" i="2"/>
  <c r="AD709" i="2"/>
  <c r="AD708" i="2"/>
  <c r="AD710" i="2"/>
  <c r="AT800" i="2"/>
  <c r="AT707" i="2"/>
  <c r="AT711" i="2"/>
  <c r="AT709" i="2"/>
  <c r="AT708" i="2"/>
  <c r="AT710" i="2"/>
  <c r="AD532" i="2"/>
  <c r="BE416" i="2"/>
  <c r="BE417" i="2"/>
  <c r="AE800" i="2"/>
  <c r="AE707" i="2"/>
  <c r="AE710" i="2"/>
  <c r="AE709" i="2"/>
  <c r="AE711" i="2"/>
  <c r="AE708" i="2"/>
  <c r="AU800" i="2"/>
  <c r="AU707" i="2"/>
  <c r="AU532" i="2"/>
  <c r="BI436" i="2"/>
  <c r="P800" i="2"/>
  <c r="P711" i="2"/>
  <c r="P717" i="2"/>
  <c r="P708" i="2"/>
  <c r="P714" i="2"/>
  <c r="P709" i="2"/>
  <c r="P715" i="2"/>
  <c r="P707" i="2"/>
  <c r="AF800" i="2"/>
  <c r="AF711" i="2"/>
  <c r="AF710" i="2"/>
  <c r="AF708" i="2"/>
  <c r="AF709" i="2"/>
  <c r="AF707" i="2"/>
  <c r="AV800" i="2"/>
  <c r="AV711" i="2"/>
  <c r="R388" i="2"/>
  <c r="AH388" i="2"/>
  <c r="AF532" i="2"/>
  <c r="AV532" i="2"/>
  <c r="AM403" i="2"/>
  <c r="AX441" i="2"/>
  <c r="AD461" i="2"/>
  <c r="AE467" i="2"/>
  <c r="AE442" i="2"/>
  <c r="AJ490" i="2"/>
  <c r="AZ490" i="2"/>
  <c r="AN442" i="2"/>
  <c r="AN441" i="2"/>
  <c r="AF441" i="2"/>
  <c r="AF442" i="2"/>
  <c r="AS457" i="2"/>
  <c r="AS469" i="2"/>
  <c r="BF806" i="2" a="1"/>
  <c r="BF806" i="2"/>
  <c r="BF738" i="2"/>
  <c r="BF722" i="2"/>
  <c r="T434" i="2"/>
  <c r="T436" i="2"/>
  <c r="AY485" i="2"/>
  <c r="AY442" i="2"/>
  <c r="AN469" i="2"/>
  <c r="AP806" i="2" a="1"/>
  <c r="AP806" i="2"/>
  <c r="AP738" i="2"/>
  <c r="AP722" i="2"/>
  <c r="AN430" i="2"/>
  <c r="AN472" i="2"/>
  <c r="AN483" i="2"/>
  <c r="AN490" i="2"/>
  <c r="AI442" i="2"/>
  <c r="R436" i="2"/>
  <c r="S441" i="2"/>
  <c r="AT806" i="2" a="1"/>
  <c r="AT806" i="2"/>
  <c r="AT738" i="2"/>
  <c r="AT722" i="2"/>
  <c r="AE809" i="2" a="1"/>
  <c r="AE809" i="2"/>
  <c r="AC799" i="2"/>
  <c r="AC525" i="2"/>
  <c r="AS799" i="2"/>
  <c r="AS525" i="2"/>
  <c r="BI799" i="2"/>
  <c r="BJ523" i="2"/>
  <c r="BI525" i="2"/>
  <c r="AS728" i="2"/>
  <c r="AS729" i="2"/>
  <c r="AS499" i="2"/>
  <c r="AT816" i="2" a="1"/>
  <c r="AT816" i="2"/>
  <c r="BE532" i="2"/>
  <c r="S442" i="2"/>
  <c r="AL436" i="2"/>
  <c r="BD485" i="2"/>
  <c r="BD442" i="2"/>
  <c r="BF485" i="2"/>
  <c r="BF441" i="2"/>
  <c r="AB430" i="2"/>
  <c r="AR490" i="2"/>
  <c r="BH472" i="2"/>
  <c r="BH483" i="2"/>
  <c r="BH490" i="2"/>
  <c r="BC442" i="2"/>
  <c r="AP441" i="2"/>
  <c r="Q441" i="2"/>
  <c r="BH456" i="2"/>
  <c r="BH468" i="2"/>
  <c r="AD458" i="2"/>
  <c r="AD470" i="2"/>
  <c r="S809" i="2" a="1"/>
  <c r="S809" i="2"/>
  <c r="AY809" i="2" a="1"/>
  <c r="AY809" i="2"/>
  <c r="BH434" i="2"/>
  <c r="BH436" i="2"/>
  <c r="X442" i="2"/>
  <c r="BB441" i="2"/>
  <c r="AI458" i="2"/>
  <c r="AI470" i="2"/>
  <c r="AS456" i="2"/>
  <c r="AS468" i="2"/>
  <c r="Y457" i="2"/>
  <c r="Y469" i="2"/>
  <c r="AX458" i="2"/>
  <c r="AX470" i="2"/>
  <c r="AD456" i="2"/>
  <c r="AD468" i="2"/>
  <c r="BC483" i="2"/>
  <c r="BC490" i="2"/>
  <c r="BB806" i="2" a="1"/>
  <c r="BB806" i="2"/>
  <c r="BB738" i="2"/>
  <c r="BB722" i="2"/>
  <c r="BB723" i="2"/>
  <c r="AW532" i="2"/>
  <c r="AU442" i="2"/>
  <c r="BC470" i="2"/>
  <c r="Y470" i="2"/>
  <c r="AQ485" i="2"/>
  <c r="AL806" i="2" a="1"/>
  <c r="AL806" i="2"/>
  <c r="AL738" i="2"/>
  <c r="AL722" i="2"/>
  <c r="AL723" i="2"/>
  <c r="X494" i="2"/>
  <c r="AQ806" i="2" a="1"/>
  <c r="AQ806" i="2"/>
  <c r="AQ738" i="2"/>
  <c r="AQ722" i="2"/>
  <c r="AQ723" i="2"/>
  <c r="BG806" i="2" a="1"/>
  <c r="BG806" i="2"/>
  <c r="BG738" i="2"/>
  <c r="BG722" i="2"/>
  <c r="BG723" i="2"/>
  <c r="P809" i="2" a="1"/>
  <c r="P809" i="2"/>
  <c r="AF809" i="2" a="1"/>
  <c r="AF809" i="2"/>
  <c r="AV809" i="2" a="1"/>
  <c r="AV809" i="2"/>
  <c r="BA510" i="2"/>
  <c r="BA511" i="2"/>
  <c r="BA512" i="2"/>
  <c r="BA513" i="2"/>
  <c r="BB525" i="2"/>
  <c r="X625" i="2"/>
  <c r="AB806" i="2" a="1"/>
  <c r="AB806" i="2"/>
  <c r="AB738" i="2"/>
  <c r="AB722" i="2"/>
  <c r="AR806" i="2" a="1"/>
  <c r="AR806" i="2"/>
  <c r="AR738" i="2"/>
  <c r="AR722" i="2"/>
  <c r="AR723" i="2"/>
  <c r="BH806" i="2" a="1"/>
  <c r="BH806" i="2"/>
  <c r="BH738" i="2"/>
  <c r="BH722" i="2"/>
  <c r="BH723" i="2"/>
  <c r="Q809" i="2" a="1"/>
  <c r="Q809" i="2"/>
  <c r="AG809" i="2" a="1"/>
  <c r="AG809" i="2"/>
  <c r="AW809" i="2" a="1"/>
  <c r="AW809" i="2"/>
  <c r="AS644" i="2"/>
  <c r="AC728" i="2"/>
  <c r="AC670" i="2"/>
  <c r="AC806" i="2" a="1"/>
  <c r="AC806" i="2"/>
  <c r="AC738" i="2"/>
  <c r="AC722" i="2"/>
  <c r="BI806" i="2" a="1"/>
  <c r="BI806" i="2"/>
  <c r="BI738" i="2"/>
  <c r="BI722" i="2"/>
  <c r="BI723" i="2"/>
  <c r="R809" i="2" a="1"/>
  <c r="R809" i="2"/>
  <c r="AH809" i="2" a="1"/>
  <c r="AH809" i="2"/>
  <c r="AX809" i="2" a="1"/>
  <c r="AX809" i="2"/>
  <c r="AX573" i="2"/>
  <c r="AX587" i="2"/>
  <c r="AX635" i="2"/>
  <c r="AX644" i="2"/>
  <c r="AU644" i="2"/>
  <c r="T468" i="2"/>
  <c r="AE806" i="2" a="1"/>
  <c r="AE806" i="2"/>
  <c r="AE738" i="2"/>
  <c r="AE722" i="2"/>
  <c r="T809" i="2" a="1"/>
  <c r="T809" i="2"/>
  <c r="AZ809" i="2" a="1"/>
  <c r="AZ809" i="2"/>
  <c r="R525" i="2"/>
  <c r="AC625" i="2"/>
  <c r="AV625" i="2"/>
  <c r="P806" i="2" a="1"/>
  <c r="P806" i="2"/>
  <c r="P738" i="2"/>
  <c r="P722" i="2"/>
  <c r="AF806" i="2" a="1"/>
  <c r="AF806" i="2"/>
  <c r="AF738" i="2"/>
  <c r="AF722" i="2"/>
  <c r="AV806" i="2" a="1"/>
  <c r="AV806" i="2"/>
  <c r="AV738" i="2"/>
  <c r="AV722" i="2"/>
  <c r="U809" i="2" a="1"/>
  <c r="U809" i="2"/>
  <c r="U816" i="2" a="1"/>
  <c r="U816" i="2"/>
  <c r="AK809" i="2" a="1"/>
  <c r="AK809" i="2"/>
  <c r="BA809" i="2" a="1"/>
  <c r="BA809" i="2"/>
  <c r="BJ776" i="2"/>
  <c r="BK522" i="2"/>
  <c r="U525" i="2"/>
  <c r="AE625" i="2"/>
  <c r="T693" i="2"/>
  <c r="AW625" i="2"/>
  <c r="AE644" i="2"/>
  <c r="Q806" i="2" a="1"/>
  <c r="Q806" i="2"/>
  <c r="Q738" i="2"/>
  <c r="Q722" i="2"/>
  <c r="Q723" i="2"/>
  <c r="AG806" i="2" a="1"/>
  <c r="AG806" i="2"/>
  <c r="AG738" i="2"/>
  <c r="AG722" i="2"/>
  <c r="AW806" i="2" a="1"/>
  <c r="AW806" i="2"/>
  <c r="AW738" i="2"/>
  <c r="AW722" i="2"/>
  <c r="V809" i="2" a="1"/>
  <c r="V809" i="2"/>
  <c r="AL809" i="2" a="1"/>
  <c r="AL809" i="2"/>
  <c r="BB809" i="2" a="1"/>
  <c r="BB809" i="2"/>
  <c r="V525" i="2"/>
  <c r="AN573" i="2"/>
  <c r="AN587" i="2"/>
  <c r="AF625" i="2"/>
  <c r="R806" i="2" a="1"/>
  <c r="R806" i="2"/>
  <c r="R738" i="2"/>
  <c r="R722" i="2"/>
  <c r="AH806" i="2" a="1"/>
  <c r="AH806" i="2"/>
  <c r="AH738" i="2"/>
  <c r="AH722" i="2"/>
  <c r="AX806" i="2" a="1"/>
  <c r="AX806" i="2"/>
  <c r="AX738" i="2"/>
  <c r="W809" i="2" a="1"/>
  <c r="W809" i="2"/>
  <c r="AM809" i="2" a="1"/>
  <c r="AM809" i="2"/>
  <c r="BA658" i="2"/>
  <c r="BA495" i="2"/>
  <c r="S806" i="2" a="1"/>
  <c r="S806" i="2"/>
  <c r="S738" i="2"/>
  <c r="S722" i="2"/>
  <c r="AY806" i="2" a="1"/>
  <c r="AY806" i="2"/>
  <c r="AY738" i="2"/>
  <c r="AY722" i="2"/>
  <c r="X809" i="2" a="1"/>
  <c r="X809" i="2"/>
  <c r="AN809" i="2" a="1"/>
  <c r="AN809" i="2"/>
  <c r="BD809" i="2" a="1"/>
  <c r="BD809" i="2"/>
  <c r="AQ539" i="2" a="1"/>
  <c r="AQ539" i="2"/>
  <c r="AI674" i="2"/>
  <c r="AI622" i="2"/>
  <c r="AI625" i="2"/>
  <c r="BA625" i="2"/>
  <c r="Y468" i="2"/>
  <c r="AD469" i="2"/>
  <c r="T806" i="2" a="1"/>
  <c r="T806" i="2"/>
  <c r="T738" i="2"/>
  <c r="T722" i="2"/>
  <c r="AJ806" i="2" a="1"/>
  <c r="AJ806" i="2"/>
  <c r="AJ738" i="2"/>
  <c r="AJ722" i="2"/>
  <c r="AZ806" i="2" a="1"/>
  <c r="AZ806" i="2"/>
  <c r="AZ738" i="2"/>
  <c r="AZ722" i="2"/>
  <c r="AZ723" i="2"/>
  <c r="Y809" i="2" a="1"/>
  <c r="Y809" i="2"/>
  <c r="AO816" i="2" a="1"/>
  <c r="AO816" i="2"/>
  <c r="AO809" i="2" a="1"/>
  <c r="AO809" i="2"/>
  <c r="BE809" i="2" a="1"/>
  <c r="BE809" i="2"/>
  <c r="AH525" i="2"/>
  <c r="AJ625" i="2"/>
  <c r="P625" i="2"/>
  <c r="BB625" i="2"/>
  <c r="U806" i="2" a="1"/>
  <c r="U806" i="2"/>
  <c r="U738" i="2"/>
  <c r="U722" i="2"/>
  <c r="U723" i="2"/>
  <c r="AK806" i="2" a="1"/>
  <c r="AK806" i="2"/>
  <c r="AK738" i="2"/>
  <c r="AK722" i="2"/>
  <c r="BA806" i="2" a="1"/>
  <c r="BA806" i="2"/>
  <c r="BA738" i="2"/>
  <c r="BA722" i="2"/>
  <c r="Z809" i="2" a="1"/>
  <c r="Z809" i="2"/>
  <c r="AP809" i="2" a="1"/>
  <c r="AP809" i="2"/>
  <c r="BF809" i="2" a="1"/>
  <c r="BF809" i="2"/>
  <c r="AK525" i="2"/>
  <c r="AQ809" i="2" a="1"/>
  <c r="AQ809" i="2"/>
  <c r="BG809" i="2" a="1"/>
  <c r="BG809" i="2"/>
  <c r="W806" i="2" a="1"/>
  <c r="W806" i="2"/>
  <c r="W738" i="2"/>
  <c r="W722" i="2"/>
  <c r="AM806" i="2" a="1"/>
  <c r="AM806" i="2"/>
  <c r="AM738" i="2"/>
  <c r="AM722" i="2"/>
  <c r="BC806" i="2" a="1"/>
  <c r="BC806" i="2"/>
  <c r="BC738" i="2"/>
  <c r="BC722" i="2"/>
  <c r="AB809" i="2" a="1"/>
  <c r="AB809" i="2"/>
  <c r="AR809" i="2" a="1"/>
  <c r="AR809" i="2"/>
  <c r="BH809" i="2" a="1"/>
  <c r="BH809" i="2"/>
  <c r="T573" i="2"/>
  <c r="T587" i="2"/>
  <c r="X806" i="2" a="1"/>
  <c r="X806" i="2"/>
  <c r="X738" i="2"/>
  <c r="X722" i="2"/>
  <c r="X723" i="2"/>
  <c r="AN806" i="2" a="1"/>
  <c r="AN806" i="2"/>
  <c r="AN738" i="2"/>
  <c r="AN722" i="2"/>
  <c r="BD806" i="2" a="1"/>
  <c r="BD806" i="2"/>
  <c r="BD738" i="2"/>
  <c r="BD722" i="2"/>
  <c r="BD723" i="2"/>
  <c r="AC809" i="2" a="1"/>
  <c r="AC809" i="2"/>
  <c r="AS809" i="2" a="1"/>
  <c r="AS809" i="2"/>
  <c r="BI816" i="2" a="1"/>
  <c r="BI816" i="2"/>
  <c r="BI809" i="2" a="1"/>
  <c r="BI809" i="2"/>
  <c r="AT525" i="2"/>
  <c r="W539" i="2" a="1"/>
  <c r="W539" i="2"/>
  <c r="Y587" i="2"/>
  <c r="U625" i="2"/>
  <c r="AO625" i="2"/>
  <c r="Y806" i="2" a="1"/>
  <c r="Y806" i="2"/>
  <c r="Y738" i="2"/>
  <c r="Y722" i="2"/>
  <c r="AO806" i="2" a="1"/>
  <c r="AO806" i="2"/>
  <c r="AO738" i="2"/>
  <c r="AO722" i="2"/>
  <c r="AO723" i="2"/>
  <c r="BE738" i="2"/>
  <c r="BE722" i="2"/>
  <c r="BE723" i="2"/>
  <c r="BE806" i="2" a="1"/>
  <c r="BE806" i="2"/>
  <c r="AT809" i="2" a="1"/>
  <c r="AT809" i="2"/>
  <c r="AX525" i="2"/>
  <c r="AD644" i="2"/>
  <c r="BC587" i="2"/>
  <c r="BC625" i="2"/>
  <c r="V625" i="2"/>
  <c r="BI625" i="2"/>
  <c r="S525" i="2"/>
  <c r="AI525" i="2"/>
  <c r="AY525" i="2"/>
  <c r="AD573" i="2"/>
  <c r="AD587" i="2"/>
  <c r="T670" i="2"/>
  <c r="AN599" i="2"/>
  <c r="AD622" i="2"/>
  <c r="P796" i="2" a="1"/>
  <c r="P796" i="2"/>
  <c r="BO806" i="2" a="1"/>
  <c r="BO806" i="2"/>
  <c r="BS661" i="2"/>
  <c r="BO670" i="2"/>
  <c r="BH729" i="2"/>
  <c r="T525" i="2"/>
  <c r="AJ525" i="2"/>
  <c r="AZ525" i="2"/>
  <c r="Y670" i="2"/>
  <c r="Y599" i="2"/>
  <c r="AD661" i="2"/>
  <c r="S735" i="2"/>
  <c r="R644" i="2"/>
  <c r="AH644" i="2"/>
  <c r="S796" i="2" a="1"/>
  <c r="S796" i="2"/>
  <c r="S644" i="2"/>
  <c r="AI635" i="2"/>
  <c r="AY644" i="2"/>
  <c r="BR806" i="2" a="1"/>
  <c r="BR806" i="2"/>
  <c r="BR670" i="2"/>
  <c r="Y693" i="2"/>
  <c r="AV735" i="2"/>
  <c r="W525" i="2"/>
  <c r="AM525" i="2"/>
  <c r="BC525" i="2"/>
  <c r="AN670" i="2"/>
  <c r="BH599" i="2"/>
  <c r="AX622" i="2"/>
  <c r="T635" i="2"/>
  <c r="AJ644" i="2"/>
  <c r="AZ644" i="2"/>
  <c r="AN637" i="2"/>
  <c r="AN644" i="2"/>
  <c r="P644" i="2"/>
  <c r="X525" i="2"/>
  <c r="AN525" i="2"/>
  <c r="BD525" i="2"/>
  <c r="AS670" i="2"/>
  <c r="AS599" i="2"/>
  <c r="Q644" i="2"/>
  <c r="AH670" i="2"/>
  <c r="BA670" i="2"/>
  <c r="Y525" i="2"/>
  <c r="AO525" i="2"/>
  <c r="BE525" i="2"/>
  <c r="AX670" i="2"/>
  <c r="AS693" i="2"/>
  <c r="T622" i="2"/>
  <c r="V644" i="2"/>
  <c r="AL644" i="2"/>
  <c r="BB644" i="2"/>
  <c r="BM785" i="2"/>
  <c r="BN785" i="2"/>
  <c r="BO785" i="2"/>
  <c r="BP785" i="2"/>
  <c r="BQ785" i="2"/>
  <c r="BR785" i="2"/>
  <c r="BS785" i="2"/>
  <c r="BT785" i="2"/>
  <c r="BU785" i="2"/>
  <c r="BV785" i="2"/>
  <c r="U644" i="2"/>
  <c r="AI661" i="2"/>
  <c r="AL739" i="2"/>
  <c r="AR693" i="2"/>
  <c r="Z525" i="2"/>
  <c r="AP525" i="2"/>
  <c r="BF525" i="2"/>
  <c r="AX693" i="2"/>
  <c r="W644" i="2"/>
  <c r="AM644" i="2"/>
  <c r="S739" i="2"/>
  <c r="AA525" i="2"/>
  <c r="AQ525" i="2"/>
  <c r="BG525" i="2"/>
  <c r="BH670" i="2"/>
  <c r="BC636" i="2"/>
  <c r="BC644" i="2"/>
  <c r="BD670" i="2"/>
  <c r="BF739" i="2"/>
  <c r="AB525" i="2"/>
  <c r="AR525" i="2"/>
  <c r="BH525" i="2"/>
  <c r="BH693" i="2"/>
  <c r="Y635" i="2"/>
  <c r="AO644" i="2"/>
  <c r="BE796" i="2" a="1"/>
  <c r="BE796" i="2"/>
  <c r="BE644" i="2"/>
  <c r="AF644" i="2"/>
  <c r="AX599" i="2"/>
  <c r="AN622" i="2"/>
  <c r="Z644" i="2"/>
  <c r="AP796" i="2" a="1"/>
  <c r="AP796" i="2"/>
  <c r="AP644" i="2"/>
  <c r="BF644" i="2"/>
  <c r="BI739" i="2"/>
  <c r="Y622" i="2"/>
  <c r="AA644" i="2"/>
  <c r="AQ644" i="2"/>
  <c r="BG644" i="2"/>
  <c r="X726" i="2"/>
  <c r="X735" i="2"/>
  <c r="W729" i="2"/>
  <c r="AM729" i="2"/>
  <c r="AN726" i="2"/>
  <c r="AN735" i="2"/>
  <c r="BC729" i="2"/>
  <c r="AE525" i="2"/>
  <c r="AU525" i="2"/>
  <c r="Y729" i="2"/>
  <c r="T599" i="2"/>
  <c r="AB644" i="2"/>
  <c r="AR644" i="2"/>
  <c r="BH635" i="2"/>
  <c r="BK728" i="2"/>
  <c r="BK662" i="2"/>
  <c r="BN662" i="2"/>
  <c r="BK722" i="2"/>
  <c r="BK661" i="2"/>
  <c r="BN661" i="2"/>
  <c r="P525" i="2"/>
  <c r="AF525" i="2"/>
  <c r="AV525" i="2"/>
  <c r="AD729" i="2"/>
  <c r="Z670" i="2"/>
  <c r="AQ670" i="2"/>
  <c r="BJ806" i="2" a="1"/>
  <c r="BJ806" i="2"/>
  <c r="BJ670" i="2"/>
  <c r="AT739" i="2"/>
  <c r="AT729" i="2"/>
  <c r="Q525" i="2"/>
  <c r="AG525" i="2"/>
  <c r="AW525" i="2"/>
  <c r="BH622" i="2"/>
  <c r="AT644" i="2"/>
  <c r="AV644" i="2"/>
  <c r="AJ693" i="2"/>
  <c r="AB693" i="2"/>
  <c r="X693" i="2"/>
  <c r="X696" i="2"/>
  <c r="AN693" i="2"/>
  <c r="BD693" i="2"/>
  <c r="AV733" i="2"/>
  <c r="AY804" i="2"/>
  <c r="BC781" i="2"/>
  <c r="P720" i="2"/>
  <c r="AB720" i="2"/>
  <c r="Z693" i="2"/>
  <c r="AP693" i="2"/>
  <c r="BF693" i="2"/>
  <c r="AU735" i="2"/>
  <c r="BL784" i="2"/>
  <c r="AA693" i="2"/>
  <c r="AQ693" i="2"/>
  <c r="BG693" i="2"/>
  <c r="AR734" i="2"/>
  <c r="AU734" i="2"/>
  <c r="Y735" i="2"/>
  <c r="BC791" i="2"/>
  <c r="BN676" i="2"/>
  <c r="BN506" i="2"/>
  <c r="V734" i="2"/>
  <c r="AV720" i="2"/>
  <c r="AX735" i="2"/>
  <c r="AC726" i="2"/>
  <c r="AB729" i="2"/>
  <c r="AS735" i="2"/>
  <c r="BB793" i="2"/>
  <c r="X734" i="2"/>
  <c r="AW734" i="2"/>
  <c r="AS751" i="2"/>
  <c r="V793" i="2"/>
  <c r="AO739" i="2"/>
  <c r="BT670" i="2"/>
  <c r="AD693" i="2"/>
  <c r="AT693" i="2"/>
  <c r="BN691" i="2"/>
  <c r="BN507" i="2"/>
  <c r="AB735" i="2"/>
  <c r="AZ733" i="2"/>
  <c r="R804" i="2"/>
  <c r="R793" i="2"/>
  <c r="Z734" i="2"/>
  <c r="BC735" i="2"/>
  <c r="AU729" i="2"/>
  <c r="AF726" i="2"/>
  <c r="AE729" i="2"/>
  <c r="AV729" i="2"/>
  <c r="BE793" i="2"/>
  <c r="P693" i="2"/>
  <c r="AF693" i="2"/>
  <c r="AV693" i="2"/>
  <c r="AE735" i="2"/>
  <c r="AE733" i="2"/>
  <c r="BE729" i="2"/>
  <c r="BH769" i="2"/>
  <c r="BH781" i="2"/>
  <c r="BH709" i="2"/>
  <c r="BQ806" i="2" a="1"/>
  <c r="BQ806" i="2"/>
  <c r="AR739" i="2"/>
  <c r="Q693" i="2"/>
  <c r="AG693" i="2"/>
  <c r="AW693" i="2"/>
  <c r="BS676" i="2"/>
  <c r="BS506" i="2"/>
  <c r="Z793" i="2"/>
  <c r="BD734" i="2"/>
  <c r="AI735" i="2"/>
  <c r="BF735" i="2"/>
  <c r="AG804" i="2"/>
  <c r="BI670" i="2"/>
  <c r="S693" i="2"/>
  <c r="AI693" i="2"/>
  <c r="AY693" i="2"/>
  <c r="AM734" i="2"/>
  <c r="AJ726" i="2"/>
  <c r="P729" i="2"/>
  <c r="BG733" i="2"/>
  <c r="T729" i="2"/>
  <c r="AK726" i="2"/>
  <c r="AK735" i="2"/>
  <c r="AO726" i="2"/>
  <c r="BA726" i="2"/>
  <c r="BA735" i="2"/>
  <c r="AZ729" i="2"/>
  <c r="AP793" i="2"/>
  <c r="P739" i="2"/>
  <c r="U693" i="2"/>
  <c r="AK693" i="2"/>
  <c r="BA693" i="2"/>
  <c r="BH734" i="2"/>
  <c r="BV806" i="2" a="1"/>
  <c r="BV806" i="2"/>
  <c r="Q739" i="2"/>
  <c r="BL670" i="2"/>
  <c r="V693" i="2"/>
  <c r="AL693" i="2"/>
  <c r="BB693" i="2"/>
  <c r="AK723" i="2"/>
  <c r="AP720" i="2"/>
  <c r="AT720" i="2"/>
  <c r="BF734" i="2"/>
  <c r="BF723" i="2"/>
  <c r="AI760" i="2"/>
  <c r="AI724" i="2"/>
  <c r="R729" i="2"/>
  <c r="AM735" i="2"/>
  <c r="BH735" i="2"/>
  <c r="BI729" i="2"/>
  <c r="AO804" i="2"/>
  <c r="AH793" i="2"/>
  <c r="AA734" i="2"/>
  <c r="AY734" i="2"/>
  <c r="AE723" i="2"/>
  <c r="AJ720" i="2"/>
  <c r="AF720" i="2"/>
  <c r="AF723" i="2"/>
  <c r="T735" i="2"/>
  <c r="AP735" i="2"/>
  <c r="AQ761" i="2"/>
  <c r="AE804" i="2"/>
  <c r="BF793" i="2"/>
  <c r="AQ729" i="2"/>
  <c r="AG729" i="2"/>
  <c r="AW729" i="2"/>
  <c r="AN789" i="2"/>
  <c r="AF791" i="2"/>
  <c r="AF793" i="2"/>
  <c r="AC723" i="2"/>
  <c r="BA723" i="2"/>
  <c r="BS722" i="2"/>
  <c r="W735" i="2"/>
  <c r="AR735" i="2"/>
  <c r="BS728" i="2"/>
  <c r="AA761" i="2"/>
  <c r="Y780" i="2"/>
  <c r="BB734" i="2"/>
  <c r="BF733" i="2"/>
  <c r="Y751" i="2"/>
  <c r="Y761" i="2"/>
  <c r="X804" i="2"/>
  <c r="AB793" i="2"/>
  <c r="AB804" i="2"/>
  <c r="BI804" i="2"/>
  <c r="BI793" i="2"/>
  <c r="AG734" i="2"/>
  <c r="AW735" i="2"/>
  <c r="V726" i="2"/>
  <c r="V735" i="2"/>
  <c r="U729" i="2"/>
  <c r="AL726" i="2"/>
  <c r="AL735" i="2"/>
  <c r="BB726" i="2"/>
  <c r="BB735" i="2"/>
  <c r="AN780" i="2"/>
  <c r="AI734" i="2"/>
  <c r="BG734" i="2"/>
  <c r="AA729" i="2"/>
  <c r="AX729" i="2"/>
  <c r="Y769" i="2"/>
  <c r="Q734" i="2"/>
  <c r="AL734" i="2"/>
  <c r="AD735" i="2"/>
  <c r="AZ735" i="2"/>
  <c r="AU733" i="2"/>
  <c r="BD729" i="2"/>
  <c r="Q804" i="2"/>
  <c r="AY723" i="2"/>
  <c r="AG735" i="2"/>
  <c r="AW733" i="2"/>
  <c r="Z729" i="2"/>
  <c r="AP729" i="2"/>
  <c r="BF729" i="2"/>
  <c r="W791" i="2"/>
  <c r="W793" i="2"/>
  <c r="AQ734" i="2"/>
  <c r="AH726" i="2"/>
  <c r="BE735" i="2"/>
  <c r="S793" i="2"/>
  <c r="BC760" i="2"/>
  <c r="BC761" i="2"/>
  <c r="BE804" i="2"/>
  <c r="AX751" i="2"/>
  <c r="AX761" i="2"/>
  <c r="AL804" i="2"/>
  <c r="BG791" i="2"/>
  <c r="AL793" i="2"/>
  <c r="Z723" i="2"/>
  <c r="BG735" i="2"/>
  <c r="BH761" i="2"/>
  <c r="BG804" i="2"/>
  <c r="X791" i="2"/>
  <c r="X793" i="2"/>
  <c r="AS769" i="2"/>
  <c r="AS781" i="2"/>
  <c r="AA735" i="2"/>
  <c r="AQ735" i="2"/>
  <c r="AT804" i="2"/>
  <c r="AX781" i="2"/>
  <c r="AX791" i="2"/>
  <c r="S729" i="2"/>
  <c r="AI729" i="2"/>
  <c r="AY729" i="2"/>
  <c r="AJ793" i="2"/>
  <c r="AJ804" i="2"/>
  <c r="T789" i="2"/>
  <c r="AT791" i="2"/>
  <c r="AT793" i="2"/>
  <c r="AU791" i="2"/>
  <c r="AU793" i="2"/>
  <c r="U734" i="2"/>
  <c r="AK734" i="2"/>
  <c r="BA734" i="2"/>
  <c r="U761" i="2"/>
  <c r="AD789" i="2"/>
  <c r="AD791" i="2"/>
  <c r="AC791" i="2"/>
  <c r="AC793" i="2"/>
  <c r="AV791" i="2"/>
  <c r="AV793" i="2"/>
  <c r="P804" i="2"/>
  <c r="P793" i="2"/>
  <c r="BG793" i="2"/>
  <c r="AI789" i="2"/>
  <c r="AI791" i="2"/>
  <c r="AE791" i="2"/>
  <c r="AE793" i="2"/>
  <c r="AW791" i="2"/>
  <c r="T751" i="2"/>
  <c r="T761" i="2"/>
  <c r="S804" i="2"/>
  <c r="W804" i="2"/>
  <c r="BA761" i="2"/>
  <c r="AS789" i="2"/>
  <c r="AG791" i="2"/>
  <c r="AG793" i="2"/>
  <c r="AN760" i="2"/>
  <c r="AN761" i="2"/>
  <c r="Q791" i="2"/>
  <c r="Q793" i="2"/>
  <c r="BG729" i="2"/>
  <c r="AI751" i="2"/>
  <c r="BD804" i="2"/>
  <c r="AS760" i="2"/>
  <c r="BH789" i="2"/>
  <c r="BH791" i="2"/>
  <c r="AK791" i="2"/>
  <c r="AK793" i="2"/>
  <c r="BD791" i="2"/>
  <c r="BD793" i="2"/>
  <c r="AZ791" i="2"/>
  <c r="AZ793" i="2"/>
  <c r="AR791" i="2"/>
  <c r="AR793" i="2"/>
  <c r="BH5" i="16"/>
  <c r="BJ4" i="16"/>
  <c r="BI4" i="16"/>
  <c r="BK8" i="16"/>
  <c r="BK4" i="16"/>
  <c r="BL4" i="16"/>
  <c r="BI8" i="16"/>
  <c r="BJ8" i="16"/>
  <c r="BL8" i="16"/>
  <c r="H21" i="15"/>
  <c r="R12" i="15"/>
  <c r="BB20" i="17"/>
  <c r="AM28" i="11"/>
  <c r="AI43" i="11"/>
  <c r="AI44" i="11"/>
  <c r="AA71" i="9"/>
  <c r="AB70" i="9"/>
  <c r="AB71" i="9"/>
  <c r="AC70" i="9"/>
  <c r="AX722" i="2"/>
  <c r="AX739" i="2"/>
  <c r="AX723" i="2"/>
  <c r="AU809" i="2" a="1"/>
  <c r="AU809" i="2"/>
  <c r="Z816" i="2" a="1"/>
  <c r="Z816" i="2"/>
  <c r="AQ405" i="2"/>
  <c r="AQ797" i="2" a="1"/>
  <c r="AQ797" i="2"/>
  <c r="AQ417" i="2"/>
  <c r="AQ394" i="2"/>
  <c r="BA325" i="2"/>
  <c r="X714" i="2"/>
  <c r="AO394" i="2"/>
  <c r="AO401" i="2"/>
  <c r="AO416" i="2"/>
  <c r="AO325" i="2"/>
  <c r="X394" i="2"/>
  <c r="X389" i="2"/>
  <c r="X326" i="2"/>
  <c r="V394" i="2"/>
  <c r="V389" i="2"/>
  <c r="V326" i="2"/>
  <c r="V401" i="2"/>
  <c r="V405" i="2"/>
  <c r="V797" i="2" a="1"/>
  <c r="V797" i="2"/>
  <c r="BI717" i="2"/>
  <c r="AX490" i="2"/>
  <c r="AX485" i="2"/>
  <c r="AG430" i="2"/>
  <c r="AM539" i="2" a="1"/>
  <c r="AM539" i="2"/>
  <c r="AW430" i="2"/>
  <c r="AM485" i="2"/>
  <c r="AM716" i="2"/>
  <c r="AT716" i="2"/>
  <c r="BD325" i="2"/>
  <c r="AE325" i="2"/>
  <c r="BD389" i="2"/>
  <c r="BD326" i="2"/>
  <c r="AE389" i="2"/>
  <c r="AE326" i="2"/>
  <c r="AF714" i="2"/>
  <c r="AE401" i="2"/>
  <c r="AE417" i="2"/>
  <c r="U401" i="2"/>
  <c r="U405" i="2"/>
  <c r="U797" i="2" a="1"/>
  <c r="U797" i="2"/>
  <c r="U394" i="2"/>
  <c r="U395" i="2"/>
  <c r="U325" i="2"/>
  <c r="V714" i="2"/>
  <c r="Z389" i="2"/>
  <c r="Z326" i="2"/>
  <c r="Z325" i="2"/>
  <c r="BD714" i="2"/>
  <c r="AU708" i="2"/>
  <c r="AD732" i="2"/>
  <c r="AN723" i="2"/>
  <c r="AN734" i="2"/>
  <c r="AC732" i="2"/>
  <c r="AX734" i="2"/>
  <c r="AM186" i="2"/>
  <c r="AR185" i="2"/>
  <c r="AM239" i="2"/>
  <c r="AM244" i="2"/>
  <c r="AV707" i="2"/>
  <c r="U61" i="2"/>
  <c r="AV709" i="2"/>
  <c r="BA715" i="2"/>
  <c r="T61" i="2"/>
  <c r="U532" i="2"/>
  <c r="AB739" i="2"/>
  <c r="Z739" i="2"/>
  <c r="AV710" i="2"/>
  <c r="BA716" i="2"/>
  <c r="AU711" i="2"/>
  <c r="BB729" i="2"/>
  <c r="BA796" i="2" a="1"/>
  <c r="BA796" i="2"/>
  <c r="AU709" i="2"/>
  <c r="AL729" i="2"/>
  <c r="P797" i="2" a="1"/>
  <c r="P797" i="2"/>
  <c r="O803" i="2" a="1"/>
  <c r="O803" i="2"/>
  <c r="V417" i="2"/>
  <c r="Y714" i="2"/>
  <c r="AP61" i="2"/>
  <c r="V796" i="2" a="1"/>
  <c r="V796" i="2"/>
  <c r="BE739" i="2"/>
  <c r="Y717" i="2"/>
  <c r="AN729" i="2"/>
  <c r="AW658" i="2"/>
  <c r="AW495" i="2"/>
  <c r="V539" i="2" a="1"/>
  <c r="V539" i="2"/>
  <c r="T532" i="2"/>
  <c r="W61" i="2"/>
  <c r="BA306" i="2"/>
  <c r="AD71" i="2"/>
  <c r="AG441" i="2"/>
  <c r="BB539" i="2" a="1"/>
  <c r="BB539" i="2"/>
  <c r="BC539" i="2" a="1"/>
  <c r="BC539" i="2"/>
  <c r="AV723" i="2"/>
  <c r="T739" i="2"/>
  <c r="AJ210" i="2"/>
  <c r="AN155" i="2"/>
  <c r="AY816" i="2" a="1"/>
  <c r="AY816" i="2"/>
  <c r="T723" i="2"/>
  <c r="W417" i="2"/>
  <c r="AK211" i="2"/>
  <c r="BI72" i="2"/>
  <c r="AN781" i="2"/>
  <c r="AN791" i="2"/>
  <c r="AN793" i="2"/>
  <c r="P555" i="2" a="1"/>
  <c r="P555" i="2"/>
  <c r="P539" i="2" a="1"/>
  <c r="P539" i="2"/>
  <c r="P430" i="2"/>
  <c r="R734" i="2"/>
  <c r="AK739" i="2"/>
  <c r="AF417" i="2"/>
  <c r="AP416" i="2"/>
  <c r="U238" i="2"/>
  <c r="BF796" i="2" a="1"/>
  <c r="BF796" i="2"/>
  <c r="BA416" i="2"/>
  <c r="W416" i="2"/>
  <c r="AF416" i="2"/>
  <c r="AU416" i="2"/>
  <c r="BI496" i="2"/>
  <c r="AW793" i="2"/>
  <c r="AE555" i="2" a="1"/>
  <c r="AE555" i="2"/>
  <c r="AE539" i="2" a="1"/>
  <c r="AE539" i="2"/>
  <c r="AE430" i="2"/>
  <c r="AP485" i="2"/>
  <c r="AF555" i="2" a="1"/>
  <c r="AF555" i="2"/>
  <c r="AF539" i="2" a="1"/>
  <c r="AF539" i="2"/>
  <c r="AF430" i="2"/>
  <c r="Z796" i="2" a="1"/>
  <c r="Z796" i="2"/>
  <c r="AA738" i="2"/>
  <c r="BF709" i="2"/>
  <c r="BK709" i="2"/>
  <c r="BP709" i="2"/>
  <c r="AZ31" i="2"/>
  <c r="AA806" i="2" a="1"/>
  <c r="AA806" i="2"/>
  <c r="AF716" i="2"/>
  <c r="AD715" i="2"/>
  <c r="BG710" i="2"/>
  <c r="BE707" i="2"/>
  <c r="AT416" i="2"/>
  <c r="AQ416" i="2"/>
  <c r="AH715" i="2"/>
  <c r="BF307" i="2"/>
  <c r="R723" i="2"/>
  <c r="V441" i="2"/>
  <c r="BG708" i="2"/>
  <c r="AX237" i="2"/>
  <c r="AX238" i="2"/>
  <c r="AX243" i="2"/>
  <c r="Q729" i="2"/>
  <c r="V739" i="2"/>
  <c r="BI658" i="2"/>
  <c r="BI495" i="2"/>
  <c r="BI497" i="2"/>
  <c r="BI545" i="2"/>
  <c r="AI211" i="2"/>
  <c r="T734" i="2"/>
  <c r="AF217" i="2"/>
  <c r="AE713" i="2"/>
  <c r="AC717" i="2"/>
  <c r="Z715" i="2"/>
  <c r="AF797" i="2" a="1"/>
  <c r="AF797" i="2"/>
  <c r="AI210" i="2"/>
  <c r="AD713" i="2"/>
  <c r="AA713" i="2"/>
  <c r="T89" i="2"/>
  <c r="BB485" i="2"/>
  <c r="AB714" i="2"/>
  <c r="AY713" i="2"/>
  <c r="AI761" i="2"/>
  <c r="AK804" i="2"/>
  <c r="W796" i="2" a="1"/>
  <c r="W796" i="2"/>
  <c r="AA442" i="2"/>
  <c r="AV156" i="2"/>
  <c r="AH734" i="2"/>
  <c r="AM240" i="2"/>
  <c r="AG442" i="2"/>
  <c r="AL555" i="2" a="1"/>
  <c r="AL555" i="2"/>
  <c r="AL539" i="2" a="1"/>
  <c r="AL539" i="2"/>
  <c r="AL430" i="2"/>
  <c r="AL472" i="2"/>
  <c r="AL483" i="2"/>
  <c r="AL490" i="2"/>
  <c r="AD751" i="2"/>
  <c r="AD761" i="2"/>
  <c r="BA696" i="2"/>
  <c r="AT717" i="2"/>
  <c r="AC714" i="2"/>
  <c r="AR485" i="2"/>
  <c r="AB713" i="2"/>
  <c r="BF707" i="2"/>
  <c r="AZ306" i="2"/>
  <c r="AH441" i="2"/>
  <c r="BN722" i="2"/>
  <c r="AM739" i="2"/>
  <c r="AE716" i="2"/>
  <c r="AT713" i="2"/>
  <c r="AR442" i="2"/>
  <c r="AQ708" i="2"/>
  <c r="AQ714" i="2"/>
  <c r="AL714" i="2"/>
  <c r="U717" i="2"/>
  <c r="AX358" i="2" a="1"/>
  <c r="AX358" i="2"/>
  <c r="AX388" i="2"/>
  <c r="AX394" i="2"/>
  <c r="AM73" i="2"/>
  <c r="AO73" i="2"/>
  <c r="W739" i="2"/>
  <c r="U739" i="2"/>
  <c r="BB739" i="2"/>
  <c r="AU738" i="2"/>
  <c r="AU722" i="2"/>
  <c r="AU723" i="2"/>
  <c r="AC713" i="2"/>
  <c r="AP711" i="2"/>
  <c r="AP717" i="2"/>
  <c r="BG61" i="2"/>
  <c r="AU806" i="2" a="1"/>
  <c r="AU806" i="2"/>
  <c r="AP709" i="2"/>
  <c r="AP715" i="2"/>
  <c r="AA797" i="2" a="1"/>
  <c r="AA797" i="2"/>
  <c r="BP61" i="2"/>
  <c r="BP62" i="2"/>
  <c r="BP71" i="2"/>
  <c r="AY733" i="2"/>
  <c r="X729" i="2"/>
  <c r="AH723" i="2"/>
  <c r="AP707" i="2"/>
  <c r="AP713" i="2"/>
  <c r="AZ713" i="2"/>
  <c r="AZ394" i="2"/>
  <c r="S723" i="2"/>
  <c r="AP708" i="2"/>
  <c r="AP714" i="2"/>
  <c r="AZ325" i="2"/>
  <c r="S734" i="2"/>
  <c r="AC739" i="2"/>
  <c r="AI416" i="2"/>
  <c r="AI417" i="2"/>
  <c r="AZ389" i="2"/>
  <c r="AZ326" i="2"/>
  <c r="BA61" i="2"/>
  <c r="AK658" i="2"/>
  <c r="AK696" i="2"/>
  <c r="BC739" i="2"/>
  <c r="BF417" i="2"/>
  <c r="BU670" i="2"/>
  <c r="AQ796" i="2" a="1"/>
  <c r="AQ796" i="2"/>
  <c r="AK510" i="2"/>
  <c r="AK511" i="2"/>
  <c r="AK512" i="2"/>
  <c r="AK513" i="2"/>
  <c r="AP417" i="2"/>
  <c r="AW442" i="2"/>
  <c r="BE710" i="2"/>
  <c r="BD715" i="2"/>
  <c r="AI732" i="2"/>
  <c r="BB61" i="2"/>
  <c r="AB73" i="2"/>
  <c r="BD716" i="2"/>
  <c r="AM717" i="2"/>
  <c r="AD405" i="2"/>
  <c r="AD796" i="2" a="1"/>
  <c r="AD796" i="2"/>
  <c r="BN74" i="2"/>
  <c r="AW739" i="2"/>
  <c r="AQ739" i="2"/>
  <c r="BA417" i="2"/>
  <c r="Z713" i="2"/>
  <c r="AX155" i="2"/>
  <c r="AA325" i="2"/>
  <c r="BH155" i="2"/>
  <c r="BM155" i="2"/>
  <c r="AW804" i="2"/>
  <c r="W723" i="2"/>
  <c r="AA389" i="2"/>
  <c r="AA326" i="2"/>
  <c r="BJ110" i="2"/>
  <c r="BJ111" i="2"/>
  <c r="BJ120" i="2"/>
  <c r="BJ124" i="2"/>
  <c r="W734" i="2"/>
  <c r="Y243" i="2"/>
  <c r="AP211" i="2"/>
  <c r="AO210" i="2"/>
  <c r="AN209" i="2"/>
  <c r="AZ739" i="2"/>
  <c r="BI714" i="2"/>
  <c r="W717" i="2"/>
  <c r="BI121" i="2"/>
  <c r="BA729" i="2"/>
  <c r="AE739" i="2"/>
  <c r="BH625" i="2"/>
  <c r="BA739" i="2"/>
  <c r="X715" i="2"/>
  <c r="AL717" i="2"/>
  <c r="X416" i="2"/>
  <c r="AH713" i="2"/>
  <c r="AT59" i="2"/>
  <c r="BG739" i="2"/>
  <c r="BI713" i="2"/>
  <c r="X717" i="2"/>
  <c r="AL713" i="2"/>
  <c r="S713" i="2"/>
  <c r="BB156" i="2"/>
  <c r="AW91" i="2"/>
  <c r="AW67" i="2"/>
  <c r="BC693" i="2"/>
  <c r="BC501" i="2"/>
  <c r="BL779" i="2"/>
  <c r="BK560" i="2"/>
  <c r="AK729" i="2"/>
  <c r="AV61" i="2"/>
  <c r="AT723" i="2"/>
  <c r="AP739" i="2"/>
  <c r="BI716" i="2"/>
  <c r="BG707" i="2"/>
  <c r="BG713" i="2"/>
  <c r="Y715" i="2"/>
  <c r="AL715" i="2"/>
  <c r="AW707" i="2"/>
  <c r="BB713" i="2"/>
  <c r="X496" i="2"/>
  <c r="X510" i="2"/>
  <c r="X511" i="2"/>
  <c r="X512" i="2"/>
  <c r="X513" i="2"/>
  <c r="Y781" i="2"/>
  <c r="Y791" i="2"/>
  <c r="Y793" i="2"/>
  <c r="AV739" i="2"/>
  <c r="BG709" i="2"/>
  <c r="BG715" i="2"/>
  <c r="Z717" i="2"/>
  <c r="S417" i="2"/>
  <c r="AW708" i="2"/>
  <c r="BB714" i="2"/>
  <c r="BN122" i="2"/>
  <c r="BN123" i="2"/>
  <c r="X497" i="2"/>
  <c r="X514" i="2"/>
  <c r="X515" i="2"/>
  <c r="X516" i="2"/>
  <c r="X517" i="2"/>
  <c r="BB804" i="2"/>
  <c r="Y625" i="2"/>
  <c r="R739" i="2"/>
  <c r="AV708" i="2"/>
  <c r="AV714" i="2"/>
  <c r="BG711" i="2"/>
  <c r="BG717" i="2"/>
  <c r="BE709" i="2"/>
  <c r="BJ709" i="2"/>
  <c r="BO709" i="2"/>
  <c r="Y713" i="2"/>
  <c r="AZ715" i="2"/>
  <c r="BH232" i="2"/>
  <c r="BI105" i="2"/>
  <c r="AX123" i="2"/>
  <c r="BV95" i="2"/>
  <c r="BV20" i="2"/>
  <c r="AD714" i="2"/>
  <c r="Q714" i="2"/>
  <c r="Z714" i="2"/>
  <c r="BE708" i="2"/>
  <c r="BE714" i="2"/>
  <c r="AW496" i="2"/>
  <c r="AW510" i="2"/>
  <c r="AW511" i="2"/>
  <c r="AW512" i="2"/>
  <c r="AW513" i="2"/>
  <c r="AS791" i="2"/>
  <c r="BD417" i="2"/>
  <c r="BF711" i="2"/>
  <c r="BK711" i="2"/>
  <c r="BP711" i="2"/>
  <c r="BE711" i="2"/>
  <c r="BE717" i="2"/>
  <c r="AC658" i="2"/>
  <c r="AC493" i="2"/>
  <c r="AG739" i="2"/>
  <c r="BB733" i="2"/>
  <c r="AF715" i="2"/>
  <c r="AU710" i="2"/>
  <c r="AU716" i="2"/>
  <c r="X417" i="2"/>
  <c r="BD416" i="2"/>
  <c r="BF710" i="2"/>
  <c r="BD717" i="2"/>
  <c r="Z416" i="2"/>
  <c r="AE405" i="2"/>
  <c r="AE243" i="2"/>
  <c r="W441" i="2"/>
  <c r="BM777" i="2"/>
  <c r="BL524" i="2"/>
  <c r="AM715" i="2"/>
  <c r="T791" i="2"/>
  <c r="BD739" i="2"/>
  <c r="S416" i="2"/>
  <c r="BF306" i="2"/>
  <c r="AG658" i="2"/>
  <c r="AG495" i="2"/>
  <c r="AG493" i="2"/>
  <c r="BD658" i="2"/>
  <c r="BD495" i="2"/>
  <c r="BD493" i="2"/>
  <c r="AF739" i="2"/>
  <c r="AE714" i="2"/>
  <c r="AA717" i="2"/>
  <c r="AP716" i="2"/>
  <c r="AK713" i="2"/>
  <c r="BG485" i="2"/>
  <c r="BC155" i="2"/>
  <c r="BN670" i="2"/>
  <c r="BN499" i="2"/>
  <c r="AN658" i="2"/>
  <c r="AN495" i="2"/>
  <c r="AN493" i="2"/>
  <c r="AB723" i="2"/>
  <c r="AB734" i="2"/>
  <c r="Y739" i="2"/>
  <c r="AA658" i="2"/>
  <c r="AA493" i="2"/>
  <c r="AN625" i="2"/>
  <c r="AL658" i="2"/>
  <c r="AL495" i="2"/>
  <c r="AL493" i="2"/>
  <c r="AZ658" i="2"/>
  <c r="AZ493" i="2"/>
  <c r="BH442" i="2"/>
  <c r="BH485" i="2"/>
  <c r="BH441" i="2"/>
  <c r="W715" i="2"/>
  <c r="AY717" i="2"/>
  <c r="AQ804" i="2"/>
  <c r="AQ793" i="2"/>
  <c r="AU658" i="2"/>
  <c r="AU493" i="2"/>
  <c r="R389" i="2"/>
  <c r="R326" i="2"/>
  <c r="R401" i="2"/>
  <c r="R394" i="2"/>
  <c r="R325" i="2"/>
  <c r="AA804" i="2"/>
  <c r="AA793" i="2"/>
  <c r="AD793" i="2"/>
  <c r="AD804" i="2"/>
  <c r="AP804" i="2"/>
  <c r="AV734" i="2"/>
  <c r="AV732" i="2"/>
  <c r="V658" i="2"/>
  <c r="V696" i="2"/>
  <c r="V493" i="2"/>
  <c r="Q658" i="2"/>
  <c r="Q696" i="2"/>
  <c r="Q493" i="2"/>
  <c r="AJ658" i="2"/>
  <c r="AJ495" i="2"/>
  <c r="AJ493" i="2"/>
  <c r="AH739" i="2"/>
  <c r="AS738" i="2"/>
  <c r="AS722" i="2"/>
  <c r="AS723" i="2"/>
  <c r="AS806" i="2" a="1"/>
  <c r="AS806" i="2"/>
  <c r="BM709" i="2"/>
  <c r="BR709" i="2"/>
  <c r="AA696" i="2"/>
  <c r="P734" i="2"/>
  <c r="P732" i="2"/>
  <c r="AV658" i="2"/>
  <c r="AV495" i="2"/>
  <c r="AV493" i="2"/>
  <c r="Z536" i="2"/>
  <c r="Z535" i="2"/>
  <c r="AH658" i="2"/>
  <c r="AH495" i="2"/>
  <c r="AH493" i="2"/>
  <c r="BS670" i="2"/>
  <c r="BS499" i="2"/>
  <c r="AQ331" i="2"/>
  <c r="AQ395" i="2"/>
  <c r="U804" i="2"/>
  <c r="U793" i="2"/>
  <c r="AJ735" i="2"/>
  <c r="AJ733" i="2"/>
  <c r="AJ729" i="2"/>
  <c r="Z804" i="2"/>
  <c r="AT658" i="2"/>
  <c r="AT495" i="2"/>
  <c r="AT536" i="2"/>
  <c r="AT493" i="2"/>
  <c r="AV804" i="2"/>
  <c r="T644" i="2"/>
  <c r="T358" i="2" a="1"/>
  <c r="T358" i="2"/>
  <c r="AD670" i="2"/>
  <c r="AD499" i="2"/>
  <c r="AN739" i="2"/>
  <c r="BI536" i="2"/>
  <c r="BA804" i="2"/>
  <c r="BA793" i="2"/>
  <c r="BH793" i="2"/>
  <c r="BH804" i="2"/>
  <c r="AK495" i="2"/>
  <c r="R658" i="2"/>
  <c r="R493" i="2"/>
  <c r="AD658" i="2"/>
  <c r="AD495" i="2"/>
  <c r="AD493" i="2"/>
  <c r="AH729" i="2"/>
  <c r="AH735" i="2"/>
  <c r="AO733" i="2"/>
  <c r="AO735" i="2"/>
  <c r="AO729" i="2"/>
  <c r="BH644" i="2"/>
  <c r="T625" i="2"/>
  <c r="BI514" i="2"/>
  <c r="AN242" i="2"/>
  <c r="AM804" i="2"/>
  <c r="AF734" i="2"/>
  <c r="AF732" i="2"/>
  <c r="BN728" i="2"/>
  <c r="X739" i="2"/>
  <c r="BM784" i="2"/>
  <c r="AJ739" i="2"/>
  <c r="AY739" i="2"/>
  <c r="AR658" i="2"/>
  <c r="AR495" i="2"/>
  <c r="AR493" i="2"/>
  <c r="AF658" i="2"/>
  <c r="AF696" i="2"/>
  <c r="AF493" i="2"/>
  <c r="U536" i="2"/>
  <c r="U535" i="2"/>
  <c r="AX658" i="2"/>
  <c r="AX495" i="2"/>
  <c r="AX493" i="2"/>
  <c r="AI490" i="2"/>
  <c r="AI485" i="2"/>
  <c r="AX325" i="2"/>
  <c r="T804" i="2"/>
  <c r="T793" i="2"/>
  <c r="AJ734" i="2"/>
  <c r="AJ732" i="2"/>
  <c r="AF729" i="2"/>
  <c r="AF735" i="2"/>
  <c r="BE658" i="2"/>
  <c r="BE493" i="2"/>
  <c r="AY658" i="2"/>
  <c r="AY495" i="2"/>
  <c r="AY493" i="2"/>
  <c r="BK776" i="2"/>
  <c r="BL522" i="2"/>
  <c r="AP395" i="2"/>
  <c r="AP331" i="2"/>
  <c r="P723" i="2"/>
  <c r="AB658" i="2"/>
  <c r="AB495" i="2"/>
  <c r="AB493" i="2"/>
  <c r="BF658" i="2"/>
  <c r="BF495" i="2"/>
  <c r="BF493" i="2"/>
  <c r="AM658" i="2"/>
  <c r="AM493" i="2"/>
  <c r="BD536" i="2"/>
  <c r="AD625" i="2"/>
  <c r="AK715" i="2"/>
  <c r="AI715" i="2"/>
  <c r="AJ709" i="2"/>
  <c r="AJ715" i="2"/>
  <c r="AI804" i="2"/>
  <c r="Y804" i="2"/>
  <c r="AJ723" i="2"/>
  <c r="BA733" i="2"/>
  <c r="AO658" i="2"/>
  <c r="AO493" i="2"/>
  <c r="AI796" i="2" a="1"/>
  <c r="AI796" i="2"/>
  <c r="AI644" i="2"/>
  <c r="AI358" i="2" a="1"/>
  <c r="AI358" i="2"/>
  <c r="BE715" i="2"/>
  <c r="AG716" i="2"/>
  <c r="AP658" i="2"/>
  <c r="AP696" i="2"/>
  <c r="AP493" i="2"/>
  <c r="W658" i="2"/>
  <c r="W493" i="2"/>
  <c r="AI670" i="2"/>
  <c r="AI499" i="2"/>
  <c r="S658" i="2"/>
  <c r="S495" i="2"/>
  <c r="S493" i="2"/>
  <c r="AM405" i="2"/>
  <c r="AM417" i="2"/>
  <c r="AT734" i="2"/>
  <c r="AT732" i="2"/>
  <c r="P536" i="2"/>
  <c r="P535" i="2"/>
  <c r="BG658" i="2"/>
  <c r="BG495" i="2"/>
  <c r="BG493" i="2"/>
  <c r="Y644" i="2"/>
  <c r="Y358" i="2" a="1"/>
  <c r="Y358" i="2"/>
  <c r="U658" i="2"/>
  <c r="U495" i="2"/>
  <c r="U493" i="2"/>
  <c r="AJ535" i="2"/>
  <c r="AJ536" i="2"/>
  <c r="AC405" i="2"/>
  <c r="AC417" i="2"/>
  <c r="AC416" i="2"/>
  <c r="AX793" i="2"/>
  <c r="AP734" i="2"/>
  <c r="AP723" i="2"/>
  <c r="AP732" i="2"/>
  <c r="V804" i="2"/>
  <c r="BK806" i="2" a="1"/>
  <c r="BK806" i="2"/>
  <c r="BK670" i="2"/>
  <c r="Z658" i="2"/>
  <c r="Z495" i="2"/>
  <c r="Z493" i="2"/>
  <c r="BC658" i="2"/>
  <c r="BC493" i="2"/>
  <c r="AY536" i="2"/>
  <c r="AE658" i="2"/>
  <c r="AE493" i="2"/>
  <c r="AV405" i="2"/>
  <c r="AV416" i="2"/>
  <c r="BC804" i="2"/>
  <c r="BC793" i="2"/>
  <c r="AZ804" i="2"/>
  <c r="V729" i="2"/>
  <c r="BF804" i="2"/>
  <c r="AC735" i="2"/>
  <c r="AC729" i="2"/>
  <c r="AQ658" i="2"/>
  <c r="AQ495" i="2"/>
  <c r="AQ493" i="2"/>
  <c r="BB658" i="2"/>
  <c r="BB495" i="2"/>
  <c r="BB493" i="2"/>
  <c r="P658" i="2"/>
  <c r="P495" i="2"/>
  <c r="P493" i="2"/>
  <c r="BG716" i="2"/>
  <c r="BL710" i="2"/>
  <c r="BQ710" i="2"/>
  <c r="AS761" i="2"/>
  <c r="AX804" i="2"/>
  <c r="BH739" i="2"/>
  <c r="BA514" i="2"/>
  <c r="BA515" i="2"/>
  <c r="BA516" i="2"/>
  <c r="BA517" i="2"/>
  <c r="BA494" i="2"/>
  <c r="BA497" i="2"/>
  <c r="T442" i="2"/>
  <c r="T441" i="2"/>
  <c r="Y442" i="2"/>
  <c r="BI803" i="2" a="1"/>
  <c r="BI803" i="2"/>
  <c r="BI409" i="2"/>
  <c r="BI797" i="2" a="1"/>
  <c r="BI797" i="2"/>
  <c r="R441" i="2"/>
  <c r="W442" i="2"/>
  <c r="R442" i="2"/>
  <c r="AE715" i="2"/>
  <c r="AC715" i="2"/>
  <c r="AR708" i="2"/>
  <c r="AR714" i="2"/>
  <c r="BG714" i="2"/>
  <c r="BL708" i="2"/>
  <c r="BQ708" i="2"/>
  <c r="U713" i="2"/>
  <c r="AY716" i="2"/>
  <c r="BD331" i="2"/>
  <c r="BD395" i="2"/>
  <c r="BB395" i="2"/>
  <c r="BB331" i="2"/>
  <c r="AG714" i="2"/>
  <c r="Y417" i="2"/>
  <c r="Y405" i="2"/>
  <c r="Y796" i="2" a="1"/>
  <c r="Y796" i="2"/>
  <c r="AO395" i="2"/>
  <c r="AO331" i="2"/>
  <c r="BF409" i="2"/>
  <c r="BE395" i="2"/>
  <c r="BE331" i="2"/>
  <c r="BH237" i="2"/>
  <c r="BH238" i="2"/>
  <c r="BH243" i="2"/>
  <c r="BK61" i="2"/>
  <c r="BK62" i="2"/>
  <c r="BK71" i="2"/>
  <c r="AC381" i="2"/>
  <c r="AC289" i="2"/>
  <c r="AC217" i="2"/>
  <c r="AC11" i="2"/>
  <c r="AC31" i="2"/>
  <c r="P166" i="2"/>
  <c r="P169" i="2"/>
  <c r="AS80" i="2"/>
  <c r="AS69" i="2"/>
  <c r="V381" i="2"/>
  <c r="V217" i="2"/>
  <c r="V31" i="2"/>
  <c r="Z30" i="2"/>
  <c r="V11" i="2"/>
  <c r="BI156" i="2"/>
  <c r="W89" i="2"/>
  <c r="W77" i="2"/>
  <c r="W78" i="2"/>
  <c r="W91" i="2"/>
  <c r="W62" i="2"/>
  <c r="P5" i="2"/>
  <c r="AE61" i="2"/>
  <c r="AP62" i="2"/>
  <c r="AP89" i="2"/>
  <c r="AP77" i="2"/>
  <c r="AP78" i="2"/>
  <c r="AP91" i="2"/>
  <c r="AR709" i="2"/>
  <c r="AR715" i="2"/>
  <c r="BF717" i="2"/>
  <c r="U714" i="2"/>
  <c r="T714" i="2"/>
  <c r="AY714" i="2"/>
  <c r="AG715" i="2"/>
  <c r="AW709" i="2"/>
  <c r="AR331" i="2"/>
  <c r="AR395" i="2"/>
  <c r="Y395" i="2"/>
  <c r="Y331" i="2"/>
  <c r="AO417" i="2"/>
  <c r="AO405" i="2"/>
  <c r="AL395" i="2"/>
  <c r="AL331" i="2"/>
  <c r="AP103" i="2"/>
  <c r="AT103" i="2"/>
  <c r="AS153" i="2"/>
  <c r="AT151" i="2"/>
  <c r="AX153" i="2"/>
  <c r="AI409" i="2"/>
  <c r="AT72" i="2"/>
  <c r="AX732" i="2"/>
  <c r="BC80" i="2"/>
  <c r="BC69" i="2"/>
  <c r="BC30" i="2"/>
  <c r="BF289" i="2"/>
  <c r="Z72" i="2"/>
  <c r="BO61" i="2"/>
  <c r="BO62" i="2"/>
  <c r="BO71" i="2"/>
  <c r="BK920" i="2" a="1"/>
  <c r="BK920" i="2"/>
  <c r="BK890" i="2" a="1"/>
  <c r="BK890" i="2"/>
  <c r="BL4" i="2"/>
  <c r="BL61" i="2"/>
  <c r="BL62" i="2"/>
  <c r="BL71" i="2"/>
  <c r="S77" i="2"/>
  <c r="S78" i="2"/>
  <c r="S91" i="2"/>
  <c r="AV120" i="2"/>
  <c r="AV122" i="2"/>
  <c r="BD72" i="2"/>
  <c r="AP73" i="2"/>
  <c r="AT73" i="2"/>
  <c r="AR710" i="2"/>
  <c r="AR716" i="2"/>
  <c r="AQ709" i="2"/>
  <c r="AQ715" i="2"/>
  <c r="BF715" i="2"/>
  <c r="BA717" i="2"/>
  <c r="T717" i="2"/>
  <c r="AJ401" i="2"/>
  <c r="AJ389" i="2"/>
  <c r="AJ326" i="2"/>
  <c r="AJ325" i="2"/>
  <c r="AJ394" i="2"/>
  <c r="BB417" i="2"/>
  <c r="BB405" i="2"/>
  <c r="AV534" i="2"/>
  <c r="AV332" i="2"/>
  <c r="AX737" i="2"/>
  <c r="AX329" i="2"/>
  <c r="AG717" i="2"/>
  <c r="P395" i="2"/>
  <c r="P331" i="2"/>
  <c r="BH358" i="2" a="1"/>
  <c r="BH358" i="2"/>
  <c r="BH356" i="2"/>
  <c r="BH361" i="2"/>
  <c r="BH377" i="2"/>
  <c r="AR405" i="2"/>
  <c r="AR416" i="2"/>
  <c r="BJ153" i="2"/>
  <c r="BK148" i="2"/>
  <c r="S395" i="2"/>
  <c r="S331" i="2"/>
  <c r="BD59" i="2"/>
  <c r="BF217" i="2"/>
  <c r="BF11" i="2"/>
  <c r="BE307" i="2"/>
  <c r="AY61" i="2"/>
  <c r="AN80" i="2"/>
  <c r="AN69" i="2"/>
  <c r="BF122" i="2"/>
  <c r="BF120" i="2"/>
  <c r="X89" i="2"/>
  <c r="X77" i="2"/>
  <c r="X78" i="2"/>
  <c r="X91" i="2"/>
  <c r="X62" i="2"/>
  <c r="AU105" i="2"/>
  <c r="AW134" i="2"/>
  <c r="AW126" i="2"/>
  <c r="AW127" i="2"/>
  <c r="AW136" i="2"/>
  <c r="AU108" i="2"/>
  <c r="AZ61" i="2"/>
  <c r="BE89" i="2"/>
  <c r="BE77" i="2"/>
  <c r="BE78" i="2"/>
  <c r="BE91" i="2"/>
  <c r="BE62" i="2"/>
  <c r="AU89" i="2"/>
  <c r="AU62" i="2"/>
  <c r="BI442" i="2"/>
  <c r="BI485" i="2"/>
  <c r="AR711" i="2"/>
  <c r="AR717" i="2"/>
  <c r="AQ707" i="2"/>
  <c r="AQ713" i="2"/>
  <c r="BF716" i="2"/>
  <c r="BK710" i="2"/>
  <c r="BP710" i="2"/>
  <c r="BC709" i="2"/>
  <c r="BC715" i="2"/>
  <c r="BC707" i="2"/>
  <c r="BC713" i="2"/>
  <c r="BC711" i="2"/>
  <c r="BC717" i="2"/>
  <c r="BC708" i="2"/>
  <c r="BC714" i="2"/>
  <c r="BC710" i="2"/>
  <c r="BC716" i="2"/>
  <c r="BC388" i="2"/>
  <c r="BC330" i="2"/>
  <c r="BC14" i="2"/>
  <c r="T713" i="2"/>
  <c r="AJ710" i="2"/>
  <c r="AJ716" i="2"/>
  <c r="AI716" i="2"/>
  <c r="BD409" i="2"/>
  <c r="BA409" i="2"/>
  <c r="BG401" i="2"/>
  <c r="BG394" i="2"/>
  <c r="BG389" i="2"/>
  <c r="BG326" i="2"/>
  <c r="BG325" i="2"/>
  <c r="AN329" i="2"/>
  <c r="AW711" i="2"/>
  <c r="BB717" i="2"/>
  <c r="AL405" i="2"/>
  <c r="AL416" i="2"/>
  <c r="BI110" i="2"/>
  <c r="AK395" i="2"/>
  <c r="AK331" i="2"/>
  <c r="AJ211" i="2"/>
  <c r="AL184" i="2"/>
  <c r="AL186" i="2"/>
  <c r="BA380" i="2"/>
  <c r="BA188" i="2"/>
  <c r="BA275" i="2"/>
  <c r="BA12" i="2"/>
  <c r="BG217" i="2"/>
  <c r="BG11" i="2"/>
  <c r="AP381" i="2"/>
  <c r="AP217" i="2"/>
  <c r="AP11" i="2"/>
  <c r="AP31" i="2"/>
  <c r="AM381" i="2"/>
  <c r="AM217" i="2"/>
  <c r="AM31" i="2"/>
  <c r="AM11" i="2"/>
  <c r="AF61" i="2"/>
  <c r="AZ217" i="2"/>
  <c r="AZ11" i="2"/>
  <c r="Y73" i="2"/>
  <c r="Y71" i="2"/>
  <c r="BO151" i="2"/>
  <c r="BO152" i="2"/>
  <c r="BE73" i="2"/>
  <c r="BI73" i="2"/>
  <c r="BI74" i="2"/>
  <c r="AS89" i="2"/>
  <c r="AS62" i="2"/>
  <c r="Z417" i="2"/>
  <c r="AT714" i="2"/>
  <c r="AR707" i="2"/>
  <c r="AR713" i="2"/>
  <c r="AQ710" i="2"/>
  <c r="AQ716" i="2"/>
  <c r="BF713" i="2"/>
  <c r="BK707" i="2"/>
  <c r="BP707" i="2"/>
  <c r="AN356" i="2"/>
  <c r="AN361" i="2"/>
  <c r="AN377" i="2"/>
  <c r="BA713" i="2"/>
  <c r="AD416" i="2"/>
  <c r="T715" i="2"/>
  <c r="AI717" i="2"/>
  <c r="AJ711" i="2"/>
  <c r="AJ717" i="2"/>
  <c r="T395" i="2"/>
  <c r="T331" i="2"/>
  <c r="BA395" i="2"/>
  <c r="BA331" i="2"/>
  <c r="Q389" i="2"/>
  <c r="Q326" i="2"/>
  <c r="Q325" i="2"/>
  <c r="Q401" i="2"/>
  <c r="Q394" i="2"/>
  <c r="AM331" i="2"/>
  <c r="AM395" i="2"/>
  <c r="X331" i="2"/>
  <c r="X395" i="2"/>
  <c r="V395" i="2"/>
  <c r="V331" i="2"/>
  <c r="AI72" i="2"/>
  <c r="AJ72" i="2"/>
  <c r="AI69" i="2"/>
  <c r="AI30" i="2"/>
  <c r="AM289" i="2"/>
  <c r="BE381" i="2"/>
  <c r="BE290" i="2"/>
  <c r="BE31" i="2"/>
  <c r="BJ29" i="2"/>
  <c r="AQ381" i="2"/>
  <c r="AQ217" i="2"/>
  <c r="AQ11" i="2"/>
  <c r="AQ31" i="2"/>
  <c r="AV12" i="2"/>
  <c r="AV307" i="2"/>
  <c r="W381" i="2"/>
  <c r="W217" i="2"/>
  <c r="W31" i="2"/>
  <c r="W11" i="2"/>
  <c r="BR155" i="2"/>
  <c r="P61" i="2"/>
  <c r="U72" i="2"/>
  <c r="AW381" i="2"/>
  <c r="AW217" i="2"/>
  <c r="AW11" i="2"/>
  <c r="AW31" i="2"/>
  <c r="BB12" i="2"/>
  <c r="BH62" i="2"/>
  <c r="BH89" i="2"/>
  <c r="BG62" i="2"/>
  <c r="BG89" i="2"/>
  <c r="BG77" i="2"/>
  <c r="BG78" i="2"/>
  <c r="BG91" i="2"/>
  <c r="AT107" i="2"/>
  <c r="AX74" i="2"/>
  <c r="AV89" i="2"/>
  <c r="AV77" i="2"/>
  <c r="AV78" i="2"/>
  <c r="AV91" i="2"/>
  <c r="AV62" i="2"/>
  <c r="R61" i="2"/>
  <c r="R89" i="2"/>
  <c r="AS658" i="2"/>
  <c r="AS495" i="2"/>
  <c r="AS493" i="2"/>
  <c r="AN485" i="2"/>
  <c r="AF713" i="2"/>
  <c r="AT715" i="2"/>
  <c r="AQ711" i="2"/>
  <c r="AQ717" i="2"/>
  <c r="BF714" i="2"/>
  <c r="BK708" i="2"/>
  <c r="BP708" i="2"/>
  <c r="AS442" i="2"/>
  <c r="AS441" i="2"/>
  <c r="AS485" i="2"/>
  <c r="AX442" i="2"/>
  <c r="BD713" i="2"/>
  <c r="AM714" i="2"/>
  <c r="AL716" i="2"/>
  <c r="AN358" i="2" a="1"/>
  <c r="AN358" i="2"/>
  <c r="BA714" i="2"/>
  <c r="AD417" i="2"/>
  <c r="AI713" i="2"/>
  <c r="AJ707" i="2"/>
  <c r="AJ713" i="2"/>
  <c r="AH717" i="2"/>
  <c r="Q713" i="2"/>
  <c r="AB331" i="2"/>
  <c r="AB395" i="2"/>
  <c r="BD797" i="2" a="1"/>
  <c r="BD797" i="2"/>
  <c r="AC164" i="2"/>
  <c r="AD161" i="2"/>
  <c r="S409" i="2"/>
  <c r="AZ150" i="2"/>
  <c r="BD150" i="2"/>
  <c r="AZ152" i="2"/>
  <c r="AZ155" i="2"/>
  <c r="Z211" i="2"/>
  <c r="AO59" i="2"/>
  <c r="BG242" i="2"/>
  <c r="BG245" i="2"/>
  <c r="BG240" i="2"/>
  <c r="AA381" i="2"/>
  <c r="AA217" i="2"/>
  <c r="AA289" i="2"/>
  <c r="AA11" i="2"/>
  <c r="AA31" i="2"/>
  <c r="BP89" i="2"/>
  <c r="BP75" i="2"/>
  <c r="BH324" i="2"/>
  <c r="BH807" i="2" a="1"/>
  <c r="BH807" i="2"/>
  <c r="AW307" i="2"/>
  <c r="BM61" i="2"/>
  <c r="BM62" i="2"/>
  <c r="BM71" i="2"/>
  <c r="AN324" i="2"/>
  <c r="AN807" i="2" a="1"/>
  <c r="AN807" i="2"/>
  <c r="BA217" i="2"/>
  <c r="BA11" i="2"/>
  <c r="U243" i="2"/>
  <c r="AG381" i="2"/>
  <c r="AG217" i="2"/>
  <c r="AG11" i="2"/>
  <c r="AG31" i="2"/>
  <c r="AS330" i="2"/>
  <c r="AA61" i="2"/>
  <c r="BS153" i="2"/>
  <c r="BT148" i="2"/>
  <c r="AF89" i="2"/>
  <c r="AF77" i="2"/>
  <c r="AF78" i="2"/>
  <c r="AF91" i="2"/>
  <c r="AF62" i="2"/>
  <c r="AB405" i="2"/>
  <c r="AE810" i="2"/>
  <c r="AB416" i="2"/>
  <c r="AE803" i="2" a="1"/>
  <c r="AE803" i="2"/>
  <c r="AE409" i="2"/>
  <c r="V409" i="2"/>
  <c r="AK417" i="2"/>
  <c r="AK405" i="2"/>
  <c r="AX121" i="2"/>
  <c r="AX122" i="2"/>
  <c r="AX72" i="2"/>
  <c r="AY72" i="2"/>
  <c r="AW61" i="2"/>
  <c r="AM245" i="2"/>
  <c r="AM215" i="2"/>
  <c r="AK381" i="2"/>
  <c r="AK217" i="2"/>
  <c r="AK31" i="2"/>
  <c r="AK11" i="2"/>
  <c r="BJ61" i="2"/>
  <c r="BJ62" i="2"/>
  <c r="BJ71" i="2"/>
  <c r="S381" i="2"/>
  <c r="S217" i="2"/>
  <c r="S276" i="2"/>
  <c r="S281" i="2"/>
  <c r="S31" i="2"/>
  <c r="AS239" i="2"/>
  <c r="Q381" i="2"/>
  <c r="Q217" i="2"/>
  <c r="Q31" i="2"/>
  <c r="AR89" i="2"/>
  <c r="AR77" i="2"/>
  <c r="AR78" i="2"/>
  <c r="AR91" i="2"/>
  <c r="AR62" i="2"/>
  <c r="AQ62" i="2"/>
  <c r="AQ89" i="2"/>
  <c r="AQ77" i="2"/>
  <c r="AQ78" i="2"/>
  <c r="AQ91" i="2"/>
  <c r="AV380" i="2"/>
  <c r="AV188" i="2"/>
  <c r="AV275" i="2"/>
  <c r="AF380" i="2"/>
  <c r="AF275" i="2"/>
  <c r="Y289" i="2"/>
  <c r="Y217" i="2"/>
  <c r="Y31" i="2"/>
  <c r="BA89" i="2"/>
  <c r="BA77" i="2"/>
  <c r="BA78" i="2"/>
  <c r="BA91" i="2"/>
  <c r="BA62" i="2"/>
  <c r="AH62" i="2"/>
  <c r="AH89" i="2"/>
  <c r="AH77" i="2"/>
  <c r="AH78" i="2"/>
  <c r="AH91" i="2"/>
  <c r="AF73" i="2"/>
  <c r="AN89" i="2"/>
  <c r="AN77" i="2"/>
  <c r="AN78" i="2"/>
  <c r="AN91" i="2"/>
  <c r="AN67" i="2"/>
  <c r="AN62" i="2"/>
  <c r="AM416" i="2"/>
  <c r="AB715" i="2"/>
  <c r="AE416" i="2"/>
  <c r="AM713" i="2"/>
  <c r="AI714" i="2"/>
  <c r="AJ708" i="2"/>
  <c r="AJ714" i="2"/>
  <c r="AH714" i="2"/>
  <c r="BC485" i="2"/>
  <c r="T405" i="2"/>
  <c r="T796" i="2" a="1"/>
  <c r="T796" i="2"/>
  <c r="T416" i="2"/>
  <c r="Q715" i="2"/>
  <c r="W409" i="2"/>
  <c r="AC395" i="2"/>
  <c r="AC331" i="2"/>
  <c r="AE395" i="2"/>
  <c r="AE331" i="2"/>
  <c r="X409" i="2"/>
  <c r="AY395" i="2"/>
  <c r="AY535" i="2"/>
  <c r="AY331" i="2"/>
  <c r="U803" i="2" a="1"/>
  <c r="U803" i="2"/>
  <c r="U409" i="2"/>
  <c r="AU381" i="2"/>
  <c r="AU217" i="2"/>
  <c r="AU11" i="2"/>
  <c r="AU31" i="2"/>
  <c r="AZ12" i="2"/>
  <c r="BB380" i="2"/>
  <c r="BB188" i="2"/>
  <c r="BB275" i="2"/>
  <c r="BC800" i="2"/>
  <c r="U59" i="2"/>
  <c r="AB732" i="2"/>
  <c r="AG61" i="2"/>
  <c r="Y732" i="2"/>
  <c r="Y723" i="2"/>
  <c r="Y734" i="2"/>
  <c r="AT61" i="2"/>
  <c r="BI61" i="2"/>
  <c r="Y381" i="2"/>
  <c r="AV11" i="2"/>
  <c r="AF11" i="2"/>
  <c r="BF89" i="2"/>
  <c r="BF77" i="2"/>
  <c r="BF78" i="2"/>
  <c r="BF91" i="2"/>
  <c r="BF62" i="2"/>
  <c r="AF534" i="2"/>
  <c r="AF332" i="2"/>
  <c r="Q717" i="2"/>
  <c r="W331" i="2"/>
  <c r="W395" i="2"/>
  <c r="AD803" i="2" a="1"/>
  <c r="AD803" i="2"/>
  <c r="AD409" i="2"/>
  <c r="V416" i="2"/>
  <c r="BI416" i="2"/>
  <c r="BC361" i="2"/>
  <c r="BC377" i="2"/>
  <c r="BC356" i="2"/>
  <c r="BC129" i="2"/>
  <c r="BC118" i="2"/>
  <c r="BC145" i="2"/>
  <c r="BC144" i="2"/>
  <c r="BG381" i="2"/>
  <c r="BG290" i="2"/>
  <c r="BL29" i="2"/>
  <c r="BG31" i="2"/>
  <c r="BF237" i="2"/>
  <c r="BF238" i="2"/>
  <c r="BF243" i="2"/>
  <c r="BF61" i="2"/>
  <c r="BF381" i="2"/>
  <c r="BF290" i="2"/>
  <c r="BK29" i="2"/>
  <c r="BF31" i="2"/>
  <c r="A2" i="2"/>
  <c r="Q61" i="2"/>
  <c r="Q89" i="2"/>
  <c r="AU61" i="2"/>
  <c r="AX890" i="2" a="1"/>
  <c r="AX890" i="2"/>
  <c r="AD61" i="2"/>
  <c r="AS61" i="2"/>
  <c r="AB89" i="2"/>
  <c r="AB77" i="2"/>
  <c r="AB78" i="2"/>
  <c r="AB91" i="2"/>
  <c r="AB62" i="2"/>
  <c r="AA89" i="2"/>
  <c r="AA77" i="2"/>
  <c r="AA78" i="2"/>
  <c r="AA91" i="2"/>
  <c r="AA62" i="2"/>
  <c r="AK89" i="2"/>
  <c r="AK77" i="2"/>
  <c r="AK78" i="2"/>
  <c r="AK91" i="2"/>
  <c r="AK62" i="2"/>
  <c r="AG89" i="2"/>
  <c r="AG77" i="2"/>
  <c r="AG78" i="2"/>
  <c r="AG91" i="2"/>
  <c r="AG62" i="2"/>
  <c r="BC732" i="2"/>
  <c r="BC734" i="2"/>
  <c r="BC723" i="2"/>
  <c r="BJ799" i="2"/>
  <c r="BK523" i="2"/>
  <c r="BJ521" i="2"/>
  <c r="AF717" i="2"/>
  <c r="AU714" i="2"/>
  <c r="AX356" i="2"/>
  <c r="AX361" i="2"/>
  <c r="AX377" i="2"/>
  <c r="AD716" i="2"/>
  <c r="AB717" i="2"/>
  <c r="AA715" i="2"/>
  <c r="BE716" i="2"/>
  <c r="BJ710" i="2"/>
  <c r="BO710" i="2"/>
  <c r="AA416" i="2"/>
  <c r="AK717" i="2"/>
  <c r="S717" i="2"/>
  <c r="AH716" i="2"/>
  <c r="BH329" i="2"/>
  <c r="AZ395" i="2"/>
  <c r="AZ331" i="2"/>
  <c r="AF409" i="2"/>
  <c r="AD395" i="2"/>
  <c r="AD331" i="2"/>
  <c r="AT405" i="2"/>
  <c r="BF156" i="2"/>
  <c r="BK155" i="2"/>
  <c r="AD211" i="2"/>
  <c r="AE211" i="2"/>
  <c r="AF210" i="2"/>
  <c r="AF243" i="2"/>
  <c r="AD210" i="2"/>
  <c r="AD243" i="2"/>
  <c r="AD30" i="2"/>
  <c r="AH289" i="2"/>
  <c r="AN184" i="2"/>
  <c r="AN186" i="2"/>
  <c r="Z59" i="2"/>
  <c r="BH80" i="2"/>
  <c r="BH69" i="2"/>
  <c r="BH30" i="2"/>
  <c r="AG164" i="2"/>
  <c r="AH161" i="2"/>
  <c r="X381" i="2"/>
  <c r="X217" i="2"/>
  <c r="X31" i="2"/>
  <c r="X11" i="2"/>
  <c r="AY59" i="2"/>
  <c r="AS152" i="2"/>
  <c r="AT152" i="2"/>
  <c r="AT155" i="2"/>
  <c r="AY156" i="2"/>
  <c r="AH381" i="2"/>
  <c r="AH217" i="2"/>
  <c r="AH11" i="2"/>
  <c r="AH31" i="2"/>
  <c r="BI59" i="2"/>
  <c r="AA73" i="2"/>
  <c r="AE73" i="2"/>
  <c r="AE74" i="2"/>
  <c r="AV276" i="2"/>
  <c r="AV281" i="2"/>
  <c r="AF276" i="2"/>
  <c r="AF281" i="2"/>
  <c r="BO106" i="2"/>
  <c r="BO108" i="2"/>
  <c r="BB89" i="2"/>
  <c r="BB77" i="2"/>
  <c r="BB78" i="2"/>
  <c r="BB91" i="2"/>
  <c r="BB62" i="2"/>
  <c r="AM732" i="2"/>
  <c r="AM723" i="2"/>
  <c r="AD62" i="2"/>
  <c r="AD89" i="2"/>
  <c r="AD77" i="2"/>
  <c r="AD78" i="2"/>
  <c r="AD91" i="2"/>
  <c r="AU715" i="2"/>
  <c r="BI715" i="2"/>
  <c r="W714" i="2"/>
  <c r="AA331" i="2"/>
  <c r="AA395" i="2"/>
  <c r="AS356" i="2"/>
  <c r="AS361" i="2"/>
  <c r="AS377" i="2"/>
  <c r="BF416" i="2"/>
  <c r="BM134" i="2"/>
  <c r="BM126" i="2"/>
  <c r="BM127" i="2"/>
  <c r="BM124" i="2"/>
  <c r="AX80" i="2"/>
  <c r="AX69" i="2"/>
  <c r="AX30" i="2"/>
  <c r="BB289" i="2"/>
  <c r="BS122" i="2"/>
  <c r="BS123" i="2"/>
  <c r="BN61" i="2"/>
  <c r="T77" i="2"/>
  <c r="T78" i="2"/>
  <c r="T91" i="2"/>
  <c r="R381" i="2"/>
  <c r="R217" i="2"/>
  <c r="R276" i="2"/>
  <c r="R281" i="2"/>
  <c r="R31" i="2"/>
  <c r="BT103" i="2"/>
  <c r="BS107" i="2"/>
  <c r="AI74" i="2"/>
  <c r="AL441" i="2"/>
  <c r="AL442" i="2"/>
  <c r="AL485" i="2"/>
  <c r="AM441" i="2"/>
  <c r="AQ442" i="2"/>
  <c r="P713" i="2"/>
  <c r="AN708" i="2"/>
  <c r="AN714" i="2"/>
  <c r="AN711" i="2"/>
  <c r="AN717" i="2"/>
  <c r="AN710" i="2"/>
  <c r="AN716" i="2"/>
  <c r="AN707" i="2"/>
  <c r="AN713" i="2"/>
  <c r="AN709" i="2"/>
  <c r="AN715" i="2"/>
  <c r="AN388" i="2"/>
  <c r="AN330" i="2"/>
  <c r="AN14" i="2"/>
  <c r="V717" i="2"/>
  <c r="AK714" i="2"/>
  <c r="AZ714" i="2"/>
  <c r="S715" i="2"/>
  <c r="BI417" i="2"/>
  <c r="R717" i="2"/>
  <c r="AA409" i="2"/>
  <c r="AS737" i="2"/>
  <c r="AS329" i="2"/>
  <c r="AT395" i="2"/>
  <c r="AT331" i="2"/>
  <c r="AS710" i="2"/>
  <c r="AS709" i="2"/>
  <c r="AX715" i="2"/>
  <c r="AS711" i="2"/>
  <c r="AS708" i="2"/>
  <c r="AS707" i="2"/>
  <c r="AX713" i="2"/>
  <c r="AS388" i="2"/>
  <c r="AX14" i="2"/>
  <c r="AS14" i="2"/>
  <c r="X797" i="2" a="1"/>
  <c r="X797" i="2"/>
  <c r="AU405" i="2"/>
  <c r="T210" i="2"/>
  <c r="T243" i="2"/>
  <c r="T211" i="2"/>
  <c r="U211" i="2"/>
  <c r="V210" i="2"/>
  <c r="T30" i="2"/>
  <c r="X289" i="2"/>
  <c r="AZ105" i="2"/>
  <c r="BF110" i="2"/>
  <c r="AZ108" i="2"/>
  <c r="AZ120" i="2"/>
  <c r="AZ122" i="2"/>
  <c r="AU77" i="2"/>
  <c r="AU78" i="2"/>
  <c r="AU91" i="2"/>
  <c r="BJ58" i="2"/>
  <c r="BK54" i="2"/>
  <c r="AL235" i="2"/>
  <c r="AN129" i="2"/>
  <c r="AN118" i="2"/>
  <c r="AS800" i="2"/>
  <c r="AX61" i="2"/>
  <c r="AU307" i="2"/>
  <c r="BA122" i="2"/>
  <c r="BA120" i="2"/>
  <c r="BC324" i="2"/>
  <c r="BC807" i="2" a="1"/>
  <c r="BC807" i="2"/>
  <c r="P299" i="2"/>
  <c r="P302" i="2"/>
  <c r="P303" i="2"/>
  <c r="P304" i="2"/>
  <c r="BH61" i="2"/>
  <c r="Z243" i="2"/>
  <c r="AU306" i="2"/>
  <c r="Z61" i="2"/>
  <c r="AC61" i="2"/>
  <c r="Q73" i="2"/>
  <c r="U73" i="2"/>
  <c r="AH401" i="2"/>
  <c r="AH389" i="2"/>
  <c r="AH326" i="2"/>
  <c r="AH394" i="2"/>
  <c r="AH325" i="2"/>
  <c r="AU713" i="2"/>
  <c r="AD717" i="2"/>
  <c r="AA714" i="2"/>
  <c r="BE713" i="2"/>
  <c r="BJ707" i="2"/>
  <c r="BO707" i="2"/>
  <c r="X713" i="2"/>
  <c r="AY417" i="2"/>
  <c r="AY403" i="2"/>
  <c r="AY416" i="2"/>
  <c r="AK716" i="2"/>
  <c r="AZ717" i="2"/>
  <c r="S714" i="2"/>
  <c r="R713" i="2"/>
  <c r="BC329" i="2"/>
  <c r="AZ417" i="2"/>
  <c r="AZ405" i="2"/>
  <c r="AZ416" i="2"/>
  <c r="P803" i="2" a="1"/>
  <c r="P803" i="2"/>
  <c r="P409" i="2"/>
  <c r="Z395" i="2"/>
  <c r="Z331" i="2"/>
  <c r="P455" i="2"/>
  <c r="P459" i="2"/>
  <c r="AS358" i="2" a="1"/>
  <c r="AS358" i="2"/>
  <c r="AN210" i="2"/>
  <c r="AN243" i="2"/>
  <c r="AP210" i="2"/>
  <c r="AN211" i="2"/>
  <c r="AO211" i="2"/>
  <c r="AN30" i="2"/>
  <c r="AP289" i="2"/>
  <c r="BK209" i="2"/>
  <c r="BJ211" i="2"/>
  <c r="BO134" i="2"/>
  <c r="BO124" i="2"/>
  <c r="BL110" i="2"/>
  <c r="BL111" i="2"/>
  <c r="BL120" i="2"/>
  <c r="BH110" i="2"/>
  <c r="BH111" i="2"/>
  <c r="BH120" i="2"/>
  <c r="BH134" i="2"/>
  <c r="AU120" i="2"/>
  <c r="AU122" i="2"/>
  <c r="AA243" i="2"/>
  <c r="AH61" i="2"/>
  <c r="AN800" i="2"/>
  <c r="BE120" i="2"/>
  <c r="BE122" i="2"/>
  <c r="AE59" i="2"/>
  <c r="AW306" i="2"/>
  <c r="AR61" i="2"/>
  <c r="AP152" i="2"/>
  <c r="AP155" i="2"/>
  <c r="AP150" i="2"/>
  <c r="AT150" i="2"/>
  <c r="BC89" i="2"/>
  <c r="BC62" i="2"/>
  <c r="AL62" i="2"/>
  <c r="AL89" i="2"/>
  <c r="AL77" i="2"/>
  <c r="AL78" i="2"/>
  <c r="AL91" i="2"/>
  <c r="BD73" i="2"/>
  <c r="AG401" i="2"/>
  <c r="AG389" i="2"/>
  <c r="AG326" i="2"/>
  <c r="AG325" i="2"/>
  <c r="AG394" i="2"/>
  <c r="AW389" i="2"/>
  <c r="AW326" i="2"/>
  <c r="AW325" i="2"/>
  <c r="AW401" i="2"/>
  <c r="AW394" i="2"/>
  <c r="Z803" i="2" a="1"/>
  <c r="Z803" i="2"/>
  <c r="Z810" i="2"/>
  <c r="Z409" i="2"/>
  <c r="AD797" i="2" a="1"/>
  <c r="AD797" i="2"/>
  <c r="BE156" i="2"/>
  <c r="BJ155" i="2"/>
  <c r="AW732" i="2"/>
  <c r="AW723" i="2"/>
  <c r="AR381" i="2"/>
  <c r="AR217" i="2"/>
  <c r="AR11" i="2"/>
  <c r="AR31" i="2"/>
  <c r="AZ380" i="2"/>
  <c r="AZ275" i="2"/>
  <c r="BK110" i="2"/>
  <c r="BK111" i="2"/>
  <c r="BK120" i="2"/>
  <c r="BQ110" i="2"/>
  <c r="BQ111" i="2"/>
  <c r="BQ120" i="2"/>
  <c r="BK106" i="2"/>
  <c r="P59" i="2"/>
  <c r="BQ155" i="2"/>
  <c r="AB61" i="2"/>
  <c r="V89" i="2"/>
  <c r="V77" i="2"/>
  <c r="V78" i="2"/>
  <c r="V91" i="2"/>
  <c r="V62" i="2"/>
  <c r="AZ89" i="2"/>
  <c r="AZ77" i="2"/>
  <c r="AZ78" i="2"/>
  <c r="AZ91" i="2"/>
  <c r="AZ62" i="2"/>
  <c r="AU395" i="2"/>
  <c r="AU331" i="2"/>
  <c r="V243" i="2"/>
  <c r="AI395" i="2"/>
  <c r="AI331" i="2"/>
  <c r="AG732" i="2"/>
  <c r="AG723" i="2"/>
  <c r="AB381" i="2"/>
  <c r="AB217" i="2"/>
  <c r="AB289" i="2"/>
  <c r="AB11" i="2"/>
  <c r="AB31" i="2"/>
  <c r="BD10" i="2"/>
  <c r="AX733" i="2"/>
  <c r="AO72" i="2"/>
  <c r="AJ59" i="2"/>
  <c r="BB217" i="2"/>
  <c r="BB11" i="2"/>
  <c r="BB122" i="2"/>
  <c r="BB120" i="2"/>
  <c r="AV237" i="2"/>
  <c r="AV238" i="2"/>
  <c r="AV243" i="2"/>
  <c r="BG156" i="2"/>
  <c r="BJ152" i="2"/>
  <c r="AM89" i="2"/>
  <c r="AM77" i="2"/>
  <c r="AM78" i="2"/>
  <c r="AM91" i="2"/>
  <c r="AM62" i="2"/>
  <c r="V73" i="2"/>
  <c r="R77" i="2"/>
  <c r="R78" i="2"/>
  <c r="R91" i="2"/>
  <c r="BS54" i="2"/>
  <c r="BO54" i="2"/>
  <c r="BN58" i="2"/>
  <c r="AC89" i="2"/>
  <c r="AC77" i="2"/>
  <c r="AC78" i="2"/>
  <c r="AC91" i="2"/>
  <c r="AC62" i="2"/>
  <c r="AV713" i="2"/>
  <c r="AE717" i="2"/>
  <c r="AK416" i="2"/>
  <c r="BH707" i="2"/>
  <c r="BH711" i="2"/>
  <c r="BH710" i="2"/>
  <c r="BH708" i="2"/>
  <c r="BH388" i="2"/>
  <c r="BH330" i="2"/>
  <c r="BH14" i="2"/>
  <c r="AO716" i="2"/>
  <c r="U715" i="2"/>
  <c r="AY715" i="2"/>
  <c r="AQ803" i="2" a="1"/>
  <c r="AQ803" i="2"/>
  <c r="AQ409" i="2"/>
  <c r="AG713" i="2"/>
  <c r="AA417" i="2"/>
  <c r="AW710" i="2"/>
  <c r="AW716" i="2"/>
  <c r="AP409" i="2"/>
  <c r="BI395" i="2"/>
  <c r="BI331" i="2"/>
  <c r="BF395" i="2"/>
  <c r="BF331" i="2"/>
  <c r="AT210" i="2"/>
  <c r="AU211" i="2"/>
  <c r="AY211" i="2"/>
  <c r="AS209" i="2"/>
  <c r="AP797" i="2" a="1"/>
  <c r="AP797" i="2"/>
  <c r="BE409" i="2"/>
  <c r="BH381" i="2"/>
  <c r="BH290" i="2"/>
  <c r="BI290" i="2"/>
  <c r="BI29" i="2"/>
  <c r="BM29" i="2"/>
  <c r="BH31" i="2"/>
  <c r="AS145" i="2"/>
  <c r="AS144" i="2"/>
  <c r="AS129" i="2"/>
  <c r="AS118" i="2"/>
  <c r="BE289" i="2"/>
  <c r="BE217" i="2"/>
  <c r="BI30" i="2"/>
  <c r="BE11" i="2"/>
  <c r="AL381" i="2"/>
  <c r="AL217" i="2"/>
  <c r="AL31" i="2"/>
  <c r="AL11" i="2"/>
  <c r="BG122" i="2"/>
  <c r="BG120" i="2"/>
  <c r="BG134" i="2"/>
  <c r="BG126" i="2"/>
  <c r="BG127" i="2"/>
  <c r="BG136" i="2"/>
  <c r="AV306" i="2"/>
  <c r="BC156" i="2"/>
  <c r="BK11" i="16"/>
  <c r="BK16" i="16" s="1"/>
  <c r="BA14" i="17"/>
  <c r="BL11" i="16"/>
  <c r="BL16" i="16" s="1"/>
  <c r="BJ11" i="16"/>
  <c r="BJ16" i="16" s="1"/>
  <c r="BI11" i="16"/>
  <c r="BI16" i="16" s="1"/>
  <c r="BH4" i="16"/>
  <c r="BH8" i="16"/>
  <c r="AM43" i="11"/>
  <c r="AM44" i="11"/>
  <c r="AM29" i="11"/>
  <c r="AN26" i="11"/>
  <c r="AN28" i="11"/>
  <c r="AN43" i="11"/>
  <c r="AC71" i="9"/>
  <c r="AD70" i="9"/>
  <c r="AZ716" i="2"/>
  <c r="U796" i="2" a="1"/>
  <c r="U796" i="2"/>
  <c r="U331" i="2"/>
  <c r="U416" i="2"/>
  <c r="U417" i="2"/>
  <c r="BL707" i="2"/>
  <c r="BQ707" i="2"/>
  <c r="BJ708" i="2"/>
  <c r="BO708" i="2"/>
  <c r="AO74" i="2"/>
  <c r="AX389" i="2"/>
  <c r="AX326" i="2"/>
  <c r="AW696" i="2"/>
  <c r="AU739" i="2"/>
  <c r="AW514" i="2"/>
  <c r="AW515" i="2"/>
  <c r="AW516" i="2"/>
  <c r="AW517" i="2"/>
  <c r="AW497" i="2"/>
  <c r="AY121" i="2"/>
  <c r="BI494" i="2"/>
  <c r="BJ134" i="2"/>
  <c r="BJ126" i="2"/>
  <c r="AN804" i="2"/>
  <c r="AW494" i="2"/>
  <c r="AX401" i="2"/>
  <c r="AX405" i="2"/>
  <c r="AZ803" i="2" a="1"/>
  <c r="AZ803" i="2"/>
  <c r="BI122" i="2"/>
  <c r="BI123" i="2"/>
  <c r="BI114" i="2"/>
  <c r="X803" i="2" a="1"/>
  <c r="X803" i="2"/>
  <c r="AU717" i="2"/>
  <c r="BL711" i="2"/>
  <c r="BQ711" i="2"/>
  <c r="AL289" i="2"/>
  <c r="AX696" i="2"/>
  <c r="AH804" i="2"/>
  <c r="AI793" i="2"/>
  <c r="BI696" i="2"/>
  <c r="AS716" i="2"/>
  <c r="AK289" i="2"/>
  <c r="BF696" i="2"/>
  <c r="BH156" i="2"/>
  <c r="AA722" i="2"/>
  <c r="AA723" i="2"/>
  <c r="AA739" i="2"/>
  <c r="AJ30" i="2"/>
  <c r="AS739" i="2"/>
  <c r="Z73" i="2"/>
  <c r="Z74" i="2"/>
  <c r="AW714" i="2"/>
  <c r="BJ711" i="2"/>
  <c r="BO711" i="2"/>
  <c r="AA803" i="2" a="1"/>
  <c r="AA803" i="2"/>
  <c r="BB134" i="2"/>
  <c r="BB126" i="2"/>
  <c r="BB127" i="2"/>
  <c r="BB136" i="2"/>
  <c r="BB137" i="2"/>
  <c r="AF804" i="2"/>
  <c r="AC804" i="2"/>
  <c r="AW92" i="2"/>
  <c r="AW79" i="2"/>
  <c r="AQ696" i="2"/>
  <c r="BL709" i="2"/>
  <c r="BQ709" i="2"/>
  <c r="BE110" i="2"/>
  <c r="AS714" i="2"/>
  <c r="AJ696" i="2"/>
  <c r="AG696" i="2"/>
  <c r="AS717" i="2"/>
  <c r="BD30" i="2"/>
  <c r="AC510" i="2"/>
  <c r="AC511" i="2"/>
  <c r="AC512" i="2"/>
  <c r="AC513" i="2"/>
  <c r="AC496" i="2"/>
  <c r="AW717" i="2"/>
  <c r="AC495" i="2"/>
  <c r="AC696" i="2"/>
  <c r="BB716" i="2"/>
  <c r="P696" i="2"/>
  <c r="BM779" i="2"/>
  <c r="BL560" i="2"/>
  <c r="BG289" i="2"/>
  <c r="BN777" i="2"/>
  <c r="BM524" i="2"/>
  <c r="BD816" i="2" a="1"/>
  <c r="BD816" i="2"/>
  <c r="BC809" i="2" a="1"/>
  <c r="BC809" i="2"/>
  <c r="BN120" i="2"/>
  <c r="BB696" i="2"/>
  <c r="AO715" i="2"/>
  <c r="AE796" i="2" a="1"/>
  <c r="AE796" i="2"/>
  <c r="AE797" i="2" a="1"/>
  <c r="AE797" i="2"/>
  <c r="BD496" i="2"/>
  <c r="BD510" i="2"/>
  <c r="BD511" i="2"/>
  <c r="BD512" i="2"/>
  <c r="BD513" i="2"/>
  <c r="BD497" i="2"/>
  <c r="BD545" i="2"/>
  <c r="BD514" i="2"/>
  <c r="BD515" i="2"/>
  <c r="BD516" i="2"/>
  <c r="BD517" i="2"/>
  <c r="BD494" i="2"/>
  <c r="AY405" i="2"/>
  <c r="BD803" i="2" a="1"/>
  <c r="BD803" i="2"/>
  <c r="AG496" i="2"/>
  <c r="AG510" i="2"/>
  <c r="AG511" i="2"/>
  <c r="AG512" i="2"/>
  <c r="AG513" i="2"/>
  <c r="BD696" i="2"/>
  <c r="AG514" i="2"/>
  <c r="AG515" i="2"/>
  <c r="AG516" i="2"/>
  <c r="AG517" i="2"/>
  <c r="AG494" i="2"/>
  <c r="AG497" i="2"/>
  <c r="AY696" i="2"/>
  <c r="AE71" i="2"/>
  <c r="AE62" i="2"/>
  <c r="AE65" i="2"/>
  <c r="BN124" i="2"/>
  <c r="BO57" i="2"/>
  <c r="V67" i="2"/>
  <c r="V92" i="2"/>
  <c r="AZ134" i="2"/>
  <c r="AZ126" i="2"/>
  <c r="AZ127" i="2"/>
  <c r="AZ136" i="2"/>
  <c r="AZ111" i="2"/>
  <c r="AG92" i="2"/>
  <c r="AG67" i="2"/>
  <c r="BF67" i="2"/>
  <c r="BF92" i="2"/>
  <c r="AE534" i="2"/>
  <c r="AE332" i="2"/>
  <c r="AE414" i="2"/>
  <c r="AE421" i="2"/>
  <c r="AE543" i="2"/>
  <c r="AE411" i="2"/>
  <c r="AE420" i="2"/>
  <c r="AE419" i="2"/>
  <c r="AG289" i="2"/>
  <c r="AS510" i="2"/>
  <c r="AS511" i="2"/>
  <c r="AS512" i="2"/>
  <c r="AS513" i="2"/>
  <c r="AS496" i="2"/>
  <c r="U74" i="2"/>
  <c r="V534" i="2"/>
  <c r="V332" i="2"/>
  <c r="BO153" i="2"/>
  <c r="BP148" i="2"/>
  <c r="BA280" i="2"/>
  <c r="BC389" i="2"/>
  <c r="BC326" i="2"/>
  <c r="BC394" i="2"/>
  <c r="BC401" i="2"/>
  <c r="BC325" i="2"/>
  <c r="BK151" i="2"/>
  <c r="BK152" i="2"/>
  <c r="BB409" i="2"/>
  <c r="BB797" i="2" a="1"/>
  <c r="BB797" i="2"/>
  <c r="BB796" i="2" a="1"/>
  <c r="BB796" i="2"/>
  <c r="S67" i="2"/>
  <c r="S92" i="2"/>
  <c r="U696" i="2"/>
  <c r="AV696" i="2"/>
  <c r="AI806" i="2" a="1"/>
  <c r="AI806" i="2"/>
  <c r="AI738" i="2"/>
  <c r="AJ816" i="2" a="1"/>
  <c r="AJ816" i="2"/>
  <c r="AI809" i="2" a="1"/>
  <c r="AI809" i="2"/>
  <c r="AO510" i="2"/>
  <c r="AO511" i="2"/>
  <c r="AO512" i="2"/>
  <c r="AO513" i="2"/>
  <c r="AO496" i="2"/>
  <c r="P816" i="2" a="1"/>
  <c r="P816" i="2"/>
  <c r="BS806" i="2" a="1"/>
  <c r="BS806" i="2"/>
  <c r="BS738" i="2"/>
  <c r="AE535" i="2"/>
  <c r="BS57" i="2"/>
  <c r="AO71" i="2"/>
  <c r="AO62" i="2"/>
  <c r="AO65" i="2"/>
  <c r="AZ316" i="2"/>
  <c r="AZ317" i="2"/>
  <c r="AZ314" i="2"/>
  <c r="AZ315" i="2"/>
  <c r="AZ313" i="2"/>
  <c r="AW395" i="2"/>
  <c r="AW331" i="2"/>
  <c r="BL134" i="2"/>
  <c r="BL126" i="2"/>
  <c r="BL127" i="2"/>
  <c r="BL124" i="2"/>
  <c r="AS401" i="2"/>
  <c r="AS394" i="2"/>
  <c r="AS389" i="2"/>
  <c r="AS326" i="2"/>
  <c r="AS325" i="2"/>
  <c r="BT106" i="2"/>
  <c r="BT108" i="2"/>
  <c r="BU110" i="2"/>
  <c r="BU111" i="2"/>
  <c r="BU120" i="2"/>
  <c r="AD67" i="2"/>
  <c r="AD92" i="2"/>
  <c r="AH380" i="2"/>
  <c r="AH275" i="2"/>
  <c r="AH12" i="2"/>
  <c r="AT803" i="2" a="1"/>
  <c r="AT803" i="2"/>
  <c r="AT409" i="2"/>
  <c r="AT797" i="2" a="1"/>
  <c r="AT797" i="2"/>
  <c r="AT796" i="2" a="1"/>
  <c r="AT796" i="2"/>
  <c r="AU276" i="2"/>
  <c r="AU281" i="2"/>
  <c r="AF316" i="2"/>
  <c r="AF317" i="2"/>
  <c r="AF315" i="2"/>
  <c r="AF313" i="2"/>
  <c r="AF314" i="2"/>
  <c r="U30" i="2"/>
  <c r="Z11" i="2"/>
  <c r="S419" i="2"/>
  <c r="S414" i="2"/>
  <c r="S421" i="2"/>
  <c r="S411" i="2"/>
  <c r="AS514" i="2"/>
  <c r="AS515" i="2"/>
  <c r="AS516" i="2"/>
  <c r="AS517" i="2"/>
  <c r="AS497" i="2"/>
  <c r="AS494" i="2"/>
  <c r="X534" i="2"/>
  <c r="X332" i="2"/>
  <c r="BA189" i="2"/>
  <c r="BG331" i="2"/>
  <c r="BG395" i="2"/>
  <c r="AV717" i="2"/>
  <c r="BL89" i="2"/>
  <c r="BL77" i="2"/>
  <c r="BL78" i="2"/>
  <c r="BL75" i="2"/>
  <c r="Y534" i="2"/>
  <c r="Y332" i="2"/>
  <c r="AO534" i="2"/>
  <c r="AO332" i="2"/>
  <c r="AS804" i="2"/>
  <c r="AS793" i="2"/>
  <c r="AR804" i="2"/>
  <c r="AU804" i="2"/>
  <c r="AE510" i="2"/>
  <c r="AE511" i="2"/>
  <c r="AE512" i="2"/>
  <c r="AE513" i="2"/>
  <c r="AE496" i="2"/>
  <c r="AO495" i="2"/>
  <c r="AO696" i="2"/>
  <c r="AM510" i="2"/>
  <c r="AM511" i="2"/>
  <c r="AM512" i="2"/>
  <c r="AM513" i="2"/>
  <c r="AM496" i="2"/>
  <c r="BN784" i="2"/>
  <c r="BG696" i="2"/>
  <c r="AL380" i="2"/>
  <c r="AL188" i="2"/>
  <c r="AL275" i="2"/>
  <c r="AL12" i="2"/>
  <c r="BE414" i="2"/>
  <c r="BE421" i="2"/>
  <c r="BE411" i="2"/>
  <c r="BE419" i="2"/>
  <c r="AR380" i="2"/>
  <c r="AR275" i="2"/>
  <c r="AR188" i="2"/>
  <c r="AR12" i="2"/>
  <c r="AW405" i="2"/>
  <c r="AV803" i="2" a="1"/>
  <c r="AV803" i="2"/>
  <c r="AW417" i="2"/>
  <c r="AW416" i="2"/>
  <c r="Z534" i="2"/>
  <c r="Z332" i="2"/>
  <c r="AL242" i="2"/>
  <c r="AS713" i="2"/>
  <c r="BH217" i="2"/>
  <c r="BI217" i="2"/>
  <c r="BI276" i="2"/>
  <c r="BI281" i="2"/>
  <c r="BH289" i="2"/>
  <c r="BH11" i="2"/>
  <c r="AK92" i="2"/>
  <c r="AK67" i="2"/>
  <c r="AO91" i="2"/>
  <c r="Q380" i="2"/>
  <c r="Q275" i="2"/>
  <c r="Q284" i="2"/>
  <c r="AQ380" i="2"/>
  <c r="AQ275" i="2"/>
  <c r="AQ12" i="2"/>
  <c r="BA316" i="2"/>
  <c r="BA317" i="2"/>
  <c r="BA315" i="2"/>
  <c r="BA314" i="2"/>
  <c r="BA313" i="2"/>
  <c r="BG405" i="2"/>
  <c r="BG417" i="2"/>
  <c r="BG416" i="2"/>
  <c r="AJ395" i="2"/>
  <c r="AJ331" i="2"/>
  <c r="BL920" i="2" a="1"/>
  <c r="BL920" i="2"/>
  <c r="BL890" i="2" a="1"/>
  <c r="BL890" i="2"/>
  <c r="BM4" i="2"/>
  <c r="AR534" i="2"/>
  <c r="AR332" i="2"/>
  <c r="U166" i="2"/>
  <c r="U169" i="2"/>
  <c r="Q166" i="2"/>
  <c r="Q169" i="2"/>
  <c r="R166" i="2"/>
  <c r="R169" i="2"/>
  <c r="S166" i="2"/>
  <c r="S169" i="2"/>
  <c r="T166" i="2"/>
  <c r="T169" i="2"/>
  <c r="Y803" i="2" a="1"/>
  <c r="Y803" i="2"/>
  <c r="Y409" i="2"/>
  <c r="Y797" i="2" a="1"/>
  <c r="Y797" i="2"/>
  <c r="P510" i="2"/>
  <c r="P511" i="2"/>
  <c r="P512" i="2"/>
  <c r="P513" i="2"/>
  <c r="P496" i="2"/>
  <c r="AE495" i="2"/>
  <c r="AE696" i="2"/>
  <c r="Z510" i="2"/>
  <c r="Z511" i="2"/>
  <c r="Z512" i="2"/>
  <c r="Z513" i="2"/>
  <c r="Z496" i="2"/>
  <c r="U496" i="2"/>
  <c r="U510" i="2"/>
  <c r="U511" i="2"/>
  <c r="U512" i="2"/>
  <c r="U513" i="2"/>
  <c r="W510" i="2"/>
  <c r="W511" i="2"/>
  <c r="W512" i="2"/>
  <c r="W513" i="2"/>
  <c r="W496" i="2"/>
  <c r="AM495" i="2"/>
  <c r="AM696" i="2"/>
  <c r="S696" i="2"/>
  <c r="AK514" i="2"/>
  <c r="AK515" i="2"/>
  <c r="AK516" i="2"/>
  <c r="AK517" i="2"/>
  <c r="AK494" i="2"/>
  <c r="AK497" i="2"/>
  <c r="AD806" i="2" a="1"/>
  <c r="AD806" i="2"/>
  <c r="AD738" i="2"/>
  <c r="AE816" i="2" a="1"/>
  <c r="AE816" i="2"/>
  <c r="AD809" i="2" a="1"/>
  <c r="AD809" i="2"/>
  <c r="AH510" i="2"/>
  <c r="AH511" i="2"/>
  <c r="AH512" i="2"/>
  <c r="AH513" i="2"/>
  <c r="AH496" i="2"/>
  <c r="BH715" i="2"/>
  <c r="AJ496" i="2"/>
  <c r="AJ510" i="2"/>
  <c r="AJ511" i="2"/>
  <c r="AJ512" i="2"/>
  <c r="AJ513" i="2"/>
  <c r="R395" i="2"/>
  <c r="R331" i="2"/>
  <c r="AQ414" i="2"/>
  <c r="AQ421" i="2"/>
  <c r="AQ411" i="2"/>
  <c r="AQ419" i="2"/>
  <c r="BH401" i="2"/>
  <c r="BH394" i="2"/>
  <c r="BH389" i="2"/>
  <c r="BH326" i="2"/>
  <c r="BH325" i="2"/>
  <c r="R67" i="2"/>
  <c r="R92" i="2"/>
  <c r="BI71" i="2"/>
  <c r="BI62" i="2"/>
  <c r="BI65" i="2"/>
  <c r="P419" i="2"/>
  <c r="P414" i="2"/>
  <c r="P421" i="2"/>
  <c r="P543" i="2"/>
  <c r="P411" i="2"/>
  <c r="P420" i="2"/>
  <c r="BD105" i="2"/>
  <c r="AZ110" i="2"/>
  <c r="BD110" i="2"/>
  <c r="BC110" i="2"/>
  <c r="BC111" i="2"/>
  <c r="BC120" i="2"/>
  <c r="BC134" i="2"/>
  <c r="BC126" i="2"/>
  <c r="BC127" i="2"/>
  <c r="BC136" i="2"/>
  <c r="AA419" i="2"/>
  <c r="AA414" i="2"/>
  <c r="AA421" i="2"/>
  <c r="AA411" i="2"/>
  <c r="R284" i="2"/>
  <c r="R380" i="2"/>
  <c r="R275" i="2"/>
  <c r="AN239" i="2"/>
  <c r="AS185" i="2"/>
  <c r="AD534" i="2"/>
  <c r="AD332" i="2"/>
  <c r="U419" i="2"/>
  <c r="U414" i="2"/>
  <c r="U421" i="2"/>
  <c r="U543" i="2"/>
  <c r="U411" i="2"/>
  <c r="U420" i="2"/>
  <c r="AC534" i="2"/>
  <c r="AC332" i="2"/>
  <c r="AV280" i="2"/>
  <c r="AV277" i="2"/>
  <c r="Q276" i="2"/>
  <c r="Q281" i="2"/>
  <c r="AX714" i="2"/>
  <c r="AD164" i="2"/>
  <c r="AX717" i="2"/>
  <c r="Y89" i="2"/>
  <c r="Y77" i="2"/>
  <c r="Y78" i="2"/>
  <c r="Y91" i="2"/>
  <c r="Y62" i="2"/>
  <c r="AL239" i="2"/>
  <c r="AL244" i="2"/>
  <c r="AQ185" i="2"/>
  <c r="BA414" i="2"/>
  <c r="BA421" i="2"/>
  <c r="BA411" i="2"/>
  <c r="BA419" i="2"/>
  <c r="AV134" i="2"/>
  <c r="AV126" i="2"/>
  <c r="AV127" i="2"/>
  <c r="AV136" i="2"/>
  <c r="AV111" i="2"/>
  <c r="AC380" i="2"/>
  <c r="AC275" i="2"/>
  <c r="AC284" i="2"/>
  <c r="AC12" i="2"/>
  <c r="P514" i="2"/>
  <c r="P494" i="2"/>
  <c r="P497" i="2"/>
  <c r="P545" i="2"/>
  <c r="Z497" i="2"/>
  <c r="Z545" i="2"/>
  <c r="Z514" i="2"/>
  <c r="Z494" i="2"/>
  <c r="U514" i="2"/>
  <c r="U494" i="2"/>
  <c r="U497" i="2"/>
  <c r="U545" i="2"/>
  <c r="W495" i="2"/>
  <c r="W696" i="2"/>
  <c r="BF510" i="2"/>
  <c r="BF511" i="2"/>
  <c r="BF512" i="2"/>
  <c r="BF513" i="2"/>
  <c r="BF496" i="2"/>
  <c r="AH494" i="2"/>
  <c r="AH514" i="2"/>
  <c r="AH515" i="2"/>
  <c r="AH516" i="2"/>
  <c r="AH517" i="2"/>
  <c r="AH497" i="2"/>
  <c r="AJ514" i="2"/>
  <c r="AJ494" i="2"/>
  <c r="AJ497" i="2"/>
  <c r="AJ545" i="2"/>
  <c r="R405" i="2"/>
  <c r="S803" i="2" a="1"/>
  <c r="S803" i="2"/>
  <c r="R417" i="2"/>
  <c r="R416" i="2"/>
  <c r="AL276" i="2"/>
  <c r="AL281" i="2"/>
  <c r="AE91" i="2"/>
  <c r="AA67" i="2"/>
  <c r="AA92" i="2"/>
  <c r="BH714" i="2"/>
  <c r="BM708" i="2"/>
  <c r="BR708" i="2"/>
  <c r="AR289" i="2"/>
  <c r="AX217" i="2"/>
  <c r="AY217" i="2"/>
  <c r="AY276" i="2"/>
  <c r="AY281" i="2"/>
  <c r="AX289" i="2"/>
  <c r="AX31" i="2"/>
  <c r="AX381" i="2"/>
  <c r="AH276" i="2"/>
  <c r="AH281" i="2"/>
  <c r="X380" i="2"/>
  <c r="X275" i="2"/>
  <c r="X12" i="2"/>
  <c r="AD289" i="2"/>
  <c r="AD217" i="2"/>
  <c r="AH285" i="2"/>
  <c r="AD11" i="2"/>
  <c r="AD381" i="2"/>
  <c r="AD31" i="2"/>
  <c r="AF289" i="2"/>
  <c r="AF414" i="2"/>
  <c r="AF421" i="2"/>
  <c r="AF419" i="2"/>
  <c r="AF411" i="2"/>
  <c r="BG380" i="2"/>
  <c r="BG275" i="2"/>
  <c r="BG188" i="2"/>
  <c r="BG12" i="2"/>
  <c r="AX716" i="2"/>
  <c r="W419" i="2"/>
  <c r="W414" i="2"/>
  <c r="W421" i="2"/>
  <c r="W411" i="2"/>
  <c r="AA380" i="2"/>
  <c r="AA275" i="2"/>
  <c r="AA284" i="2"/>
  <c r="AA12" i="2"/>
  <c r="AV92" i="2"/>
  <c r="AV67" i="2"/>
  <c r="AQ289" i="2"/>
  <c r="AM534" i="2"/>
  <c r="AM332" i="2"/>
  <c r="BA803" i="2" a="1"/>
  <c r="BA803" i="2"/>
  <c r="BF134" i="2"/>
  <c r="BF126" i="2"/>
  <c r="BF127" i="2"/>
  <c r="BF136" i="2"/>
  <c r="BF111" i="2"/>
  <c r="AT74" i="2"/>
  <c r="AW715" i="2"/>
  <c r="BB496" i="2"/>
  <c r="BB510" i="2"/>
  <c r="BB511" i="2"/>
  <c r="BB512" i="2"/>
  <c r="BB513" i="2"/>
  <c r="AP510" i="2"/>
  <c r="AP511" i="2"/>
  <c r="AP512" i="2"/>
  <c r="AP513" i="2"/>
  <c r="AP496" i="2"/>
  <c r="BF497" i="2"/>
  <c r="BF514" i="2"/>
  <c r="BF515" i="2"/>
  <c r="BF516" i="2"/>
  <c r="BF517" i="2"/>
  <c r="BF494" i="2"/>
  <c r="BL776" i="2"/>
  <c r="BM522" i="2"/>
  <c r="BM776" i="2"/>
  <c r="BN776" i="2"/>
  <c r="Q510" i="2"/>
  <c r="Q511" i="2"/>
  <c r="Q512" i="2"/>
  <c r="Q513" i="2"/>
  <c r="Q496" i="2"/>
  <c r="AU210" i="2"/>
  <c r="AS210" i="2"/>
  <c r="AS243" i="2"/>
  <c r="AS211" i="2"/>
  <c r="AT211" i="2"/>
  <c r="AS30" i="2"/>
  <c r="AX11" i="2"/>
  <c r="BM710" i="2"/>
  <c r="BR710" i="2"/>
  <c r="BH716" i="2"/>
  <c r="AR276" i="2"/>
  <c r="AR281" i="2"/>
  <c r="AG395" i="2"/>
  <c r="AG331" i="2"/>
  <c r="P810" i="2"/>
  <c r="AS715" i="2"/>
  <c r="BC77" i="2"/>
  <c r="BC78" i="2"/>
  <c r="BC91" i="2"/>
  <c r="BQ29" i="2"/>
  <c r="AH67" i="2"/>
  <c r="AH92" i="2"/>
  <c r="AS244" i="2"/>
  <c r="AS245" i="2"/>
  <c r="AS240" i="2"/>
  <c r="AB803" i="2" a="1"/>
  <c r="AB803" i="2"/>
  <c r="AB409" i="2"/>
  <c r="AB797" i="2" a="1"/>
  <c r="AB797" i="2"/>
  <c r="AB796" i="2" a="1"/>
  <c r="AB796" i="2"/>
  <c r="BA276" i="2"/>
  <c r="BA281" i="2"/>
  <c r="AX71" i="2"/>
  <c r="AX73" i="2"/>
  <c r="AY73" i="2"/>
  <c r="AY74" i="2"/>
  <c r="W380" i="2"/>
  <c r="W275" i="2"/>
  <c r="W12" i="2"/>
  <c r="AQ276" i="2"/>
  <c r="AQ281" i="2"/>
  <c r="AP380" i="2"/>
  <c r="AP275" i="2"/>
  <c r="AP12" i="2"/>
  <c r="BD414" i="2"/>
  <c r="BD421" i="2"/>
  <c r="BD543" i="2"/>
  <c r="BD419" i="2"/>
  <c r="BD411" i="2"/>
  <c r="BD420" i="2"/>
  <c r="BE92" i="2"/>
  <c r="BE67" i="2"/>
  <c r="BF276" i="2"/>
  <c r="BF281" i="2"/>
  <c r="AR409" i="2"/>
  <c r="AR797" i="2" a="1"/>
  <c r="AR797" i="2"/>
  <c r="AR796" i="2" a="1"/>
  <c r="AR796" i="2"/>
  <c r="AJ405" i="2"/>
  <c r="AJ416" i="2"/>
  <c r="AJ417" i="2"/>
  <c r="AI419" i="2"/>
  <c r="AI414" i="2"/>
  <c r="AI421" i="2"/>
  <c r="AI411" i="2"/>
  <c r="AC285" i="2"/>
  <c r="AC294" i="2"/>
  <c r="AC276" i="2"/>
  <c r="AC281" i="2"/>
  <c r="AV715" i="2"/>
  <c r="BB514" i="2"/>
  <c r="BB515" i="2"/>
  <c r="BB516" i="2"/>
  <c r="BB517" i="2"/>
  <c r="BB494" i="2"/>
  <c r="BB497" i="2"/>
  <c r="Y658" i="2"/>
  <c r="Y493" i="2"/>
  <c r="AP495" i="2"/>
  <c r="AB510" i="2"/>
  <c r="AB511" i="2"/>
  <c r="AB512" i="2"/>
  <c r="AB513" i="2"/>
  <c r="AB496" i="2"/>
  <c r="AT696" i="2"/>
  <c r="AT801" i="2" a="1"/>
  <c r="AT801" i="2"/>
  <c r="T658" i="2"/>
  <c r="T493" i="2"/>
  <c r="Q495" i="2"/>
  <c r="AU510" i="2"/>
  <c r="AU511" i="2"/>
  <c r="AU512" i="2"/>
  <c r="AU513" i="2"/>
  <c r="AU496" i="2"/>
  <c r="BH717" i="2"/>
  <c r="BM711" i="2"/>
  <c r="BR711" i="2"/>
  <c r="AM67" i="2"/>
  <c r="AM92" i="2"/>
  <c r="AB380" i="2"/>
  <c r="AB275" i="2"/>
  <c r="AB284" i="2"/>
  <c r="AB12" i="2"/>
  <c r="AI534" i="2"/>
  <c r="AI332" i="2"/>
  <c r="T217" i="2"/>
  <c r="U217" i="2"/>
  <c r="U276" i="2"/>
  <c r="U281" i="2"/>
  <c r="T289" i="2"/>
  <c r="T31" i="2"/>
  <c r="Y12" i="2"/>
  <c r="T381" i="2"/>
  <c r="BB67" i="2"/>
  <c r="BB92" i="2"/>
  <c r="X276" i="2"/>
  <c r="X281" i="2"/>
  <c r="AD419" i="2"/>
  <c r="AD411" i="2"/>
  <c r="AD414" i="2"/>
  <c r="AD421" i="2"/>
  <c r="AV316" i="2"/>
  <c r="AV317" i="2"/>
  <c r="AV314" i="2"/>
  <c r="AV315" i="2"/>
  <c r="AV313" i="2"/>
  <c r="BA289" i="2"/>
  <c r="AE30" i="2"/>
  <c r="W289" i="2"/>
  <c r="Q395" i="2"/>
  <c r="Q331" i="2"/>
  <c r="AP67" i="2"/>
  <c r="AP92" i="2"/>
  <c r="AQ510" i="2"/>
  <c r="AQ511" i="2"/>
  <c r="AQ512" i="2"/>
  <c r="AQ513" i="2"/>
  <c r="AQ496" i="2"/>
  <c r="AC803" i="2" a="1"/>
  <c r="AC803" i="2"/>
  <c r="AC409" i="2"/>
  <c r="AC797" i="2" a="1"/>
  <c r="AC797" i="2"/>
  <c r="AC796" i="2" a="1"/>
  <c r="AC796" i="2"/>
  <c r="AB497" i="2"/>
  <c r="AB514" i="2"/>
  <c r="AB515" i="2"/>
  <c r="AB516" i="2"/>
  <c r="AB517" i="2"/>
  <c r="AB494" i="2"/>
  <c r="AS696" i="2"/>
  <c r="AR696" i="2"/>
  <c r="AU495" i="2"/>
  <c r="AU696" i="2"/>
  <c r="BH713" i="2"/>
  <c r="BM707" i="2"/>
  <c r="BR707" i="2"/>
  <c r="Q77" i="2"/>
  <c r="Q78" i="2"/>
  <c r="Q91" i="2"/>
  <c r="AS155" i="2"/>
  <c r="AA534" i="2"/>
  <c r="AA332" i="2"/>
  <c r="BP103" i="2"/>
  <c r="BO107" i="2"/>
  <c r="AZ534" i="2"/>
  <c r="AZ332" i="2"/>
  <c r="AB92" i="2"/>
  <c r="AB67" i="2"/>
  <c r="S380" i="2"/>
  <c r="S284" i="2"/>
  <c r="S275" i="2"/>
  <c r="AF92" i="2"/>
  <c r="AF67" i="2"/>
  <c r="AB534" i="2"/>
  <c r="AB332" i="2"/>
  <c r="BG92" i="2"/>
  <c r="BG67" i="2"/>
  <c r="W276" i="2"/>
  <c r="W281" i="2"/>
  <c r="Q405" i="2"/>
  <c r="Q417" i="2"/>
  <c r="Q416" i="2"/>
  <c r="AZ289" i="2"/>
  <c r="AW137" i="2"/>
  <c r="AW116" i="2"/>
  <c r="AW713" i="2"/>
  <c r="AQ514" i="2"/>
  <c r="AQ515" i="2"/>
  <c r="AQ516" i="2"/>
  <c r="AQ517" i="2"/>
  <c r="AQ497" i="2"/>
  <c r="AQ494" i="2"/>
  <c r="BG510" i="2"/>
  <c r="BG511" i="2"/>
  <c r="BG512" i="2"/>
  <c r="BG513" i="2"/>
  <c r="BG496" i="2"/>
  <c r="AD510" i="2"/>
  <c r="AD511" i="2"/>
  <c r="AD512" i="2"/>
  <c r="AD513" i="2"/>
  <c r="AD496" i="2"/>
  <c r="V496" i="2"/>
  <c r="V510" i="2"/>
  <c r="V511" i="2"/>
  <c r="V512" i="2"/>
  <c r="V513" i="2"/>
  <c r="AZ496" i="2"/>
  <c r="AZ510" i="2"/>
  <c r="AZ511" i="2"/>
  <c r="AZ512" i="2"/>
  <c r="AZ513" i="2"/>
  <c r="AL696" i="2"/>
  <c r="AG405" i="2"/>
  <c r="AL803" i="2" a="1"/>
  <c r="AL803" i="2"/>
  <c r="AG417" i="2"/>
  <c r="AG416" i="2"/>
  <c r="BI120" i="2"/>
  <c r="BI111" i="2"/>
  <c r="BE134" i="2"/>
  <c r="BE126" i="2"/>
  <c r="BE127" i="2"/>
  <c r="BE136" i="2"/>
  <c r="BE111" i="2"/>
  <c r="BL209" i="2"/>
  <c r="BK211" i="2"/>
  <c r="W534" i="2"/>
  <c r="W332" i="2"/>
  <c r="T803" i="2" a="1"/>
  <c r="T803" i="2"/>
  <c r="T409" i="2"/>
  <c r="T797" i="2" a="1"/>
  <c r="T797" i="2"/>
  <c r="BA92" i="2"/>
  <c r="BA67" i="2"/>
  <c r="BT151" i="2"/>
  <c r="BT152" i="2"/>
  <c r="AA276" i="2"/>
  <c r="AA281" i="2"/>
  <c r="AA285" i="2"/>
  <c r="AA294" i="2"/>
  <c r="AZ276" i="2"/>
  <c r="AZ281" i="2"/>
  <c r="AO713" i="2"/>
  <c r="BO89" i="2"/>
  <c r="BO75" i="2"/>
  <c r="AT153" i="2"/>
  <c r="AU148" i="2"/>
  <c r="AY148" i="2"/>
  <c r="AY153" i="2"/>
  <c r="Z381" i="2"/>
  <c r="Z31" i="2"/>
  <c r="BK75" i="2"/>
  <c r="BK89" i="2"/>
  <c r="BK77" i="2"/>
  <c r="BK78" i="2"/>
  <c r="BB534" i="2"/>
  <c r="BB332" i="2"/>
  <c r="Z696" i="2"/>
  <c r="Z801" i="2" a="1"/>
  <c r="Z801" i="2"/>
  <c r="BG514" i="2"/>
  <c r="BG515" i="2"/>
  <c r="BG516" i="2"/>
  <c r="BG517" i="2"/>
  <c r="BG494" i="2"/>
  <c r="BG497" i="2"/>
  <c r="AM409" i="2"/>
  <c r="AM796" i="2" a="1"/>
  <c r="AM796" i="2"/>
  <c r="AM797" i="2" a="1"/>
  <c r="AM797" i="2"/>
  <c r="AD514" i="2"/>
  <c r="AD515" i="2"/>
  <c r="AD516" i="2"/>
  <c r="AD517" i="2"/>
  <c r="AD497" i="2"/>
  <c r="AD494" i="2"/>
  <c r="V495" i="2"/>
  <c r="AZ495" i="2"/>
  <c r="AZ696" i="2"/>
  <c r="AB276" i="2"/>
  <c r="AB281" i="2"/>
  <c r="AB285" i="2"/>
  <c r="AB294" i="2"/>
  <c r="BL103" i="2"/>
  <c r="BK107" i="2"/>
  <c r="AN217" i="2"/>
  <c r="AP285" i="2"/>
  <c r="AN289" i="2"/>
  <c r="AN11" i="2"/>
  <c r="AN381" i="2"/>
  <c r="AN31" i="2"/>
  <c r="AR284" i="2"/>
  <c r="AZ409" i="2"/>
  <c r="AZ797" i="2" a="1"/>
  <c r="AZ797" i="2"/>
  <c r="AZ796" i="2" a="1"/>
  <c r="AZ796" i="2"/>
  <c r="BM136" i="2"/>
  <c r="BM128" i="2"/>
  <c r="BP155" i="2"/>
  <c r="BB280" i="2"/>
  <c r="Y11" i="2"/>
  <c r="BO29" i="2"/>
  <c r="AP276" i="2"/>
  <c r="AP281" i="2"/>
  <c r="AK534" i="2"/>
  <c r="AK332" i="2"/>
  <c r="BA110" i="2"/>
  <c r="U5" i="2"/>
  <c r="Q5" i="2"/>
  <c r="R5" i="2"/>
  <c r="S5" i="2"/>
  <c r="T5" i="2"/>
  <c r="V380" i="2"/>
  <c r="V275" i="2"/>
  <c r="V12" i="2"/>
  <c r="BD534" i="2"/>
  <c r="BD332" i="2"/>
  <c r="AI658" i="2"/>
  <c r="AI493" i="2"/>
  <c r="AX395" i="2"/>
  <c r="AX331" i="2"/>
  <c r="AF510" i="2"/>
  <c r="AF511" i="2"/>
  <c r="AF512" i="2"/>
  <c r="AF513" i="2"/>
  <c r="AF496" i="2"/>
  <c r="BH658" i="2"/>
  <c r="BH493" i="2"/>
  <c r="R510" i="2"/>
  <c r="R511" i="2"/>
  <c r="R512" i="2"/>
  <c r="R513" i="2"/>
  <c r="R496" i="2"/>
  <c r="BJ127" i="2"/>
  <c r="BK108" i="2"/>
  <c r="BJ158" i="2"/>
  <c r="BO155" i="2"/>
  <c r="BO158" i="2"/>
  <c r="AL67" i="2"/>
  <c r="AL92" i="2"/>
  <c r="BA134" i="2"/>
  <c r="BA126" i="2"/>
  <c r="BA127" i="2"/>
  <c r="BA136" i="2"/>
  <c r="BA111" i="2"/>
  <c r="AT534" i="2"/>
  <c r="AT332" i="2"/>
  <c r="BK799" i="2"/>
  <c r="BL523" i="2"/>
  <c r="BK521" i="2"/>
  <c r="BH126" i="2"/>
  <c r="BH127" i="2"/>
  <c r="BH136" i="2"/>
  <c r="Y380" i="2"/>
  <c r="Y275" i="2"/>
  <c r="Y284" i="2"/>
  <c r="AR92" i="2"/>
  <c r="AR67" i="2"/>
  <c r="BE380" i="2"/>
  <c r="BE275" i="2"/>
  <c r="BE12" i="2"/>
  <c r="AY105" i="2"/>
  <c r="AY110" i="2"/>
  <c r="AX110" i="2"/>
  <c r="AX111" i="2"/>
  <c r="AX120" i="2"/>
  <c r="AX134" i="2"/>
  <c r="AX126" i="2"/>
  <c r="AX127" i="2"/>
  <c r="AX136" i="2"/>
  <c r="P534" i="2"/>
  <c r="P332" i="2"/>
  <c r="BC217" i="2"/>
  <c r="BD217" i="2"/>
  <c r="BC289" i="2"/>
  <c r="BC11" i="2"/>
  <c r="BC381" i="2"/>
  <c r="BC31" i="2"/>
  <c r="BG284" i="2"/>
  <c r="V289" i="2"/>
  <c r="AV409" i="2"/>
  <c r="AV797" i="2" a="1"/>
  <c r="AV797" i="2"/>
  <c r="AV796" i="2" a="1"/>
  <c r="AV796" i="2"/>
  <c r="AY510" i="2"/>
  <c r="AY511" i="2"/>
  <c r="AY512" i="2"/>
  <c r="AY513" i="2"/>
  <c r="AY496" i="2"/>
  <c r="AF495" i="2"/>
  <c r="R495" i="2"/>
  <c r="R696" i="2"/>
  <c r="AV510" i="2"/>
  <c r="AV511" i="2"/>
  <c r="AV512" i="2"/>
  <c r="AV513" i="2"/>
  <c r="AV496" i="2"/>
  <c r="AT535" i="2"/>
  <c r="AL496" i="2"/>
  <c r="AL510" i="2"/>
  <c r="AL511" i="2"/>
  <c r="AL512" i="2"/>
  <c r="AL513" i="2"/>
  <c r="AN496" i="2"/>
  <c r="AN510" i="2"/>
  <c r="AN511" i="2"/>
  <c r="AN512" i="2"/>
  <c r="AN513" i="2"/>
  <c r="BF534" i="2"/>
  <c r="BF332" i="2"/>
  <c r="BB116" i="2"/>
  <c r="BQ134" i="2"/>
  <c r="BQ124" i="2"/>
  <c r="AH395" i="2"/>
  <c r="AH331" i="2"/>
  <c r="BK57" i="2"/>
  <c r="BK59" i="2"/>
  <c r="BQ61" i="2"/>
  <c r="BQ62" i="2"/>
  <c r="BQ71" i="2"/>
  <c r="AU409" i="2"/>
  <c r="AU797" i="2" a="1"/>
  <c r="AU797" i="2"/>
  <c r="AU796" i="2" a="1"/>
  <c r="AU796" i="2"/>
  <c r="BB316" i="2"/>
  <c r="BB317" i="2"/>
  <c r="BB315" i="2"/>
  <c r="BB314" i="2"/>
  <c r="BB313" i="2"/>
  <c r="Y285" i="2"/>
  <c r="Y297" i="2"/>
  <c r="Y276" i="2"/>
  <c r="Y281" i="2"/>
  <c r="BJ89" i="2"/>
  <c r="BJ77" i="2"/>
  <c r="BJ75" i="2"/>
  <c r="BN71" i="2"/>
  <c r="AJ31" i="2"/>
  <c r="AW380" i="2"/>
  <c r="AW188" i="2"/>
  <c r="AW189" i="2"/>
  <c r="AW275" i="2"/>
  <c r="AW12" i="2"/>
  <c r="BA534" i="2"/>
  <c r="BA332" i="2"/>
  <c r="AM380" i="2"/>
  <c r="AM275" i="2"/>
  <c r="AM188" i="2"/>
  <c r="AM12" i="2"/>
  <c r="BH77" i="2"/>
  <c r="BH78" i="2"/>
  <c r="BH91" i="2"/>
  <c r="BI91" i="2"/>
  <c r="AP108" i="2"/>
  <c r="AP105" i="2"/>
  <c r="AU110" i="2"/>
  <c r="V285" i="2"/>
  <c r="V294" i="2"/>
  <c r="Z217" i="2"/>
  <c r="Z276" i="2"/>
  <c r="Z281" i="2"/>
  <c r="V276" i="2"/>
  <c r="V281" i="2"/>
  <c r="S510" i="2"/>
  <c r="S511" i="2"/>
  <c r="S512" i="2"/>
  <c r="S513" i="2"/>
  <c r="S496" i="2"/>
  <c r="AY514" i="2"/>
  <c r="AY497" i="2"/>
  <c r="AY545" i="2"/>
  <c r="AY494" i="2"/>
  <c r="AQ534" i="2"/>
  <c r="AQ332" i="2"/>
  <c r="AV514" i="2"/>
  <c r="AV515" i="2"/>
  <c r="AV516" i="2"/>
  <c r="AV517" i="2"/>
  <c r="AV494" i="2"/>
  <c r="AV497" i="2"/>
  <c r="AL514" i="2"/>
  <c r="AL515" i="2"/>
  <c r="AL516" i="2"/>
  <c r="AL517" i="2"/>
  <c r="AL494" i="2"/>
  <c r="AL497" i="2"/>
  <c r="AN514" i="2"/>
  <c r="AN515" i="2"/>
  <c r="AN516" i="2"/>
  <c r="AN517" i="2"/>
  <c r="AN497" i="2"/>
  <c r="AN494" i="2"/>
  <c r="AU534" i="2"/>
  <c r="AU332" i="2"/>
  <c r="BK134" i="2"/>
  <c r="BK126" i="2"/>
  <c r="BK127" i="2"/>
  <c r="BK124" i="2"/>
  <c r="AQ67" i="2"/>
  <c r="AQ92" i="2"/>
  <c r="AY534" i="2"/>
  <c r="AY332" i="2"/>
  <c r="Z289" i="2"/>
  <c r="AK803" i="2" a="1"/>
  <c r="AK803" i="2"/>
  <c r="AK409" i="2"/>
  <c r="AK797" i="2" a="1"/>
  <c r="AK797" i="2"/>
  <c r="AK796" i="2" a="1"/>
  <c r="AK796" i="2"/>
  <c r="AL409" i="2"/>
  <c r="AL797" i="2" a="1"/>
  <c r="AL797" i="2"/>
  <c r="AL796" i="2" a="1"/>
  <c r="AL796" i="2"/>
  <c r="X67" i="2"/>
  <c r="X92" i="2"/>
  <c r="W67" i="2"/>
  <c r="W92" i="2"/>
  <c r="BE534" i="2"/>
  <c r="BE332" i="2"/>
  <c r="S514" i="2"/>
  <c r="S515" i="2"/>
  <c r="S516" i="2"/>
  <c r="S517" i="2"/>
  <c r="S497" i="2"/>
  <c r="S494" i="2"/>
  <c r="BE510" i="2"/>
  <c r="BE511" i="2"/>
  <c r="BE512" i="2"/>
  <c r="BE513" i="2"/>
  <c r="BE496" i="2"/>
  <c r="BN806" i="2" a="1"/>
  <c r="BN806" i="2"/>
  <c r="BN738" i="2"/>
  <c r="BH188" i="2"/>
  <c r="BH12" i="2"/>
  <c r="BH380" i="2"/>
  <c r="BH275" i="2"/>
  <c r="BH284" i="2"/>
  <c r="BI534" i="2"/>
  <c r="BI332" i="2"/>
  <c r="Z419" i="2"/>
  <c r="Z411" i="2"/>
  <c r="Z420" i="2"/>
  <c r="Z414" i="2"/>
  <c r="Z421" i="2"/>
  <c r="Z543" i="2"/>
  <c r="AY122" i="2"/>
  <c r="AY123" i="2"/>
  <c r="AY114" i="2"/>
  <c r="AH405" i="2"/>
  <c r="AH416" i="2"/>
  <c r="AH417" i="2"/>
  <c r="BF380" i="2"/>
  <c r="BF284" i="2"/>
  <c r="BF188" i="2"/>
  <c r="BF275" i="2"/>
  <c r="BF12" i="2"/>
  <c r="AY30" i="2"/>
  <c r="BD11" i="2"/>
  <c r="X414" i="2"/>
  <c r="X421" i="2"/>
  <c r="X411" i="2"/>
  <c r="X419" i="2"/>
  <c r="AF12" i="2"/>
  <c r="AO30" i="2"/>
  <c r="AG380" i="2"/>
  <c r="AG284" i="2"/>
  <c r="AG275" i="2"/>
  <c r="AG12" i="2"/>
  <c r="AW276" i="2"/>
  <c r="AW281" i="2"/>
  <c r="AI217" i="2"/>
  <c r="AL285" i="2"/>
  <c r="AI289" i="2"/>
  <c r="AI31" i="2"/>
  <c r="AK284" i="2"/>
  <c r="AI11" i="2"/>
  <c r="AI381" i="2"/>
  <c r="T534" i="2"/>
  <c r="T332" i="2"/>
  <c r="AM285" i="2"/>
  <c r="AM294" i="2"/>
  <c r="AM276" i="2"/>
  <c r="AM281" i="2"/>
  <c r="BG276" i="2"/>
  <c r="BG281" i="2"/>
  <c r="BG285" i="2"/>
  <c r="BG294" i="2"/>
  <c r="BB715" i="2"/>
  <c r="AN92" i="2"/>
  <c r="AV716" i="2"/>
  <c r="AL534" i="2"/>
  <c r="AL332" i="2"/>
  <c r="BI419" i="2"/>
  <c r="BI411" i="2"/>
  <c r="BI420" i="2"/>
  <c r="BI414" i="2"/>
  <c r="BI421" i="2"/>
  <c r="BI543" i="2"/>
  <c r="AX801" i="2" a="1"/>
  <c r="AX801" i="2"/>
  <c r="Q801" i="2" a="1"/>
  <c r="Q801" i="2"/>
  <c r="AB696" i="2"/>
  <c r="AO535" i="2"/>
  <c r="BD535" i="2"/>
  <c r="AP534" i="2"/>
  <c r="AP332" i="2"/>
  <c r="BE495" i="2"/>
  <c r="BE696" i="2"/>
  <c r="BF801" i="2" a="1"/>
  <c r="BF801" i="2"/>
  <c r="AR510" i="2"/>
  <c r="AR511" i="2"/>
  <c r="AR512" i="2"/>
  <c r="AR513" i="2"/>
  <c r="AR496" i="2"/>
  <c r="AD696" i="2"/>
  <c r="BI535" i="2"/>
  <c r="AT510" i="2"/>
  <c r="AT511" i="2"/>
  <c r="AT512" i="2"/>
  <c r="AT513" i="2"/>
  <c r="AT496" i="2"/>
  <c r="BI11" i="2"/>
  <c r="BR29" i="2"/>
  <c r="BN29" i="2"/>
  <c r="AP419" i="2"/>
  <c r="AP411" i="2"/>
  <c r="AP414" i="2"/>
  <c r="AP421" i="2"/>
  <c r="AC92" i="2"/>
  <c r="AC67" i="2"/>
  <c r="AZ92" i="2"/>
  <c r="BD91" i="2"/>
  <c r="AZ67" i="2"/>
  <c r="AU134" i="2"/>
  <c r="AU126" i="2"/>
  <c r="AU127" i="2"/>
  <c r="AU136" i="2"/>
  <c r="AU111" i="2"/>
  <c r="AU92" i="2"/>
  <c r="AU67" i="2"/>
  <c r="AN401" i="2"/>
  <c r="AN389" i="2"/>
  <c r="AN326" i="2"/>
  <c r="AN325" i="2"/>
  <c r="AN394" i="2"/>
  <c r="AY803" i="2" a="1"/>
  <c r="AY803" i="2"/>
  <c r="AY409" i="2"/>
  <c r="AY797" i="2" a="1"/>
  <c r="AY797" i="2"/>
  <c r="AY796" i="2" a="1"/>
  <c r="AY796" i="2"/>
  <c r="AH164" i="2"/>
  <c r="AI161" i="2"/>
  <c r="BP29" i="2"/>
  <c r="U534" i="2"/>
  <c r="U332" i="2"/>
  <c r="AU380" i="2"/>
  <c r="AU275" i="2"/>
  <c r="AU12" i="2"/>
  <c r="AF277" i="2"/>
  <c r="AK380" i="2"/>
  <c r="AK275" i="2"/>
  <c r="AK12" i="2"/>
  <c r="V419" i="2"/>
  <c r="V411" i="2"/>
  <c r="V414" i="2"/>
  <c r="V421" i="2"/>
  <c r="BM89" i="2"/>
  <c r="BM77" i="2"/>
  <c r="BM78" i="2"/>
  <c r="BM75" i="2"/>
  <c r="AO803" i="2" a="1"/>
  <c r="AO803" i="2"/>
  <c r="AO409" i="2"/>
  <c r="AO797" i="2" a="1"/>
  <c r="AO797" i="2"/>
  <c r="AO796" i="2" a="1"/>
  <c r="AO796" i="2"/>
  <c r="AO717" i="2"/>
  <c r="BF419" i="2"/>
  <c r="BF411" i="2"/>
  <c r="BF414" i="2"/>
  <c r="BF421" i="2"/>
  <c r="BC510" i="2"/>
  <c r="BC511" i="2"/>
  <c r="BC512" i="2"/>
  <c r="BC513" i="2"/>
  <c r="BC496" i="2"/>
  <c r="AX510" i="2"/>
  <c r="AX511" i="2"/>
  <c r="AX512" i="2"/>
  <c r="AX513" i="2"/>
  <c r="AX496" i="2"/>
  <c r="AR514" i="2"/>
  <c r="AR515" i="2"/>
  <c r="AR516" i="2"/>
  <c r="AR517" i="2"/>
  <c r="AR497" i="2"/>
  <c r="AR494" i="2"/>
  <c r="AY801" i="2" a="1"/>
  <c r="AY801" i="2"/>
  <c r="AT514" i="2"/>
  <c r="AT497" i="2"/>
  <c r="AT545" i="2"/>
  <c r="AT494" i="2"/>
  <c r="AA510" i="2"/>
  <c r="AA511" i="2"/>
  <c r="AA512" i="2"/>
  <c r="AA513" i="2"/>
  <c r="AA496" i="2"/>
  <c r="BG116" i="2"/>
  <c r="BG137" i="2"/>
  <c r="BE285" i="2"/>
  <c r="BE294" i="2"/>
  <c r="BE276" i="2"/>
  <c r="BE281" i="2"/>
  <c r="BI381" i="2"/>
  <c r="BI31" i="2"/>
  <c r="BI10" i="2"/>
  <c r="BB285" i="2"/>
  <c r="BB294" i="2"/>
  <c r="BB276" i="2"/>
  <c r="BB281" i="2"/>
  <c r="AZ277" i="2"/>
  <c r="Q455" i="2"/>
  <c r="Q459" i="2"/>
  <c r="U455" i="2"/>
  <c r="U459" i="2"/>
  <c r="P472" i="2"/>
  <c r="P483" i="2"/>
  <c r="BD122" i="2"/>
  <c r="BD123" i="2"/>
  <c r="BD114" i="2"/>
  <c r="AI71" i="2"/>
  <c r="AI73" i="2"/>
  <c r="AJ73" i="2"/>
  <c r="AJ74" i="2"/>
  <c r="T92" i="2"/>
  <c r="T67" i="2"/>
  <c r="AK276" i="2"/>
  <c r="AK281" i="2"/>
  <c r="AO217" i="2"/>
  <c r="AO276" i="2"/>
  <c r="AO281" i="2"/>
  <c r="AG285" i="2"/>
  <c r="AG294" i="2"/>
  <c r="AG276" i="2"/>
  <c r="AG281" i="2"/>
  <c r="AS77" i="2"/>
  <c r="AS78" i="2"/>
  <c r="AS91" i="2"/>
  <c r="AT91" i="2"/>
  <c r="S534" i="2"/>
  <c r="S332" i="2"/>
  <c r="BD74" i="2"/>
  <c r="AO714" i="2"/>
  <c r="BC495" i="2"/>
  <c r="BC696" i="2"/>
  <c r="AX494" i="2"/>
  <c r="AX497" i="2"/>
  <c r="AX514" i="2"/>
  <c r="AX515" i="2"/>
  <c r="AX516" i="2"/>
  <c r="AX517" i="2"/>
  <c r="BI515" i="2"/>
  <c r="BI516" i="2"/>
  <c r="BI517" i="2"/>
  <c r="AN696" i="2"/>
  <c r="AA495" i="2"/>
  <c r="AH696" i="2"/>
  <c r="BA10" i="17"/>
  <c r="BA12" i="17"/>
  <c r="BA6" i="17"/>
  <c r="BL12" i="16"/>
  <c r="BA8" i="17"/>
  <c r="BB8" i="17"/>
  <c r="BH11" i="16"/>
  <c r="BH16" i="16" s="1"/>
  <c r="BH26" i="16" s="1"/>
  <c r="AX12" i="17"/>
  <c r="BB14" i="17"/>
  <c r="BB10" i="17"/>
  <c r="BB12" i="17"/>
  <c r="BB6" i="17"/>
  <c r="AZ6" i="17"/>
  <c r="AZ10" i="17"/>
  <c r="AZ12" i="17"/>
  <c r="AZ8" i="17"/>
  <c r="AZ14" i="17"/>
  <c r="BJ12" i="16"/>
  <c r="AY6" i="17"/>
  <c r="AY10" i="17"/>
  <c r="AY14" i="17"/>
  <c r="AY12" i="17"/>
  <c r="AY8" i="17"/>
  <c r="BK12" i="16"/>
  <c r="AR41" i="11"/>
  <c r="AN41" i="11"/>
  <c r="AN44" i="11"/>
  <c r="AO41" i="11"/>
  <c r="AO43" i="11"/>
  <c r="AR43" i="11"/>
  <c r="AE70" i="9"/>
  <c r="AD71" i="9"/>
  <c r="AX416" i="2"/>
  <c r="AX417" i="2"/>
  <c r="BA319" i="2"/>
  <c r="BI801" i="2" a="1"/>
  <c r="BI801" i="2"/>
  <c r="AJ11" i="2"/>
  <c r="BE284" i="2"/>
  <c r="AQ801" i="2" a="1"/>
  <c r="AQ801" i="2"/>
  <c r="AM297" i="2"/>
  <c r="P801" i="2" a="1"/>
  <c r="P801" i="2"/>
  <c r="O801" i="2" a="1"/>
  <c r="O801" i="2"/>
  <c r="AO801" i="2" a="1"/>
  <c r="AO801" i="2"/>
  <c r="AJ381" i="2"/>
  <c r="BC801" i="2" a="1"/>
  <c r="BC801" i="2"/>
  <c r="AL801" i="2" a="1"/>
  <c r="AL801" i="2"/>
  <c r="BG297" i="2"/>
  <c r="V284" i="2"/>
  <c r="W284" i="2"/>
  <c r="W288" i="2"/>
  <c r="W291" i="2"/>
  <c r="BA321" i="2"/>
  <c r="AL240" i="2"/>
  <c r="BD801" i="2" a="1"/>
  <c r="BD801" i="2"/>
  <c r="R801" i="2" a="1"/>
  <c r="R801" i="2"/>
  <c r="AW68" i="2"/>
  <c r="AY120" i="2"/>
  <c r="AY111" i="2"/>
  <c r="AY810" i="2"/>
  <c r="U801" i="2" a="1"/>
  <c r="U801" i="2"/>
  <c r="AZ801" i="2" a="1"/>
  <c r="AZ801" i="2"/>
  <c r="BB297" i="2"/>
  <c r="BA320" i="2"/>
  <c r="BA322" i="2"/>
  <c r="BN779" i="2"/>
  <c r="BM560" i="2"/>
  <c r="AQ284" i="2"/>
  <c r="AQ288" i="2"/>
  <c r="AQ291" i="2"/>
  <c r="AC494" i="2"/>
  <c r="AC514" i="2"/>
  <c r="AC515" i="2"/>
  <c r="AC516" i="2"/>
  <c r="AC517" i="2"/>
  <c r="AC497" i="2"/>
  <c r="AA297" i="2"/>
  <c r="AS215" i="2"/>
  <c r="AE801" i="2" a="1"/>
  <c r="AE801" i="2"/>
  <c r="BD381" i="2"/>
  <c r="BD31" i="2"/>
  <c r="AP284" i="2"/>
  <c r="AP300" i="2"/>
  <c r="X284" i="2"/>
  <c r="AV110" i="2"/>
  <c r="BO777" i="2"/>
  <c r="BN524" i="2"/>
  <c r="AJ71" i="2"/>
  <c r="AJ62" i="2"/>
  <c r="AJ65" i="2"/>
  <c r="BD276" i="2"/>
  <c r="BD281" i="2"/>
  <c r="BD213" i="2"/>
  <c r="BD214" i="2"/>
  <c r="AK288" i="2"/>
  <c r="AK291" i="2"/>
  <c r="AK300" i="2"/>
  <c r="AK301" i="2"/>
  <c r="AK299" i="2"/>
  <c r="AH294" i="2"/>
  <c r="AH297" i="2"/>
  <c r="BI78" i="2"/>
  <c r="BI77" i="2"/>
  <c r="BI89" i="2"/>
  <c r="BI67" i="2"/>
  <c r="AL294" i="2"/>
  <c r="AL297" i="2"/>
  <c r="AX116" i="2"/>
  <c r="AX137" i="2"/>
  <c r="AY71" i="2"/>
  <c r="AY62" i="2"/>
  <c r="AY65" i="2"/>
  <c r="AP294" i="2"/>
  <c r="AP297" i="2"/>
  <c r="BM79" i="2"/>
  <c r="BM91" i="2"/>
  <c r="BK158" i="2"/>
  <c r="BK28" i="2"/>
  <c r="BK9" i="2"/>
  <c r="BF288" i="2"/>
  <c r="BF291" i="2"/>
  <c r="BF301" i="2"/>
  <c r="BF299" i="2"/>
  <c r="BF300" i="2"/>
  <c r="AW280" i="2"/>
  <c r="AW277" i="2"/>
  <c r="AG803" i="2" a="1"/>
  <c r="AG803" i="2"/>
  <c r="AG409" i="2"/>
  <c r="AG797" i="2" a="1"/>
  <c r="AG797" i="2"/>
  <c r="AG796" i="2" a="1"/>
  <c r="AG796" i="2"/>
  <c r="AF803" i="2" a="1"/>
  <c r="AF803" i="2"/>
  <c r="AC297" i="2"/>
  <c r="T495" i="2"/>
  <c r="T696" i="2"/>
  <c r="T801" i="2" a="1"/>
  <c r="T801" i="2"/>
  <c r="W316" i="2"/>
  <c r="W317" i="2"/>
  <c r="W315" i="2"/>
  <c r="W314" i="2"/>
  <c r="W313" i="2"/>
  <c r="AV79" i="2"/>
  <c r="AV68" i="2"/>
  <c r="BG316" i="2"/>
  <c r="BG317" i="2"/>
  <c r="BG322" i="2"/>
  <c r="BG315" i="2"/>
  <c r="BL315" i="2"/>
  <c r="BG313" i="2"/>
  <c r="BL313" i="2"/>
  <c r="BG314" i="2"/>
  <c r="BL314" i="2"/>
  <c r="AJ534" i="2"/>
  <c r="AJ332" i="2"/>
  <c r="AR189" i="2"/>
  <c r="BO784" i="2"/>
  <c r="BU103" i="2"/>
  <c r="BT107" i="2"/>
  <c r="AT515" i="2"/>
  <c r="AT516" i="2"/>
  <c r="AT517" i="2"/>
  <c r="AU116" i="2"/>
  <c r="AY136" i="2"/>
  <c r="AU137" i="2"/>
  <c r="BF316" i="2"/>
  <c r="BF317" i="2"/>
  <c r="BF322" i="2"/>
  <c r="BF315" i="2"/>
  <c r="BK315" i="2"/>
  <c r="BF313" i="2"/>
  <c r="BK313" i="2"/>
  <c r="BF314" i="2"/>
  <c r="BK314" i="2"/>
  <c r="BK136" i="2"/>
  <c r="BK128" i="2"/>
  <c r="BQ89" i="2"/>
  <c r="BQ75" i="2"/>
  <c r="Y288" i="2"/>
  <c r="Y291" i="2"/>
  <c r="Y286" i="2"/>
  <c r="Z284" i="2"/>
  <c r="Y300" i="2"/>
  <c r="Z300" i="2"/>
  <c r="Y299" i="2"/>
  <c r="Y301" i="2"/>
  <c r="Z301" i="2"/>
  <c r="V288" i="2"/>
  <c r="V291" i="2"/>
  <c r="V286" i="2"/>
  <c r="V300" i="2"/>
  <c r="V301" i="2"/>
  <c r="V299" i="2"/>
  <c r="W285" i="2"/>
  <c r="W294" i="2"/>
  <c r="AU801" i="2" a="1"/>
  <c r="AU801" i="2"/>
  <c r="AP79" i="2"/>
  <c r="AP68" i="2"/>
  <c r="AD420" i="2"/>
  <c r="AD444" i="2"/>
  <c r="BE79" i="2"/>
  <c r="BE68" i="2"/>
  <c r="AS289" i="2"/>
  <c r="AS217" i="2"/>
  <c r="AS11" i="2"/>
  <c r="AS31" i="2"/>
  <c r="AX12" i="2"/>
  <c r="AS381" i="2"/>
  <c r="AW289" i="2"/>
  <c r="AT30" i="2"/>
  <c r="AV289" i="2"/>
  <c r="AU289" i="2"/>
  <c r="AF444" i="2"/>
  <c r="AF420" i="2"/>
  <c r="AA68" i="2"/>
  <c r="AE92" i="2"/>
  <c r="AA79" i="2"/>
  <c r="Q288" i="2"/>
  <c r="Q301" i="2"/>
  <c r="Q300" i="2"/>
  <c r="Q299" i="2"/>
  <c r="AR288" i="2"/>
  <c r="AR291" i="2"/>
  <c r="AR300" i="2"/>
  <c r="AR301" i="2"/>
  <c r="AR299" i="2"/>
  <c r="AV801" i="2" a="1"/>
  <c r="AV801" i="2"/>
  <c r="BA801" i="2" a="1"/>
  <c r="BA801" i="2"/>
  <c r="BA277" i="2"/>
  <c r="BF79" i="2"/>
  <c r="BF68" i="2"/>
  <c r="BE297" i="2"/>
  <c r="AK285" i="2"/>
  <c r="AK286" i="2"/>
  <c r="BI380" i="2"/>
  <c r="BI275" i="2"/>
  <c r="AY419" i="2"/>
  <c r="AY414" i="2"/>
  <c r="AY421" i="2"/>
  <c r="AY543" i="2"/>
  <c r="AY411" i="2"/>
  <c r="AY420" i="2"/>
  <c r="BE801" i="2" a="1"/>
  <c r="BE801" i="2"/>
  <c r="BK58" i="2"/>
  <c r="BL54" i="2"/>
  <c r="AV419" i="2"/>
  <c r="AV414" i="2"/>
  <c r="AV421" i="2"/>
  <c r="AV411" i="2"/>
  <c r="Y277" i="2"/>
  <c r="V277" i="2"/>
  <c r="AO289" i="2"/>
  <c r="BK91" i="2"/>
  <c r="BK79" i="2"/>
  <c r="AB79" i="2"/>
  <c r="AB68" i="2"/>
  <c r="AU494" i="2"/>
  <c r="AU514" i="2"/>
  <c r="AU515" i="2"/>
  <c r="AU516" i="2"/>
  <c r="AU517" i="2"/>
  <c r="AU497" i="2"/>
  <c r="AI444" i="2"/>
  <c r="AI420" i="2"/>
  <c r="AX89" i="2"/>
  <c r="AX77" i="2"/>
  <c r="AX78" i="2"/>
  <c r="AX91" i="2"/>
  <c r="AX62" i="2"/>
  <c r="AC286" i="2"/>
  <c r="AC288" i="2"/>
  <c r="AC291" i="2"/>
  <c r="AC301" i="2"/>
  <c r="AC300" i="2"/>
  <c r="AC299" i="2"/>
  <c r="AL215" i="2"/>
  <c r="AL245" i="2"/>
  <c r="BG110" i="2"/>
  <c r="BG111" i="2"/>
  <c r="Q277" i="2"/>
  <c r="AR280" i="2"/>
  <c r="AR277" i="2"/>
  <c r="BL91" i="2"/>
  <c r="BL79" i="2"/>
  <c r="U381" i="2"/>
  <c r="U213" i="2"/>
  <c r="U214" i="2"/>
  <c r="U31" i="2"/>
  <c r="Z12" i="2"/>
  <c r="AO414" i="2"/>
  <c r="AO421" i="2"/>
  <c r="AO543" i="2"/>
  <c r="AO419" i="2"/>
  <c r="AO411" i="2"/>
  <c r="AO420" i="2"/>
  <c r="BI213" i="2"/>
  <c r="BI214" i="2"/>
  <c r="BE514" i="2"/>
  <c r="BE515" i="2"/>
  <c r="BE516" i="2"/>
  <c r="BE517" i="2"/>
  <c r="BE497" i="2"/>
  <c r="BE494" i="2"/>
  <c r="AN79" i="2"/>
  <c r="AN68" i="2"/>
  <c r="AG277" i="2"/>
  <c r="W79" i="2"/>
  <c r="W68" i="2"/>
  <c r="AT105" i="2"/>
  <c r="AW316" i="2"/>
  <c r="AW317" i="2"/>
  <c r="AW315" i="2"/>
  <c r="BB321" i="2"/>
  <c r="AW314" i="2"/>
  <c r="BB320" i="2"/>
  <c r="AW313" i="2"/>
  <c r="BB319" i="2"/>
  <c r="Y316" i="2"/>
  <c r="Y317" i="2"/>
  <c r="Y314" i="2"/>
  <c r="Y313" i="2"/>
  <c r="Y315" i="2"/>
  <c r="BH510" i="2"/>
  <c r="BH511" i="2"/>
  <c r="BH512" i="2"/>
  <c r="BH513" i="2"/>
  <c r="BH496" i="2"/>
  <c r="AN285" i="2"/>
  <c r="AN297" i="2"/>
  <c r="AN276" i="2"/>
  <c r="AN281" i="2"/>
  <c r="BG79" i="2"/>
  <c r="BG68" i="2"/>
  <c r="BC67" i="2"/>
  <c r="BC92" i="2"/>
  <c r="AA288" i="2"/>
  <c r="AA291" i="2"/>
  <c r="AA286" i="2"/>
  <c r="AA301" i="2"/>
  <c r="AA299" i="2"/>
  <c r="AA300" i="2"/>
  <c r="AE78" i="2"/>
  <c r="AE77" i="2"/>
  <c r="AE89" i="2"/>
  <c r="AE67" i="2"/>
  <c r="AC277" i="2"/>
  <c r="Y414" i="2"/>
  <c r="Y421" i="2"/>
  <c r="Y411" i="2"/>
  <c r="Y419" i="2"/>
  <c r="AR316" i="2"/>
  <c r="AR317" i="2"/>
  <c r="AR314" i="2"/>
  <c r="AR315" i="2"/>
  <c r="AR313" i="2"/>
  <c r="AS395" i="2"/>
  <c r="AS331" i="2"/>
  <c r="BP151" i="2"/>
  <c r="BC497" i="2"/>
  <c r="BC514" i="2"/>
  <c r="BC515" i="2"/>
  <c r="BC516" i="2"/>
  <c r="BC517" i="2"/>
  <c r="BC494" i="2"/>
  <c r="AU277" i="2"/>
  <c r="AH803" i="2" a="1"/>
  <c r="AH803" i="2"/>
  <c r="AH409" i="2"/>
  <c r="AH797" i="2" a="1"/>
  <c r="AH797" i="2"/>
  <c r="AH796" i="2" a="1"/>
  <c r="AH796" i="2"/>
  <c r="V297" i="2"/>
  <c r="BL799" i="2"/>
  <c r="BM523" i="2"/>
  <c r="BL521" i="2"/>
  <c r="BH495" i="2"/>
  <c r="BH696" i="2"/>
  <c r="BH801" i="2" a="1"/>
  <c r="BH801" i="2"/>
  <c r="V316" i="2"/>
  <c r="V317" i="2"/>
  <c r="V313" i="2"/>
  <c r="V315" i="2"/>
  <c r="V314" i="2"/>
  <c r="Z380" i="2"/>
  <c r="Z275" i="2"/>
  <c r="AB297" i="2"/>
  <c r="AB286" i="2"/>
  <c r="AB288" i="2"/>
  <c r="AB291" i="2"/>
  <c r="AB300" i="2"/>
  <c r="AB301" i="2"/>
  <c r="AB299" i="2"/>
  <c r="BA285" i="2"/>
  <c r="BA294" i="2"/>
  <c r="AA277" i="2"/>
  <c r="AF278" i="2"/>
  <c r="W801" i="2" a="1"/>
  <c r="W801" i="2"/>
  <c r="AC316" i="2"/>
  <c r="AC317" i="2"/>
  <c r="AC315" i="2"/>
  <c r="AC313" i="2"/>
  <c r="AC314" i="2"/>
  <c r="Y92" i="2"/>
  <c r="Y67" i="2"/>
  <c r="R534" i="2"/>
  <c r="R332" i="2"/>
  <c r="Q316" i="2"/>
  <c r="Q317" i="2"/>
  <c r="Q322" i="2"/>
  <c r="Q315" i="2"/>
  <c r="Q314" i="2"/>
  <c r="Q313" i="2"/>
  <c r="AO514" i="2"/>
  <c r="AO497" i="2"/>
  <c r="AO545" i="2"/>
  <c r="AO494" i="2"/>
  <c r="AO536" i="2"/>
  <c r="AW87" i="2"/>
  <c r="AW98" i="2"/>
  <c r="AT419" i="2"/>
  <c r="AT411" i="2"/>
  <c r="AT420" i="2"/>
  <c r="AT414" i="2"/>
  <c r="AT421" i="2"/>
  <c r="AT543" i="2"/>
  <c r="AS405" i="2"/>
  <c r="AX803" i="2" a="1"/>
  <c r="AX803" i="2"/>
  <c r="AS416" i="2"/>
  <c r="AS417" i="2"/>
  <c r="AN331" i="2"/>
  <c r="AN395" i="2"/>
  <c r="AG288" i="2"/>
  <c r="AG291" i="2"/>
  <c r="AG286" i="2"/>
  <c r="AG301" i="2"/>
  <c r="AG300" i="2"/>
  <c r="AG299" i="2"/>
  <c r="X79" i="2"/>
  <c r="X68" i="2"/>
  <c r="AJ380" i="2"/>
  <c r="AJ284" i="2"/>
  <c r="AJ275" i="2"/>
  <c r="AH534" i="2"/>
  <c r="AH332" i="2"/>
  <c r="R494" i="2"/>
  <c r="R497" i="2"/>
  <c r="R514" i="2"/>
  <c r="R515" i="2"/>
  <c r="R516" i="2"/>
  <c r="R517" i="2"/>
  <c r="BB110" i="2"/>
  <c r="BB111" i="2"/>
  <c r="BB277" i="2"/>
  <c r="BS110" i="2"/>
  <c r="BR110" i="2"/>
  <c r="BR111" i="2"/>
  <c r="BR120" i="2"/>
  <c r="BL106" i="2"/>
  <c r="BL108" i="2"/>
  <c r="AR801" i="2" a="1"/>
  <c r="AR801" i="2"/>
  <c r="AW801" i="2" a="1"/>
  <c r="AW801" i="2"/>
  <c r="AB277" i="2"/>
  <c r="AA316" i="2"/>
  <c r="AA317" i="2"/>
  <c r="AF322" i="2"/>
  <c r="AA315" i="2"/>
  <c r="AF321" i="2"/>
  <c r="AA313" i="2"/>
  <c r="AF319" i="2"/>
  <c r="AA314" i="2"/>
  <c r="AF320" i="2"/>
  <c r="AD380" i="2"/>
  <c r="AD284" i="2"/>
  <c r="AD275" i="2"/>
  <c r="AD12" i="2"/>
  <c r="AF284" i="2"/>
  <c r="AX188" i="2"/>
  <c r="AX275" i="2"/>
  <c r="AX380" i="2"/>
  <c r="AX284" i="2"/>
  <c r="BA284" i="2"/>
  <c r="BB284" i="2"/>
  <c r="AZ284" i="2"/>
  <c r="W497" i="2"/>
  <c r="W514" i="2"/>
  <c r="W515" i="2"/>
  <c r="W516" i="2"/>
  <c r="W517" i="2"/>
  <c r="W494" i="2"/>
  <c r="AN244" i="2"/>
  <c r="AN240" i="2"/>
  <c r="AM801" i="2" a="1"/>
  <c r="AM801" i="2"/>
  <c r="BG409" i="2"/>
  <c r="BG797" i="2" a="1"/>
  <c r="BG797" i="2"/>
  <c r="BG796" i="2" a="1"/>
  <c r="BG796" i="2"/>
  <c r="BF803" i="2" a="1"/>
  <c r="BF803" i="2"/>
  <c r="BE420" i="2"/>
  <c r="BE444" i="2"/>
  <c r="S79" i="2"/>
  <c r="S68" i="2"/>
  <c r="AG79" i="2"/>
  <c r="AG68" i="2"/>
  <c r="T79" i="2"/>
  <c r="T68" i="2"/>
  <c r="AU316" i="2"/>
  <c r="AU317" i="2"/>
  <c r="AU315" i="2"/>
  <c r="AZ321" i="2"/>
  <c r="AU314" i="2"/>
  <c r="AZ320" i="2"/>
  <c r="AU313" i="2"/>
  <c r="AZ319" i="2"/>
  <c r="AG316" i="2"/>
  <c r="AG317" i="2"/>
  <c r="AG315" i="2"/>
  <c r="AG314" i="2"/>
  <c r="AG313" i="2"/>
  <c r="BH67" i="2"/>
  <c r="BH92" i="2"/>
  <c r="BB189" i="2"/>
  <c r="Z5" i="2"/>
  <c r="V5" i="2"/>
  <c r="W5" i="2"/>
  <c r="X5" i="2"/>
  <c r="Y5" i="2"/>
  <c r="AZ285" i="2"/>
  <c r="AZ294" i="2"/>
  <c r="BP106" i="2"/>
  <c r="BP108" i="2"/>
  <c r="AS801" i="2" a="1"/>
  <c r="AS801" i="2"/>
  <c r="X285" i="2"/>
  <c r="AB316" i="2"/>
  <c r="AB317" i="2"/>
  <c r="AB315" i="2"/>
  <c r="AB313" i="2"/>
  <c r="AB314" i="2"/>
  <c r="AP277" i="2"/>
  <c r="AT71" i="2"/>
  <c r="AT62" i="2"/>
  <c r="AT65" i="2"/>
  <c r="AM514" i="2"/>
  <c r="AM515" i="2"/>
  <c r="AM516" i="2"/>
  <c r="AM517" i="2"/>
  <c r="AM497" i="2"/>
  <c r="AM494" i="2"/>
  <c r="Z166" i="2"/>
  <c r="Z169" i="2"/>
  <c r="V166" i="2"/>
  <c r="V169" i="2"/>
  <c r="W166" i="2"/>
  <c r="W169" i="2"/>
  <c r="X166" i="2"/>
  <c r="X169" i="2"/>
  <c r="Y166" i="2"/>
  <c r="Y169" i="2"/>
  <c r="BG534" i="2"/>
  <c r="BG332" i="2"/>
  <c r="BL136" i="2"/>
  <c r="BL128" i="2"/>
  <c r="AA514" i="2"/>
  <c r="AA515" i="2"/>
  <c r="AA516" i="2"/>
  <c r="AA517" i="2"/>
  <c r="AA494" i="2"/>
  <c r="AA497" i="2"/>
  <c r="BG128" i="2"/>
  <c r="BG117" i="2"/>
  <c r="AZ79" i="2"/>
  <c r="AZ68" i="2"/>
  <c r="AO381" i="2"/>
  <c r="AO213" i="2"/>
  <c r="AO214" i="2"/>
  <c r="AO11" i="2"/>
  <c r="AO31" i="2"/>
  <c r="AY515" i="2"/>
  <c r="AY516" i="2"/>
  <c r="AY517" i="2"/>
  <c r="BH116" i="2"/>
  <c r="BH137" i="2"/>
  <c r="Z71" i="2"/>
  <c r="Z62" i="2"/>
  <c r="Z65" i="2"/>
  <c r="AM419" i="2"/>
  <c r="AM411" i="2"/>
  <c r="AM414" i="2"/>
  <c r="AM421" i="2"/>
  <c r="Z213" i="2"/>
  <c r="Z214" i="2"/>
  <c r="BB79" i="2"/>
  <c r="BB68" i="2"/>
  <c r="AM79" i="2"/>
  <c r="AM68" i="2"/>
  <c r="AB419" i="2"/>
  <c r="AB414" i="2"/>
  <c r="AB421" i="2"/>
  <c r="AB411" i="2"/>
  <c r="AY289" i="2"/>
  <c r="R277" i="2"/>
  <c r="U71" i="2"/>
  <c r="U62" i="2"/>
  <c r="U65" i="2"/>
  <c r="BD136" i="2"/>
  <c r="AZ116" i="2"/>
  <c r="AZ137" i="2"/>
  <c r="AI89" i="2"/>
  <c r="AI77" i="2"/>
  <c r="AI78" i="2"/>
  <c r="AI91" i="2"/>
  <c r="AI62" i="2"/>
  <c r="AN405" i="2"/>
  <c r="AM803" i="2" a="1"/>
  <c r="AM803" i="2"/>
  <c r="AN416" i="2"/>
  <c r="AN417" i="2"/>
  <c r="AF514" i="2"/>
  <c r="AF515" i="2"/>
  <c r="AF516" i="2"/>
  <c r="AF517" i="2"/>
  <c r="AF494" i="2"/>
  <c r="AF497" i="2"/>
  <c r="BE288" i="2"/>
  <c r="BE291" i="2"/>
  <c r="BE286" i="2"/>
  <c r="BE301" i="2"/>
  <c r="BE300" i="2"/>
  <c r="BE299" i="2"/>
  <c r="AX534" i="2"/>
  <c r="AX332" i="2"/>
  <c r="AF79" i="2"/>
  <c r="AF68" i="2"/>
  <c r="Q534" i="2"/>
  <c r="Q332" i="2"/>
  <c r="AP514" i="2"/>
  <c r="AP515" i="2"/>
  <c r="AP516" i="2"/>
  <c r="AP517" i="2"/>
  <c r="AP497" i="2"/>
  <c r="AP494" i="2"/>
  <c r="AJ803" i="2" a="1"/>
  <c r="AJ803" i="2"/>
  <c r="AJ810" i="2"/>
  <c r="AJ409" i="2"/>
  <c r="AJ797" i="2" a="1"/>
  <c r="AJ797" i="2"/>
  <c r="AJ796" i="2" a="1"/>
  <c r="AJ796" i="2"/>
  <c r="AI803" i="2" a="1"/>
  <c r="AI803" i="2"/>
  <c r="AP301" i="2"/>
  <c r="W444" i="2"/>
  <c r="W420" i="2"/>
  <c r="AD276" i="2"/>
  <c r="AD281" i="2"/>
  <c r="AD285" i="2"/>
  <c r="AD297" i="2"/>
  <c r="AF285" i="2"/>
  <c r="AF294" i="2"/>
  <c r="AX285" i="2"/>
  <c r="AX297" i="2"/>
  <c r="AX276" i="2"/>
  <c r="AX281" i="2"/>
  <c r="U515" i="2"/>
  <c r="U516" i="2"/>
  <c r="U517" i="2"/>
  <c r="R316" i="2"/>
  <c r="R317" i="2"/>
  <c r="R322" i="2"/>
  <c r="R313" i="2"/>
  <c r="R314" i="2"/>
  <c r="R315" i="2"/>
  <c r="R68" i="2"/>
  <c r="R79" i="2"/>
  <c r="AH277" i="2"/>
  <c r="AW534" i="2"/>
  <c r="AW332" i="2"/>
  <c r="BD120" i="2"/>
  <c r="BD111" i="2"/>
  <c r="BD65" i="2"/>
  <c r="BD71" i="2"/>
  <c r="BD62" i="2"/>
  <c r="V420" i="2"/>
  <c r="V444" i="2"/>
  <c r="AB801" i="2" a="1"/>
  <c r="AB801" i="2"/>
  <c r="AG801" i="2" a="1"/>
  <c r="AG801" i="2"/>
  <c r="AL419" i="2"/>
  <c r="AL411" i="2"/>
  <c r="AL414" i="2"/>
  <c r="AL421" i="2"/>
  <c r="AM284" i="2"/>
  <c r="BB128" i="2"/>
  <c r="BB117" i="2"/>
  <c r="BE277" i="2"/>
  <c r="BA137" i="2"/>
  <c r="BA116" i="2"/>
  <c r="AI510" i="2"/>
  <c r="AI511" i="2"/>
  <c r="AI512" i="2"/>
  <c r="AI513" i="2"/>
  <c r="AI496" i="2"/>
  <c r="BM143" i="2"/>
  <c r="BM137" i="2"/>
  <c r="BM117" i="2"/>
  <c r="AZ514" i="2"/>
  <c r="AZ515" i="2"/>
  <c r="AZ516" i="2"/>
  <c r="AZ517" i="2"/>
  <c r="AZ494" i="2"/>
  <c r="AZ497" i="2"/>
  <c r="AE217" i="2"/>
  <c r="AE276" i="2"/>
  <c r="AE281" i="2"/>
  <c r="AS156" i="2"/>
  <c r="AX156" i="2"/>
  <c r="AP316" i="2"/>
  <c r="AP317" i="2"/>
  <c r="AP313" i="2"/>
  <c r="AP314" i="2"/>
  <c r="AP315" i="2"/>
  <c r="AU321" i="2"/>
  <c r="AG534" i="2"/>
  <c r="AG332" i="2"/>
  <c r="AE289" i="2"/>
  <c r="R803" i="2" a="1"/>
  <c r="R803" i="2"/>
  <c r="R409" i="2"/>
  <c r="R797" i="2" a="1"/>
  <c r="R797" i="2"/>
  <c r="R796" i="2" a="1"/>
  <c r="R796" i="2"/>
  <c r="W803" i="2" a="1"/>
  <c r="W803" i="2"/>
  <c r="BM920" i="2" a="1"/>
  <c r="BM920" i="2"/>
  <c r="BM890" i="2" a="1"/>
  <c r="BM890" i="2"/>
  <c r="BN4" i="2"/>
  <c r="AO78" i="2"/>
  <c r="AO77" i="2"/>
  <c r="AO89" i="2"/>
  <c r="AO67" i="2"/>
  <c r="AL284" i="2"/>
  <c r="BB419" i="2"/>
  <c r="BB411" i="2"/>
  <c r="BB414" i="2"/>
  <c r="BB421" i="2"/>
  <c r="P490" i="2"/>
  <c r="P485" i="2"/>
  <c r="AP801" i="2" a="1"/>
  <c r="AP801" i="2"/>
  <c r="AC79" i="2"/>
  <c r="AC68" i="2"/>
  <c r="X444" i="2"/>
  <c r="X420" i="2"/>
  <c r="AM280" i="2"/>
  <c r="AM277" i="2"/>
  <c r="BC12" i="2"/>
  <c r="BC188" i="2"/>
  <c r="BH189" i="2"/>
  <c r="BC380" i="2"/>
  <c r="BC275" i="2"/>
  <c r="BC284" i="2"/>
  <c r="BE316" i="2"/>
  <c r="BE317" i="2"/>
  <c r="BE322" i="2"/>
  <c r="BE315" i="2"/>
  <c r="BJ315" i="2"/>
  <c r="BE314" i="2"/>
  <c r="BJ314" i="2"/>
  <c r="BE313" i="2"/>
  <c r="BJ313" i="2"/>
  <c r="AL79" i="2"/>
  <c r="AL68" i="2"/>
  <c r="AI495" i="2"/>
  <c r="AI696" i="2"/>
  <c r="BM116" i="2"/>
  <c r="BT153" i="2"/>
  <c r="BU148" i="2"/>
  <c r="BL211" i="2"/>
  <c r="BM209" i="2"/>
  <c r="AW117" i="2"/>
  <c r="AW128" i="2"/>
  <c r="AW132" i="2"/>
  <c r="AE381" i="2"/>
  <c r="AE213" i="2"/>
  <c r="AE214" i="2"/>
  <c r="AE11" i="2"/>
  <c r="AE31" i="2"/>
  <c r="T380" i="2"/>
  <c r="T284" i="2"/>
  <c r="T275" i="2"/>
  <c r="Y510" i="2"/>
  <c r="Y511" i="2"/>
  <c r="Y512" i="2"/>
  <c r="Y513" i="2"/>
  <c r="Y496" i="2"/>
  <c r="AQ285" i="2"/>
  <c r="AQ294" i="2"/>
  <c r="AR285" i="2"/>
  <c r="AR294" i="2"/>
  <c r="BF116" i="2"/>
  <c r="BF137" i="2"/>
  <c r="Z515" i="2"/>
  <c r="Z516" i="2"/>
  <c r="Z517" i="2"/>
  <c r="R288" i="2"/>
  <c r="R299" i="2"/>
  <c r="R300" i="2"/>
  <c r="R301" i="2"/>
  <c r="AL280" i="2"/>
  <c r="AL277" i="2"/>
  <c r="AH284" i="2"/>
  <c r="AG297" i="2"/>
  <c r="Z455" i="2"/>
  <c r="Z459" i="2"/>
  <c r="V455" i="2"/>
  <c r="V459" i="2"/>
  <c r="U472" i="2"/>
  <c r="U483" i="2"/>
  <c r="BI284" i="2"/>
  <c r="BH288" i="2"/>
  <c r="BH291" i="2"/>
  <c r="BH300" i="2"/>
  <c r="BI300" i="2"/>
  <c r="BH301" i="2"/>
  <c r="BI301" i="2"/>
  <c r="BH299" i="2"/>
  <c r="AM316" i="2"/>
  <c r="AM317" i="2"/>
  <c r="AM322" i="2"/>
  <c r="AM315" i="2"/>
  <c r="AM314" i="2"/>
  <c r="AM313" i="2"/>
  <c r="BN75" i="2"/>
  <c r="V514" i="2"/>
  <c r="V515" i="2"/>
  <c r="V516" i="2"/>
  <c r="V517" i="2"/>
  <c r="V494" i="2"/>
  <c r="V497" i="2"/>
  <c r="S277" i="2"/>
  <c r="U289" i="2"/>
  <c r="Y495" i="2"/>
  <c r="Y696" i="2"/>
  <c r="X801" i="2" a="1"/>
  <c r="X801" i="2"/>
  <c r="AR414" i="2"/>
  <c r="AR421" i="2"/>
  <c r="AR419" i="2"/>
  <c r="AR411" i="2"/>
  <c r="AV282" i="2"/>
  <c r="AA420" i="2"/>
  <c r="AA444" i="2"/>
  <c r="AO92" i="2"/>
  <c r="AK79" i="2"/>
  <c r="AK68" i="2"/>
  <c r="AH316" i="2"/>
  <c r="AH317" i="2"/>
  <c r="AH314" i="2"/>
  <c r="AH313" i="2"/>
  <c r="AH315" i="2"/>
  <c r="BE320" i="2"/>
  <c r="Z92" i="2"/>
  <c r="V79" i="2"/>
  <c r="V68" i="2"/>
  <c r="AS67" i="2"/>
  <c r="AS92" i="2"/>
  <c r="R455" i="2"/>
  <c r="R459" i="2"/>
  <c r="Q472" i="2"/>
  <c r="Q483" i="2"/>
  <c r="AP420" i="2"/>
  <c r="AY381" i="2"/>
  <c r="AY213" i="2"/>
  <c r="AY214" i="2"/>
  <c r="AY31" i="2"/>
  <c r="BH280" i="2"/>
  <c r="AX409" i="2"/>
  <c r="AX796" i="2" a="1"/>
  <c r="AX796" i="2"/>
  <c r="AX797" i="2" a="1"/>
  <c r="AX797" i="2"/>
  <c r="BO28" i="2"/>
  <c r="AU150" i="2"/>
  <c r="AU152" i="2"/>
  <c r="AU155" i="2"/>
  <c r="BE137" i="2"/>
  <c r="BE116" i="2"/>
  <c r="BI136" i="2"/>
  <c r="S288" i="2"/>
  <c r="S300" i="2"/>
  <c r="S301" i="2"/>
  <c r="S299" i="2"/>
  <c r="AC419" i="2"/>
  <c r="AC411" i="2"/>
  <c r="AC414" i="2"/>
  <c r="AC421" i="2"/>
  <c r="T285" i="2"/>
  <c r="T276" i="2"/>
  <c r="T281" i="2"/>
  <c r="AH68" i="2"/>
  <c r="AH79" i="2"/>
  <c r="BN522" i="2"/>
  <c r="BO522" i="2"/>
  <c r="BN523" i="2"/>
  <c r="AJ515" i="2"/>
  <c r="AJ516" i="2"/>
  <c r="AJ517" i="2"/>
  <c r="AV116" i="2"/>
  <c r="AV137" i="2"/>
  <c r="BH331" i="2"/>
  <c r="BH395" i="2"/>
  <c r="AD722" i="2"/>
  <c r="AD723" i="2"/>
  <c r="AD739" i="2"/>
  <c r="AQ301" i="2"/>
  <c r="AQ300" i="2"/>
  <c r="AL316" i="2"/>
  <c r="AL317" i="2"/>
  <c r="AL322" i="2"/>
  <c r="AL314" i="2"/>
  <c r="AL313" i="2"/>
  <c r="AL315" i="2"/>
  <c r="AD68" i="2"/>
  <c r="AD79" i="2"/>
  <c r="AZ322" i="2"/>
  <c r="BK153" i="2"/>
  <c r="BL148" i="2"/>
  <c r="AZ278" i="2"/>
  <c r="AK277" i="2"/>
  <c r="AI380" i="2"/>
  <c r="AI275" i="2"/>
  <c r="AI12" i="2"/>
  <c r="BH314" i="2"/>
  <c r="BM314" i="2"/>
  <c r="BH315" i="2"/>
  <c r="BM315" i="2"/>
  <c r="BH316" i="2"/>
  <c r="BH317" i="2"/>
  <c r="BH313" i="2"/>
  <c r="BM313" i="2"/>
  <c r="BJ78" i="2"/>
  <c r="BD289" i="2"/>
  <c r="BJ28" i="2"/>
  <c r="BJ9" i="2"/>
  <c r="AZ414" i="2"/>
  <c r="AZ421" i="2"/>
  <c r="AZ411" i="2"/>
  <c r="AZ419" i="2"/>
  <c r="BA79" i="2"/>
  <c r="BA68" i="2"/>
  <c r="S316" i="2"/>
  <c r="S317" i="2"/>
  <c r="S322" i="2"/>
  <c r="S313" i="2"/>
  <c r="S314" i="2"/>
  <c r="S315" i="2"/>
  <c r="Q92" i="2"/>
  <c r="U91" i="2"/>
  <c r="Q67" i="2"/>
  <c r="Q514" i="2"/>
  <c r="Q515" i="2"/>
  <c r="Q516" i="2"/>
  <c r="Q517" i="2"/>
  <c r="Q494" i="2"/>
  <c r="Q497" i="2"/>
  <c r="BG189" i="2"/>
  <c r="BL188" i="2"/>
  <c r="BQ188" i="2"/>
  <c r="X288" i="2"/>
  <c r="X291" i="2"/>
  <c r="X286" i="2"/>
  <c r="X300" i="2"/>
  <c r="X301" i="2"/>
  <c r="X299" i="2"/>
  <c r="BH405" i="2"/>
  <c r="BI810" i="2"/>
  <c r="BH417" i="2"/>
  <c r="BH416" i="2"/>
  <c r="AQ277" i="2"/>
  <c r="AV278" i="2"/>
  <c r="BI289" i="2"/>
  <c r="BG801" i="2" a="1"/>
  <c r="BG801" i="2"/>
  <c r="Z91" i="2"/>
  <c r="BF444" i="2"/>
  <c r="BF420" i="2"/>
  <c r="AI163" i="2"/>
  <c r="AU79" i="2"/>
  <c r="AU68" i="2"/>
  <c r="BN10" i="2"/>
  <c r="AJ289" i="2"/>
  <c r="BF280" i="2"/>
  <c r="BF277" i="2"/>
  <c r="AQ79" i="2"/>
  <c r="AQ68" i="2"/>
  <c r="AU419" i="2"/>
  <c r="AU414" i="2"/>
  <c r="AU421" i="2"/>
  <c r="AU411" i="2"/>
  <c r="BC285" i="2"/>
  <c r="BC297" i="2"/>
  <c r="BC276" i="2"/>
  <c r="BC281" i="2"/>
  <c r="AR79" i="2"/>
  <c r="AR68" i="2"/>
  <c r="Q803" i="2" a="1"/>
  <c r="Q803" i="2"/>
  <c r="Q409" i="2"/>
  <c r="Q797" i="2" a="1"/>
  <c r="Q797" i="2"/>
  <c r="Q796" i="2" a="1"/>
  <c r="Q796" i="2"/>
  <c r="V803" i="2" a="1"/>
  <c r="V803" i="2"/>
  <c r="U810" i="2"/>
  <c r="BF285" i="2"/>
  <c r="BF286" i="2"/>
  <c r="W301" i="2"/>
  <c r="W300" i="2"/>
  <c r="W299" i="2"/>
  <c r="BG288" i="2"/>
  <c r="BG291" i="2"/>
  <c r="BG286" i="2"/>
  <c r="BG301" i="2"/>
  <c r="BG299" i="2"/>
  <c r="BG300" i="2"/>
  <c r="X277" i="2"/>
  <c r="P515" i="2"/>
  <c r="P516" i="2"/>
  <c r="P517" i="2"/>
  <c r="BA444" i="2"/>
  <c r="BA420" i="2"/>
  <c r="BC116" i="2"/>
  <c r="BC137" i="2"/>
  <c r="AE514" i="2"/>
  <c r="AE494" i="2"/>
  <c r="AE497" i="2"/>
  <c r="AE545" i="2"/>
  <c r="AE536" i="2"/>
  <c r="AQ316" i="2"/>
  <c r="AQ317" i="2"/>
  <c r="AV322" i="2"/>
  <c r="AQ315" i="2"/>
  <c r="AV321" i="2"/>
  <c r="AQ313" i="2"/>
  <c r="AV319" i="2"/>
  <c r="AQ314" i="2"/>
  <c r="AV320" i="2"/>
  <c r="BH276" i="2"/>
  <c r="BH281" i="2"/>
  <c r="BH285" i="2"/>
  <c r="BH286" i="2"/>
  <c r="AW803" i="2" a="1"/>
  <c r="AW803" i="2"/>
  <c r="AW409" i="2"/>
  <c r="AW797" i="2" a="1"/>
  <c r="AW797" i="2"/>
  <c r="AW796" i="2" a="1"/>
  <c r="AW796" i="2"/>
  <c r="BC405" i="2"/>
  <c r="BB803" i="2" a="1"/>
  <c r="BB803" i="2"/>
  <c r="BC417" i="2"/>
  <c r="BC416" i="2"/>
  <c r="BP54" i="2"/>
  <c r="BO58" i="2"/>
  <c r="AK316" i="2"/>
  <c r="AK317" i="2"/>
  <c r="AK322" i="2"/>
  <c r="AK314" i="2"/>
  <c r="AK315" i="2"/>
  <c r="AK313" i="2"/>
  <c r="BS29" i="2"/>
  <c r="AC801" i="2" a="1"/>
  <c r="AC801" i="2"/>
  <c r="AI285" i="2"/>
  <c r="AI297" i="2"/>
  <c r="AI276" i="2"/>
  <c r="AI281" i="2"/>
  <c r="AJ217" i="2"/>
  <c r="BF189" i="2"/>
  <c r="BK188" i="2"/>
  <c r="BP188" i="2"/>
  <c r="BM188" i="2"/>
  <c r="BR188" i="2"/>
  <c r="AK414" i="2"/>
  <c r="AK421" i="2"/>
  <c r="AK411" i="2"/>
  <c r="AK419" i="2"/>
  <c r="Z285" i="2"/>
  <c r="Z297" i="2"/>
  <c r="Y294" i="2"/>
  <c r="Z294" i="2"/>
  <c r="AF801" i="2" a="1"/>
  <c r="AF801" i="2"/>
  <c r="BJ128" i="2"/>
  <c r="BJ136" i="2"/>
  <c r="AN188" i="2"/>
  <c r="AN12" i="2"/>
  <c r="AN380" i="2"/>
  <c r="AN275" i="2"/>
  <c r="AN284" i="2"/>
  <c r="AJ801" i="2" a="1"/>
  <c r="AJ801" i="2"/>
  <c r="T414" i="2"/>
  <c r="T421" i="2"/>
  <c r="T411" i="2"/>
  <c r="T419" i="2"/>
  <c r="T496" i="2"/>
  <c r="T510" i="2"/>
  <c r="T511" i="2"/>
  <c r="T512" i="2"/>
  <c r="T513" i="2"/>
  <c r="W277" i="2"/>
  <c r="BG280" i="2"/>
  <c r="BG277" i="2"/>
  <c r="X316" i="2"/>
  <c r="X317" i="2"/>
  <c r="X314" i="2"/>
  <c r="X315" i="2"/>
  <c r="AC321" i="2"/>
  <c r="X313" i="2"/>
  <c r="BB801" i="2" a="1"/>
  <c r="BB801" i="2"/>
  <c r="AQ420" i="2"/>
  <c r="S420" i="2"/>
  <c r="S444" i="2"/>
  <c r="BU134" i="2"/>
  <c r="BU124" i="2"/>
  <c r="BT54" i="2"/>
  <c r="BS58" i="2"/>
  <c r="AI722" i="2"/>
  <c r="AI723" i="2"/>
  <c r="AI739" i="2"/>
  <c r="BC331" i="2"/>
  <c r="BC395" i="2"/>
  <c r="BO59" i="2"/>
  <c r="BI12" i="16"/>
  <c r="AX14" i="17"/>
  <c r="AX6" i="17"/>
  <c r="BH21" i="16"/>
  <c r="BI21" i="16"/>
  <c r="BJ21" i="16"/>
  <c r="BH12" i="16"/>
  <c r="BB21" i="17"/>
  <c r="BH19" i="16"/>
  <c r="BI19" i="16"/>
  <c r="BJ19" i="16"/>
  <c r="BK19" i="16"/>
  <c r="BB18" i="17"/>
  <c r="H18" i="15"/>
  <c r="R11" i="15"/>
  <c r="BA18" i="17"/>
  <c r="G18" i="15"/>
  <c r="Q11" i="15"/>
  <c r="AX10" i="17"/>
  <c r="AX8" i="17"/>
  <c r="AZ18" i="17"/>
  <c r="F18" i="15"/>
  <c r="P11" i="15"/>
  <c r="AR44" i="11"/>
  <c r="AF70" i="9"/>
  <c r="AG70" i="9"/>
  <c r="AE71" i="9"/>
  <c r="AC320" i="2"/>
  <c r="AQ299" i="2"/>
  <c r="AQ302" i="2"/>
  <c r="AQ303" i="2"/>
  <c r="AR302" i="2"/>
  <c r="AR303" i="2"/>
  <c r="AW319" i="2"/>
  <c r="S801" i="2" a="1"/>
  <c r="S801" i="2"/>
  <c r="AZ297" i="2"/>
  <c r="AR319" i="2"/>
  <c r="AG321" i="2"/>
  <c r="AP319" i="2"/>
  <c r="AU320" i="2"/>
  <c r="BG321" i="2"/>
  <c r="AQ321" i="2"/>
  <c r="BO9" i="2"/>
  <c r="AT67" i="2"/>
  <c r="AM321" i="2"/>
  <c r="AT78" i="2"/>
  <c r="AT77" i="2"/>
  <c r="AT89" i="2"/>
  <c r="AB302" i="2"/>
  <c r="AB303" i="2"/>
  <c r="AL320" i="2"/>
  <c r="AC319" i="2"/>
  <c r="BF321" i="2"/>
  <c r="BD380" i="2"/>
  <c r="BD275" i="2"/>
  <c r="BD277" i="2"/>
  <c r="W286" i="2"/>
  <c r="AB310" i="2"/>
  <c r="AU319" i="2"/>
  <c r="AP299" i="2"/>
  <c r="AP302" i="2"/>
  <c r="AP303" i="2"/>
  <c r="V302" i="2"/>
  <c r="V303" i="2"/>
  <c r="AP286" i="2"/>
  <c r="AP310" i="2"/>
  <c r="AG322" i="2"/>
  <c r="AP288" i="2"/>
  <c r="AP291" i="2"/>
  <c r="AG320" i="2"/>
  <c r="AG319" i="2"/>
  <c r="BI12" i="2"/>
  <c r="X302" i="2"/>
  <c r="X303" i="2"/>
  <c r="BH277" i="2"/>
  <c r="BH282" i="2"/>
  <c r="AP321" i="2"/>
  <c r="W322" i="2"/>
  <c r="AP320" i="2"/>
  <c r="AH320" i="2"/>
  <c r="AA321" i="2"/>
  <c r="AA319" i="2"/>
  <c r="BO779" i="2"/>
  <c r="BN560" i="2"/>
  <c r="BP777" i="2"/>
  <c r="BO524" i="2"/>
  <c r="AR320" i="2"/>
  <c r="AG302" i="2"/>
  <c r="AG303" i="2"/>
  <c r="AW322" i="2"/>
  <c r="BG320" i="2"/>
  <c r="AN280" i="2"/>
  <c r="AN277" i="2"/>
  <c r="BG302" i="2"/>
  <c r="BG303" i="2"/>
  <c r="AU420" i="2"/>
  <c r="AI277" i="2"/>
  <c r="AH87" i="2"/>
  <c r="AH97" i="2"/>
  <c r="AH98" i="2"/>
  <c r="AU156" i="2"/>
  <c r="AZ156" i="2"/>
  <c r="AH322" i="2"/>
  <c r="BA297" i="2"/>
  <c r="U490" i="2"/>
  <c r="U485" i="2"/>
  <c r="T288" i="2"/>
  <c r="T291" i="2"/>
  <c r="T286" i="2"/>
  <c r="Y310" i="2"/>
  <c r="U284" i="2"/>
  <c r="T301" i="2"/>
  <c r="U301" i="2"/>
  <c r="T299" i="2"/>
  <c r="T300" i="2"/>
  <c r="U300" i="2"/>
  <c r="BB132" i="2"/>
  <c r="BB143" i="2"/>
  <c r="BB142" i="2"/>
  <c r="W445" i="2"/>
  <c r="W447" i="2"/>
  <c r="W540" i="2" a="1"/>
  <c r="W540" i="2"/>
  <c r="W541" i="2"/>
  <c r="BF320" i="2"/>
  <c r="BF319" i="2"/>
  <c r="BQ103" i="2"/>
  <c r="BP107" i="2"/>
  <c r="BA288" i="2"/>
  <c r="BA291" i="2"/>
  <c r="BA286" i="2"/>
  <c r="BF310" i="2"/>
  <c r="BA300" i="2"/>
  <c r="BA301" i="2"/>
  <c r="BA299" i="2"/>
  <c r="AB278" i="2"/>
  <c r="AS534" i="2"/>
  <c r="AS332" i="2"/>
  <c r="AA310" i="2"/>
  <c r="AR282" i="2"/>
  <c r="AR278" i="2"/>
  <c r="BI277" i="2"/>
  <c r="BQ314" i="2"/>
  <c r="W278" i="2"/>
  <c r="AN314" i="2"/>
  <c r="AN315" i="2"/>
  <c r="AN313" i="2"/>
  <c r="AN316" i="2"/>
  <c r="AN317" i="2"/>
  <c r="AJ276" i="2"/>
  <c r="AJ281" i="2"/>
  <c r="AJ213" i="2"/>
  <c r="AJ214" i="2"/>
  <c r="AE515" i="2"/>
  <c r="AE516" i="2"/>
  <c r="AE517" i="2"/>
  <c r="AI316" i="2"/>
  <c r="AI317" i="2"/>
  <c r="AI314" i="2"/>
  <c r="AI315" i="2"/>
  <c r="AI313" i="2"/>
  <c r="AY150" i="2"/>
  <c r="W455" i="2"/>
  <c r="W459" i="2"/>
  <c r="V472" i="2"/>
  <c r="V483" i="2"/>
  <c r="T316" i="2"/>
  <c r="T317" i="2"/>
  <c r="T322" i="2"/>
  <c r="T315" i="2"/>
  <c r="T313" i="2"/>
  <c r="T314" i="2"/>
  <c r="AM282" i="2"/>
  <c r="AM278" i="2"/>
  <c r="BB420" i="2"/>
  <c r="BB444" i="2"/>
  <c r="AM288" i="2"/>
  <c r="AM291" i="2"/>
  <c r="AM286" i="2"/>
  <c r="AM301" i="2"/>
  <c r="AM300" i="2"/>
  <c r="AM299" i="2"/>
  <c r="R87" i="2"/>
  <c r="R97" i="2"/>
  <c r="R98" i="2"/>
  <c r="BG143" i="2"/>
  <c r="BG142" i="2"/>
  <c r="BG132" i="2"/>
  <c r="AU322" i="2"/>
  <c r="AY284" i="2"/>
  <c r="AX288" i="2"/>
  <c r="AX291" i="2"/>
  <c r="AX286" i="2"/>
  <c r="AX301" i="2"/>
  <c r="AY301" i="2"/>
  <c r="AX299" i="2"/>
  <c r="AX300" i="2"/>
  <c r="AY300" i="2"/>
  <c r="BM799" i="2"/>
  <c r="BM521" i="2"/>
  <c r="BN521" i="2"/>
  <c r="AK320" i="2"/>
  <c r="AJ444" i="2"/>
  <c r="AI445" i="2"/>
  <c r="AI447" i="2"/>
  <c r="AI540" i="2" a="1"/>
  <c r="AI540" i="2"/>
  <c r="AI541" i="2"/>
  <c r="BI316" i="2"/>
  <c r="BI317" i="2"/>
  <c r="BI315" i="2"/>
  <c r="BI313" i="2"/>
  <c r="BI314" i="2"/>
  <c r="AT381" i="2"/>
  <c r="AT11" i="2"/>
  <c r="AT31" i="2"/>
  <c r="AY12" i="2"/>
  <c r="AU117" i="2"/>
  <c r="AY137" i="2"/>
  <c r="AU128" i="2"/>
  <c r="AU132" i="2"/>
  <c r="BQ313" i="2"/>
  <c r="BU61" i="2"/>
  <c r="BU62" i="2"/>
  <c r="BU71" i="2"/>
  <c r="BT57" i="2"/>
  <c r="BT59" i="2"/>
  <c r="BC409" i="2"/>
  <c r="BC796" i="2" a="1"/>
  <c r="BC796" i="2"/>
  <c r="BC803" i="2" a="1"/>
  <c r="BC803" i="2"/>
  <c r="BC797" i="2" a="1"/>
  <c r="BC797" i="2"/>
  <c r="BD810" i="2"/>
  <c r="BE803" i="2" a="1"/>
  <c r="BE803" i="2"/>
  <c r="BC128" i="2"/>
  <c r="BC117" i="2"/>
  <c r="AU87" i="2"/>
  <c r="AU97" i="2"/>
  <c r="AU98" i="2"/>
  <c r="AU96" i="2"/>
  <c r="BH409" i="2"/>
  <c r="BH803" i="2" a="1"/>
  <c r="BH803" i="2"/>
  <c r="BH797" i="2" a="1"/>
  <c r="BH797" i="2"/>
  <c r="BH796" i="2" a="1"/>
  <c r="BH796" i="2"/>
  <c r="AK278" i="2"/>
  <c r="AQ286" i="2"/>
  <c r="AE455" i="2"/>
  <c r="AE459" i="2"/>
  <c r="AA455" i="2"/>
  <c r="AA459" i="2"/>
  <c r="Z472" i="2"/>
  <c r="Z483" i="2"/>
  <c r="R302" i="2"/>
  <c r="R303" i="2"/>
  <c r="R304" i="2"/>
  <c r="AE380" i="2"/>
  <c r="AE275" i="2"/>
  <c r="AE12" i="2"/>
  <c r="BM138" i="2"/>
  <c r="R411" i="2"/>
  <c r="R414" i="2"/>
  <c r="R421" i="2"/>
  <c r="R419" i="2"/>
  <c r="AE166" i="2"/>
  <c r="AA166" i="2"/>
  <c r="AX315" i="2"/>
  <c r="AX313" i="2"/>
  <c r="AX314" i="2"/>
  <c r="AX316" i="2"/>
  <c r="AX317" i="2"/>
  <c r="AJ12" i="2"/>
  <c r="AN534" i="2"/>
  <c r="AN332" i="2"/>
  <c r="Y79" i="2"/>
  <c r="Y68" i="2"/>
  <c r="AN98" i="2"/>
  <c r="AN87" i="2"/>
  <c r="AV444" i="2"/>
  <c r="AV420" i="2"/>
  <c r="AK294" i="2"/>
  <c r="AK297" i="2"/>
  <c r="Q302" i="2"/>
  <c r="Q303" i="2"/>
  <c r="Q304" i="2"/>
  <c r="AY127" i="2"/>
  <c r="AY126" i="2"/>
  <c r="AY134" i="2"/>
  <c r="AY116" i="2"/>
  <c r="BQ315" i="2"/>
  <c r="AG419" i="2"/>
  <c r="AG414" i="2"/>
  <c r="AG421" i="2"/>
  <c r="AG411" i="2"/>
  <c r="AI294" i="2"/>
  <c r="AJ294" i="2"/>
  <c r="AJ285" i="2"/>
  <c r="AJ286" i="2"/>
  <c r="AJ163" i="2"/>
  <c r="U78" i="2"/>
  <c r="U77" i="2"/>
  <c r="U89" i="2"/>
  <c r="U67" i="2"/>
  <c r="U285" i="2"/>
  <c r="T294" i="2"/>
  <c r="U294" i="2"/>
  <c r="AK98" i="2"/>
  <c r="AK97" i="2"/>
  <c r="AK87" i="2"/>
  <c r="AI801" i="2" a="1"/>
  <c r="AI801" i="2"/>
  <c r="AK801" i="2" a="1"/>
  <c r="AK801" i="2"/>
  <c r="AL420" i="2"/>
  <c r="AL444" i="2"/>
  <c r="W321" i="2"/>
  <c r="R321" i="2"/>
  <c r="AF97" i="2"/>
  <c r="AF98" i="2"/>
  <c r="AF87" i="2"/>
  <c r="BH128" i="2"/>
  <c r="BH117" i="2"/>
  <c r="T97" i="2"/>
  <c r="T98" i="2"/>
  <c r="T96" i="2"/>
  <c r="T87" i="2"/>
  <c r="AX280" i="2"/>
  <c r="AX277" i="2"/>
  <c r="P161" i="2"/>
  <c r="AW321" i="2"/>
  <c r="BC79" i="2"/>
  <c r="BC68" i="2"/>
  <c r="BJ116" i="2"/>
  <c r="BN136" i="2"/>
  <c r="Q419" i="2"/>
  <c r="Q414" i="2"/>
  <c r="Q421" i="2"/>
  <c r="Q411" i="2"/>
  <c r="U92" i="2"/>
  <c r="Q79" i="2"/>
  <c r="V97" i="2"/>
  <c r="Q68" i="2"/>
  <c r="AO79" i="2"/>
  <c r="AO68" i="2"/>
  <c r="AI514" i="2"/>
  <c r="AI515" i="2"/>
  <c r="AI516" i="2"/>
  <c r="AI517" i="2"/>
  <c r="AI497" i="2"/>
  <c r="AI494" i="2"/>
  <c r="X445" i="2"/>
  <c r="X447" i="2"/>
  <c r="X540" i="2" a="1"/>
  <c r="X540" i="2"/>
  <c r="X541" i="2"/>
  <c r="AR297" i="2"/>
  <c r="W320" i="2"/>
  <c r="R320" i="2"/>
  <c r="AA5" i="2"/>
  <c r="AB5" i="2"/>
  <c r="AC5" i="2"/>
  <c r="AD5" i="2"/>
  <c r="AC869" i="2"/>
  <c r="AE5" i="2"/>
  <c r="BH79" i="2"/>
  <c r="BH68" i="2"/>
  <c r="AJ277" i="2"/>
  <c r="AO515" i="2"/>
  <c r="AO516" i="2"/>
  <c r="AO517" i="2"/>
  <c r="AH319" i="2"/>
  <c r="AW320" i="2"/>
  <c r="AS188" i="2"/>
  <c r="AS189" i="2"/>
  <c r="AS12" i="2"/>
  <c r="AS380" i="2"/>
  <c r="AS275" i="2"/>
  <c r="AS284" i="2"/>
  <c r="AV284" i="2"/>
  <c r="AU284" i="2"/>
  <c r="AW284" i="2"/>
  <c r="BJ143" i="2"/>
  <c r="BJ137" i="2"/>
  <c r="BJ138" i="2"/>
  <c r="AD801" i="2" a="1"/>
  <c r="AD801" i="2"/>
  <c r="BA445" i="2"/>
  <c r="BA447" i="2"/>
  <c r="BA540" i="2" a="1"/>
  <c r="BA540" i="2"/>
  <c r="BA541" i="2"/>
  <c r="AQ297" i="2"/>
  <c r="AQ87" i="2"/>
  <c r="AQ97" i="2"/>
  <c r="AQ98" i="2"/>
  <c r="X321" i="2"/>
  <c r="S321" i="2"/>
  <c r="AC444" i="2"/>
  <c r="AC420" i="2"/>
  <c r="Q490" i="2"/>
  <c r="Q485" i="2"/>
  <c r="AA445" i="2"/>
  <c r="AA447" i="2"/>
  <c r="AA540" i="2" a="1"/>
  <c r="AA540" i="2"/>
  <c r="AA541" i="2"/>
  <c r="AR321" i="2"/>
  <c r="BE319" i="2"/>
  <c r="W319" i="2"/>
  <c r="R319" i="2"/>
  <c r="AB444" i="2"/>
  <c r="AB420" i="2"/>
  <c r="BM103" i="2"/>
  <c r="BL107" i="2"/>
  <c r="AI284" i="2"/>
  <c r="AJ288" i="2"/>
  <c r="AJ291" i="2"/>
  <c r="V319" i="2"/>
  <c r="Q319" i="2"/>
  <c r="AH321" i="2"/>
  <c r="AR322" i="2"/>
  <c r="BS61" i="2"/>
  <c r="BL57" i="2"/>
  <c r="BL59" i="2"/>
  <c r="BR61" i="2"/>
  <c r="BR62" i="2"/>
  <c r="BR71" i="2"/>
  <c r="BF98" i="2"/>
  <c r="BF87" i="2"/>
  <c r="BF97" i="2"/>
  <c r="AV97" i="2"/>
  <c r="AV98" i="2"/>
  <c r="AV87" i="2"/>
  <c r="BM67" i="2"/>
  <c r="S445" i="2"/>
  <c r="S447" i="2"/>
  <c r="S540" i="2" a="1"/>
  <c r="S540" i="2"/>
  <c r="S541" i="2"/>
  <c r="BT29" i="2"/>
  <c r="BS10" i="2"/>
  <c r="AW419" i="2"/>
  <c r="AW414" i="2"/>
  <c r="AW421" i="2"/>
  <c r="AW411" i="2"/>
  <c r="BF445" i="2"/>
  <c r="BF447" i="2"/>
  <c r="BF540" i="2" a="1"/>
  <c r="BF540" i="2"/>
  <c r="BF541" i="2"/>
  <c r="X320" i="2"/>
  <c r="S320" i="2"/>
  <c r="BL151" i="2"/>
  <c r="BL152" i="2"/>
  <c r="S455" i="2"/>
  <c r="S459" i="2"/>
  <c r="R472" i="2"/>
  <c r="R483" i="2"/>
  <c r="BE321" i="2"/>
  <c r="AL87" i="2"/>
  <c r="AL98" i="2"/>
  <c r="AL97" i="2"/>
  <c r="AL288" i="2"/>
  <c r="AL291" i="2"/>
  <c r="AL286" i="2"/>
  <c r="AL300" i="2"/>
  <c r="AL299" i="2"/>
  <c r="AL301" i="2"/>
  <c r="BL142" i="2"/>
  <c r="BL143" i="2"/>
  <c r="BL137" i="2"/>
  <c r="BL117" i="2"/>
  <c r="AH801" i="2" a="1"/>
  <c r="AH801" i="2"/>
  <c r="BG419" i="2"/>
  <c r="BG414" i="2"/>
  <c r="BG421" i="2"/>
  <c r="BG411" i="2"/>
  <c r="AF286" i="2"/>
  <c r="AK310" i="2"/>
  <c r="AF288" i="2"/>
  <c r="AF291" i="2"/>
  <c r="AF300" i="2"/>
  <c r="AF301" i="2"/>
  <c r="AF299" i="2"/>
  <c r="BR124" i="2"/>
  <c r="BR134" i="2"/>
  <c r="BS120" i="2"/>
  <c r="AJ316" i="2"/>
  <c r="AJ317" i="2"/>
  <c r="AJ314" i="2"/>
  <c r="AJ315" i="2"/>
  <c r="AJ313" i="2"/>
  <c r="V320" i="2"/>
  <c r="Q320" i="2"/>
  <c r="AC322" i="2"/>
  <c r="Z277" i="2"/>
  <c r="AH419" i="2"/>
  <c r="AH411" i="2"/>
  <c r="AH414" i="2"/>
  <c r="AH421" i="2"/>
  <c r="BB322" i="2"/>
  <c r="AB97" i="2"/>
  <c r="AB98" i="2"/>
  <c r="AB87" i="2"/>
  <c r="BA282" i="2"/>
  <c r="BA278" i="2"/>
  <c r="AS285" i="2"/>
  <c r="AS297" i="2"/>
  <c r="AS276" i="2"/>
  <c r="AS281" i="2"/>
  <c r="AV285" i="2"/>
  <c r="AV294" i="2"/>
  <c r="AT217" i="2"/>
  <c r="AT276" i="2"/>
  <c r="AT281" i="2"/>
  <c r="AU285" i="2"/>
  <c r="AU294" i="2"/>
  <c r="AW285" i="2"/>
  <c r="AW294" i="2"/>
  <c r="AB319" i="2"/>
  <c r="BM92" i="2"/>
  <c r="BM68" i="2"/>
  <c r="BM98" i="2"/>
  <c r="BM97" i="2"/>
  <c r="X319" i="2"/>
  <c r="S319" i="2"/>
  <c r="BH534" i="2"/>
  <c r="BH332" i="2"/>
  <c r="S302" i="2"/>
  <c r="S303" i="2"/>
  <c r="S304" i="2"/>
  <c r="AS79" i="2"/>
  <c r="AS68" i="2"/>
  <c r="BI299" i="2"/>
  <c r="BI302" i="2"/>
  <c r="BI303" i="2"/>
  <c r="BH302" i="2"/>
  <c r="BH303" i="2"/>
  <c r="AH288" i="2"/>
  <c r="AH291" i="2"/>
  <c r="AH286" i="2"/>
  <c r="AH301" i="2"/>
  <c r="AH300" i="2"/>
  <c r="AH299" i="2"/>
  <c r="V445" i="2"/>
  <c r="V447" i="2"/>
  <c r="V540" i="2" a="1"/>
  <c r="V540" i="2"/>
  <c r="V541" i="2"/>
  <c r="BL116" i="2"/>
  <c r="BG803" i="2" a="1"/>
  <c r="BG803" i="2"/>
  <c r="V321" i="2"/>
  <c r="Q321" i="2"/>
  <c r="Y420" i="2"/>
  <c r="Y444" i="2"/>
  <c r="AT289" i="2"/>
  <c r="AB320" i="2"/>
  <c r="BG319" i="2"/>
  <c r="V801" i="2" a="1"/>
  <c r="V801" i="2"/>
  <c r="BH294" i="2"/>
  <c r="BI294" i="2"/>
  <c r="BI285" i="2"/>
  <c r="BI297" i="2"/>
  <c r="W302" i="2"/>
  <c r="W303" i="2"/>
  <c r="AX411" i="2"/>
  <c r="AX419" i="2"/>
  <c r="AX414" i="2"/>
  <c r="AX421" i="2"/>
  <c r="AL278" i="2"/>
  <c r="AL282" i="2"/>
  <c r="BF128" i="2"/>
  <c r="BK142" i="2"/>
  <c r="BF117" i="2"/>
  <c r="BO313" i="2"/>
  <c r="BE302" i="2"/>
  <c r="BE303" i="2"/>
  <c r="AN409" i="2"/>
  <c r="AN803" i="2" a="1"/>
  <c r="AN803" i="2"/>
  <c r="AN797" i="2" a="1"/>
  <c r="AN797" i="2"/>
  <c r="AN796" i="2" a="1"/>
  <c r="AN796" i="2"/>
  <c r="AP803" i="2" a="1"/>
  <c r="AP803" i="2"/>
  <c r="AO810" i="2"/>
  <c r="AO380" i="2"/>
  <c r="AO275" i="2"/>
  <c r="AO12" i="2"/>
  <c r="AP278" i="2"/>
  <c r="AL319" i="2"/>
  <c r="AG87" i="2"/>
  <c r="AG98" i="2"/>
  <c r="AG97" i="2"/>
  <c r="AD277" i="2"/>
  <c r="BB278" i="2"/>
  <c r="BB282" i="2"/>
  <c r="X97" i="2"/>
  <c r="X98" i="2"/>
  <c r="X87" i="2"/>
  <c r="AF297" i="2"/>
  <c r="Z316" i="2"/>
  <c r="Z317" i="2"/>
  <c r="Z314" i="2"/>
  <c r="Z313" i="2"/>
  <c r="Z315" i="2"/>
  <c r="AU278" i="2"/>
  <c r="BG87" i="2"/>
  <c r="BG97" i="2"/>
  <c r="BG98" i="2"/>
  <c r="AC302" i="2"/>
  <c r="AC303" i="2"/>
  <c r="AB321" i="2"/>
  <c r="AW282" i="2"/>
  <c r="AW278" i="2"/>
  <c r="AK302" i="2"/>
  <c r="AK303" i="2"/>
  <c r="T444" i="2"/>
  <c r="T420" i="2"/>
  <c r="BF278" i="2"/>
  <c r="BF282" i="2"/>
  <c r="BJ91" i="2"/>
  <c r="BJ79" i="2"/>
  <c r="AD98" i="2"/>
  <c r="AD87" i="2"/>
  <c r="AD97" i="2"/>
  <c r="AV128" i="2"/>
  <c r="AV132" i="2"/>
  <c r="AV117" i="2"/>
  <c r="AR420" i="2"/>
  <c r="BO314" i="2"/>
  <c r="AC98" i="2"/>
  <c r="AC87" i="2"/>
  <c r="AC97" i="2"/>
  <c r="BN920" i="2" a="1"/>
  <c r="BN920" i="2"/>
  <c r="BO4" i="2"/>
  <c r="BN3" i="2"/>
  <c r="BN890" i="2" a="1"/>
  <c r="BN890" i="2"/>
  <c r="AM87" i="2"/>
  <c r="AM97" i="2"/>
  <c r="AM98" i="2"/>
  <c r="AS409" i="2"/>
  <c r="AS803" i="2" a="1"/>
  <c r="AS803" i="2"/>
  <c r="AS796" i="2" a="1"/>
  <c r="AS796" i="2"/>
  <c r="AS797" i="2" a="1"/>
  <c r="AS797" i="2"/>
  <c r="AU803" i="2" a="1"/>
  <c r="AU803" i="2"/>
  <c r="AR803" i="2" a="1"/>
  <c r="AR803" i="2"/>
  <c r="AT810" i="2"/>
  <c r="AA278" i="2"/>
  <c r="AA320" i="2"/>
  <c r="AC278" i="2"/>
  <c r="BK97" i="2"/>
  <c r="BK92" i="2"/>
  <c r="BK68" i="2"/>
  <c r="BK98" i="2"/>
  <c r="BI92" i="2"/>
  <c r="AK444" i="2"/>
  <c r="AK420" i="2"/>
  <c r="Z78" i="2"/>
  <c r="Z77" i="2"/>
  <c r="Z89" i="2"/>
  <c r="Z67" i="2"/>
  <c r="BA98" i="2"/>
  <c r="BA97" i="2"/>
  <c r="BA87" i="2"/>
  <c r="BR313" i="2"/>
  <c r="V87" i="2"/>
  <c r="V98" i="2"/>
  <c r="BO315" i="2"/>
  <c r="BA128" i="2"/>
  <c r="BA117" i="2"/>
  <c r="AJ414" i="2"/>
  <c r="AJ421" i="2"/>
  <c r="AJ543" i="2"/>
  <c r="AJ419" i="2"/>
  <c r="AJ411" i="2"/>
  <c r="AJ420" i="2"/>
  <c r="AI92" i="2"/>
  <c r="AI67" i="2"/>
  <c r="AJ91" i="2"/>
  <c r="AL321" i="2"/>
  <c r="S87" i="2"/>
  <c r="S97" i="2"/>
  <c r="S98" i="2"/>
  <c r="AN245" i="2"/>
  <c r="AN215" i="2"/>
  <c r="AD286" i="2"/>
  <c r="AE284" i="2"/>
  <c r="AD288" i="2"/>
  <c r="AD291" i="2"/>
  <c r="AD301" i="2"/>
  <c r="AE301" i="2"/>
  <c r="AD300" i="2"/>
  <c r="AE300" i="2"/>
  <c r="AD299" i="2"/>
  <c r="U380" i="2"/>
  <c r="U275" i="2"/>
  <c r="BK93" i="2"/>
  <c r="BK67" i="2"/>
  <c r="AA87" i="2"/>
  <c r="AA97" i="2"/>
  <c r="AA98" i="2"/>
  <c r="BE98" i="2"/>
  <c r="BE87" i="2"/>
  <c r="BE97" i="2"/>
  <c r="BK143" i="2"/>
  <c r="BK137" i="2"/>
  <c r="BK117" i="2"/>
  <c r="BU106" i="2"/>
  <c r="BV110" i="2"/>
  <c r="BV111" i="2"/>
  <c r="BV120" i="2"/>
  <c r="AJ297" i="2"/>
  <c r="Z68" i="2"/>
  <c r="Z79" i="2"/>
  <c r="BI288" i="2"/>
  <c r="BI291" i="2"/>
  <c r="AX294" i="2"/>
  <c r="AY294" i="2"/>
  <c r="AY285" i="2"/>
  <c r="AY297" i="2"/>
  <c r="BD137" i="2"/>
  <c r="AZ128" i="2"/>
  <c r="AZ117" i="2"/>
  <c r="BB87" i="2"/>
  <c r="BB98" i="2"/>
  <c r="BB97" i="2"/>
  <c r="AK321" i="2"/>
  <c r="AD316" i="2"/>
  <c r="AD317" i="2"/>
  <c r="AD322" i="2"/>
  <c r="AD315" i="2"/>
  <c r="AD314" i="2"/>
  <c r="AI320" i="2"/>
  <c r="AD313" i="2"/>
  <c r="AE79" i="2"/>
  <c r="AE68" i="2"/>
  <c r="AE444" i="2"/>
  <c r="AD445" i="2"/>
  <c r="AD447" i="2"/>
  <c r="AD540" i="2" a="1"/>
  <c r="AD540" i="2"/>
  <c r="AD541" i="2"/>
  <c r="BK116" i="2"/>
  <c r="T514" i="2"/>
  <c r="T515" i="2"/>
  <c r="T516" i="2"/>
  <c r="T517" i="2"/>
  <c r="T494" i="2"/>
  <c r="T497" i="2"/>
  <c r="BF302" i="2"/>
  <c r="BF303" i="2"/>
  <c r="AZ444" i="2"/>
  <c r="AZ420" i="2"/>
  <c r="BR315" i="2"/>
  <c r="AQ319" i="2"/>
  <c r="BI116" i="2"/>
  <c r="BI127" i="2"/>
  <c r="BI126" i="2"/>
  <c r="BI134" i="2"/>
  <c r="Y801" i="2" a="1"/>
  <c r="Y801" i="2"/>
  <c r="AA801" i="2" a="1"/>
  <c r="AA801" i="2"/>
  <c r="BM211" i="2"/>
  <c r="BN211" i="2"/>
  <c r="BN209" i="2"/>
  <c r="BC288" i="2"/>
  <c r="BC291" i="2"/>
  <c r="BC286" i="2"/>
  <c r="BD284" i="2"/>
  <c r="BC301" i="2"/>
  <c r="BD301" i="2"/>
  <c r="BC300" i="2"/>
  <c r="BD300" i="2"/>
  <c r="BC299" i="2"/>
  <c r="AP322" i="2"/>
  <c r="BD67" i="2"/>
  <c r="V322" i="2"/>
  <c r="AW110" i="2"/>
  <c r="AW111" i="2"/>
  <c r="AC310" i="2"/>
  <c r="BP784" i="2"/>
  <c r="BC534" i="2"/>
  <c r="BC332" i="2"/>
  <c r="AQ322" i="2"/>
  <c r="X278" i="2"/>
  <c r="AR97" i="2"/>
  <c r="AR98" i="2"/>
  <c r="AR87" i="2"/>
  <c r="BH297" i="2"/>
  <c r="BR314" i="2"/>
  <c r="AQ320" i="2"/>
  <c r="Y514" i="2"/>
  <c r="Y515" i="2"/>
  <c r="Y516" i="2"/>
  <c r="Y517" i="2"/>
  <c r="Y497" i="2"/>
  <c r="Y494" i="2"/>
  <c r="BC280" i="2"/>
  <c r="BC277" i="2"/>
  <c r="AN801" i="2" a="1"/>
  <c r="AN801" i="2"/>
  <c r="W297" i="2"/>
  <c r="BE278" i="2"/>
  <c r="AD294" i="2"/>
  <c r="AE294" i="2"/>
  <c r="AE285" i="2"/>
  <c r="AE297" i="2"/>
  <c r="BD127" i="2"/>
  <c r="BD126" i="2"/>
  <c r="BD134" i="2"/>
  <c r="BD116" i="2"/>
  <c r="BD92" i="2"/>
  <c r="AB322" i="2"/>
  <c r="BD78" i="2"/>
  <c r="BD77" i="2"/>
  <c r="BD89" i="2"/>
  <c r="BE445" i="2"/>
  <c r="BE447" i="2"/>
  <c r="BE540" i="2" a="1"/>
  <c r="BE540" i="2"/>
  <c r="BE541" i="2"/>
  <c r="AK319" i="2"/>
  <c r="BP153" i="2"/>
  <c r="BQ148" i="2"/>
  <c r="V278" i="2"/>
  <c r="AR286" i="2"/>
  <c r="Z299" i="2"/>
  <c r="Z302" i="2"/>
  <c r="Z303" i="2"/>
  <c r="Y302" i="2"/>
  <c r="Y303" i="2"/>
  <c r="BP314" i="2"/>
  <c r="X322" i="2"/>
  <c r="BP57" i="2"/>
  <c r="BP59" i="2"/>
  <c r="BF294" i="2"/>
  <c r="BF297" i="2"/>
  <c r="AQ278" i="2"/>
  <c r="BN799" i="2"/>
  <c r="BO523" i="2"/>
  <c r="BE128" i="2"/>
  <c r="BE117" i="2"/>
  <c r="BI137" i="2"/>
  <c r="AY380" i="2"/>
  <c r="AY275" i="2"/>
  <c r="BD12" i="2"/>
  <c r="AM319" i="2"/>
  <c r="U297" i="2"/>
  <c r="BC315" i="2"/>
  <c r="BH321" i="2"/>
  <c r="BC314" i="2"/>
  <c r="BH320" i="2"/>
  <c r="BC313" i="2"/>
  <c r="BH319" i="2"/>
  <c r="BC316" i="2"/>
  <c r="BC317" i="2"/>
  <c r="BC322" i="2"/>
  <c r="AH278" i="2"/>
  <c r="AM444" i="2"/>
  <c r="AM420" i="2"/>
  <c r="X294" i="2"/>
  <c r="X297" i="2"/>
  <c r="AZ288" i="2"/>
  <c r="AZ291" i="2"/>
  <c r="AZ286" i="2"/>
  <c r="BE310" i="2"/>
  <c r="AZ300" i="2"/>
  <c r="AZ301" i="2"/>
  <c r="AZ299" i="2"/>
  <c r="AW97" i="2"/>
  <c r="AW96" i="2"/>
  <c r="BH497" i="2"/>
  <c r="BH514" i="2"/>
  <c r="BH515" i="2"/>
  <c r="BH516" i="2"/>
  <c r="BH517" i="2"/>
  <c r="BH494" i="2"/>
  <c r="BP152" i="2"/>
  <c r="AA302" i="2"/>
  <c r="AA303" i="2"/>
  <c r="AA304" i="2"/>
  <c r="W87" i="2"/>
  <c r="W97" i="2"/>
  <c r="W98" i="2"/>
  <c r="BL97" i="2"/>
  <c r="BL92" i="2"/>
  <c r="BL68" i="2"/>
  <c r="BL98" i="2"/>
  <c r="AF445" i="2"/>
  <c r="AF447" i="2"/>
  <c r="AF540" i="2" a="1"/>
  <c r="AF540" i="2"/>
  <c r="AF541" i="2"/>
  <c r="AP98" i="2"/>
  <c r="AP87" i="2"/>
  <c r="AP97" i="2"/>
  <c r="BP313" i="2"/>
  <c r="AX117" i="2"/>
  <c r="AX128" i="2"/>
  <c r="AX132" i="2"/>
  <c r="BG278" i="2"/>
  <c r="BG282" i="2"/>
  <c r="AN288" i="2"/>
  <c r="AN291" i="2"/>
  <c r="AN286" i="2"/>
  <c r="AO284" i="2"/>
  <c r="AN300" i="2"/>
  <c r="AO300" i="2"/>
  <c r="AN301" i="2"/>
  <c r="AO301" i="2"/>
  <c r="AN299" i="2"/>
  <c r="BD285" i="2"/>
  <c r="BD297" i="2"/>
  <c r="BC294" i="2"/>
  <c r="BD294" i="2"/>
  <c r="BO776" i="2"/>
  <c r="BP522" i="2"/>
  <c r="AY11" i="2"/>
  <c r="AM320" i="2"/>
  <c r="T297" i="2"/>
  <c r="T277" i="2"/>
  <c r="Y278" i="2"/>
  <c r="BU151" i="2"/>
  <c r="BU152" i="2"/>
  <c r="BC189" i="2"/>
  <c r="AZ97" i="2"/>
  <c r="AZ98" i="2"/>
  <c r="AZ87" i="2"/>
  <c r="P444" i="2"/>
  <c r="BB288" i="2"/>
  <c r="BB291" i="2"/>
  <c r="BB286" i="2"/>
  <c r="BB301" i="2"/>
  <c r="BB299" i="2"/>
  <c r="BB300" i="2"/>
  <c r="AA322" i="2"/>
  <c r="AG310" i="2"/>
  <c r="AO285" i="2"/>
  <c r="AO297" i="2"/>
  <c r="AN294" i="2"/>
  <c r="AO294" i="2"/>
  <c r="AG278" i="2"/>
  <c r="BL67" i="2"/>
  <c r="AX67" i="2"/>
  <c r="AX92" i="2"/>
  <c r="AY91" i="2"/>
  <c r="AU297" i="2"/>
  <c r="AT92" i="2"/>
  <c r="Z288" i="2"/>
  <c r="Z291" i="2"/>
  <c r="Z286" i="2"/>
  <c r="BP315" i="2"/>
  <c r="BI22" i="16"/>
  <c r="E5" i="15"/>
  <c r="BH22" i="16"/>
  <c r="BH27" i="16"/>
  <c r="AY18" i="17"/>
  <c r="E18" i="15"/>
  <c r="O11" i="15"/>
  <c r="BJ22" i="16"/>
  <c r="BJ27" i="16"/>
  <c r="AX18" i="17"/>
  <c r="D18" i="15"/>
  <c r="N11" i="15"/>
  <c r="BL19" i="16"/>
  <c r="BK21" i="16"/>
  <c r="BL21" i="16"/>
  <c r="AW41" i="11"/>
  <c r="AS41" i="11"/>
  <c r="AS43" i="11"/>
  <c r="AW43" i="11"/>
  <c r="AI321" i="2"/>
  <c r="AX189" i="2"/>
  <c r="BK138" i="2"/>
  <c r="BK145" i="2"/>
  <c r="BK144" i="2"/>
  <c r="BK141" i="2"/>
  <c r="AD96" i="2"/>
  <c r="BL138" i="2"/>
  <c r="AV96" i="2"/>
  <c r="AR96" i="2"/>
  <c r="AH96" i="2"/>
  <c r="AC304" i="2"/>
  <c r="R96" i="2"/>
  <c r="X304" i="2"/>
  <c r="AM302" i="2"/>
  <c r="AM303" i="2"/>
  <c r="AR304" i="2"/>
  <c r="AN319" i="2"/>
  <c r="AM96" i="2"/>
  <c r="AG304" i="2"/>
  <c r="BB96" i="2"/>
  <c r="BH278" i="2"/>
  <c r="BI286" i="2"/>
  <c r="W304" i="2"/>
  <c r="V304" i="2"/>
  <c r="AN321" i="2"/>
  <c r="AK96" i="2"/>
  <c r="BL93" i="2"/>
  <c r="BL80" i="2"/>
  <c r="BQ77" i="2"/>
  <c r="BQ78" i="2"/>
  <c r="BM93" i="2"/>
  <c r="BM80" i="2"/>
  <c r="BR77" i="2"/>
  <c r="BR78" i="2"/>
  <c r="AD321" i="2"/>
  <c r="BQ777" i="2"/>
  <c r="BP524" i="2"/>
  <c r="BG96" i="2"/>
  <c r="AG96" i="2"/>
  <c r="BP779" i="2"/>
  <c r="BO560" i="2"/>
  <c r="S96" i="2"/>
  <c r="AB96" i="2"/>
  <c r="Y322" i="2"/>
  <c r="BA302" i="2"/>
  <c r="BA303" i="2"/>
  <c r="BF304" i="2"/>
  <c r="BD316" i="2"/>
  <c r="BD317" i="2"/>
  <c r="BI322" i="2"/>
  <c r="BD314" i="2"/>
  <c r="BI320" i="2"/>
  <c r="BD315" i="2"/>
  <c r="BI321" i="2"/>
  <c r="BD313" i="2"/>
  <c r="BI319" i="2"/>
  <c r="BJ118" i="2"/>
  <c r="BJ145" i="2"/>
  <c r="BJ144" i="2"/>
  <c r="BJ129" i="2"/>
  <c r="BO126" i="2"/>
  <c r="BJ27" i="2"/>
  <c r="BJ8" i="2"/>
  <c r="BD288" i="2"/>
  <c r="BD291" i="2"/>
  <c r="BD286" i="2"/>
  <c r="BK80" i="2"/>
  <c r="BP77" i="2"/>
  <c r="BP78" i="2"/>
  <c r="BK69" i="2"/>
  <c r="BK30" i="2"/>
  <c r="BK26" i="2"/>
  <c r="AC96" i="2"/>
  <c r="U444" i="2"/>
  <c r="T445" i="2"/>
  <c r="T447" i="2"/>
  <c r="T540" i="2" a="1"/>
  <c r="T540" i="2"/>
  <c r="T541" i="2"/>
  <c r="BF143" i="2"/>
  <c r="BF142" i="2"/>
  <c r="BF132" i="2"/>
  <c r="Z444" i="2"/>
  <c r="Y445" i="2"/>
  <c r="Y447" i="2"/>
  <c r="Y540" i="2" a="1"/>
  <c r="Y540" i="2"/>
  <c r="Y541" i="2"/>
  <c r="AF302" i="2"/>
  <c r="AF303" i="2"/>
  <c r="AF304" i="2"/>
  <c r="AL302" i="2"/>
  <c r="AL303" i="2"/>
  <c r="AL304" i="2"/>
  <c r="AQ96" i="2"/>
  <c r="AS315" i="2"/>
  <c r="AX321" i="2"/>
  <c r="AS313" i="2"/>
  <c r="AX319" i="2"/>
  <c r="AS314" i="2"/>
  <c r="AX320" i="2"/>
  <c r="AS316" i="2"/>
  <c r="AS317" i="2"/>
  <c r="AS322" i="2"/>
  <c r="AA181" i="2"/>
  <c r="AA169" i="2"/>
  <c r="AB166" i="2"/>
  <c r="AQ310" i="2"/>
  <c r="AT213" i="2"/>
  <c r="AT214" i="2"/>
  <c r="AM310" i="2"/>
  <c r="BC310" i="2"/>
  <c r="AJ67" i="2"/>
  <c r="AJ78" i="2"/>
  <c r="AJ77" i="2"/>
  <c r="AJ89" i="2"/>
  <c r="Q87" i="2"/>
  <c r="Q98" i="2"/>
  <c r="Q97" i="2"/>
  <c r="AE181" i="2"/>
  <c r="AE169" i="2"/>
  <c r="BQ784" i="2"/>
  <c r="AE445" i="2"/>
  <c r="AE447" i="2"/>
  <c r="AE540" i="2" a="1"/>
  <c r="AE540" i="2"/>
  <c r="AZ142" i="2"/>
  <c r="AZ132" i="2"/>
  <c r="AZ143" i="2"/>
  <c r="V96" i="2"/>
  <c r="AK445" i="2"/>
  <c r="AK447" i="2"/>
  <c r="AK540" i="2" a="1"/>
  <c r="AK540" i="2"/>
  <c r="AK541" i="2"/>
  <c r="AL310" i="2"/>
  <c r="U79" i="2"/>
  <c r="U68" i="2"/>
  <c r="BU153" i="2"/>
  <c r="BV148" i="2"/>
  <c r="U277" i="2"/>
  <c r="Z278" i="2"/>
  <c r="AH420" i="2"/>
  <c r="AH444" i="2"/>
  <c r="AB445" i="2"/>
  <c r="AB447" i="2"/>
  <c r="AB540" i="2" a="1"/>
  <c r="AB540" i="2"/>
  <c r="AB541" i="2"/>
  <c r="U288" i="2"/>
  <c r="U291" i="2"/>
  <c r="U286" i="2"/>
  <c r="Z310" i="2"/>
  <c r="AT79" i="2"/>
  <c r="AT68" i="2"/>
  <c r="AY277" i="2"/>
  <c r="BD128" i="2"/>
  <c r="BD117" i="2"/>
  <c r="BV134" i="2"/>
  <c r="BV124" i="2"/>
  <c r="U316" i="2"/>
  <c r="U317" i="2"/>
  <c r="U322" i="2"/>
  <c r="U314" i="2"/>
  <c r="U315" i="2"/>
  <c r="U313" i="2"/>
  <c r="AI79" i="2"/>
  <c r="AI68" i="2"/>
  <c r="AJ92" i="2"/>
  <c r="BI79" i="2"/>
  <c r="BI68" i="2"/>
  <c r="AS419" i="2"/>
  <c r="AS411" i="2"/>
  <c r="AS414" i="2"/>
  <c r="AS421" i="2"/>
  <c r="AW444" i="2"/>
  <c r="AW420" i="2"/>
  <c r="AD320" i="2"/>
  <c r="Q420" i="2"/>
  <c r="Q444" i="2"/>
  <c r="AG444" i="2"/>
  <c r="AG420" i="2"/>
  <c r="BC419" i="2"/>
  <c r="BC414" i="2"/>
  <c r="BC421" i="2"/>
  <c r="BC411" i="2"/>
  <c r="AY288" i="2"/>
  <c r="AY291" i="2"/>
  <c r="AY286" i="2"/>
  <c r="BB445" i="2"/>
  <c r="BB447" i="2"/>
  <c r="BB540" i="2" a="1"/>
  <c r="BB540" i="2"/>
  <c r="BB541" i="2"/>
  <c r="AN320" i="2"/>
  <c r="AY316" i="2"/>
  <c r="AY317" i="2"/>
  <c r="AY314" i="2"/>
  <c r="AY315" i="2"/>
  <c r="AY313" i="2"/>
  <c r="BD79" i="2"/>
  <c r="BD68" i="2"/>
  <c r="AZ445" i="2"/>
  <c r="AZ447" i="2"/>
  <c r="AZ540" i="2" a="1"/>
  <c r="AZ540" i="2"/>
  <c r="AZ541" i="2"/>
  <c r="AE87" i="2"/>
  <c r="AE97" i="2"/>
  <c r="AE98" i="2"/>
  <c r="BU107" i="2"/>
  <c r="BV103" i="2"/>
  <c r="AE299" i="2"/>
  <c r="AE302" i="2"/>
  <c r="AE303" i="2"/>
  <c r="AE304" i="2"/>
  <c r="AD302" i="2"/>
  <c r="AD303" i="2"/>
  <c r="AD304" i="2"/>
  <c r="AO277" i="2"/>
  <c r="R420" i="2"/>
  <c r="R444" i="2"/>
  <c r="AI322" i="2"/>
  <c r="AN282" i="2"/>
  <c r="AN278" i="2"/>
  <c r="BB302" i="2"/>
  <c r="BB303" i="2"/>
  <c r="BG304" i="2"/>
  <c r="W96" i="2"/>
  <c r="BI128" i="2"/>
  <c r="BI117" i="2"/>
  <c r="BO209" i="2"/>
  <c r="BN210" i="2"/>
  <c r="BN243" i="2"/>
  <c r="BU108" i="2"/>
  <c r="AO316" i="2"/>
  <c r="AO317" i="2"/>
  <c r="AO322" i="2"/>
  <c r="AO315" i="2"/>
  <c r="AO314" i="2"/>
  <c r="AO313" i="2"/>
  <c r="AO319" i="2"/>
  <c r="AX420" i="2"/>
  <c r="AX444" i="2"/>
  <c r="AS98" i="2"/>
  <c r="AS87" i="2"/>
  <c r="AS97" i="2"/>
  <c r="AF310" i="2"/>
  <c r="BH143" i="2"/>
  <c r="BH142" i="2"/>
  <c r="BH132" i="2"/>
  <c r="BM142" i="2"/>
  <c r="BM145" i="2"/>
  <c r="BM144" i="2"/>
  <c r="BM129" i="2"/>
  <c r="BR126" i="2"/>
  <c r="BR127" i="2"/>
  <c r="BM118" i="2"/>
  <c r="BM27" i="2"/>
  <c r="BU54" i="2"/>
  <c r="BT58" i="2"/>
  <c r="X96" i="2"/>
  <c r="BL118" i="2"/>
  <c r="BL145" i="2"/>
  <c r="BL144" i="2"/>
  <c r="BL141" i="2"/>
  <c r="BL129" i="2"/>
  <c r="BQ126" i="2"/>
  <c r="BQ127" i="2"/>
  <c r="BL27" i="2"/>
  <c r="BL8" i="2"/>
  <c r="BG420" i="2"/>
  <c r="BG444" i="2"/>
  <c r="BF96" i="2"/>
  <c r="AI288" i="2"/>
  <c r="AI291" i="2"/>
  <c r="AI286" i="2"/>
  <c r="AN310" i="2"/>
  <c r="AI300" i="2"/>
  <c r="AJ300" i="2"/>
  <c r="AI301" i="2"/>
  <c r="AJ301" i="2"/>
  <c r="AI299" i="2"/>
  <c r="BH419" i="2"/>
  <c r="BH414" i="2"/>
  <c r="BH421" i="2"/>
  <c r="BH411" i="2"/>
  <c r="BU89" i="2"/>
  <c r="BU75" i="2"/>
  <c r="BT110" i="2"/>
  <c r="BT111" i="2"/>
  <c r="BT120" i="2"/>
  <c r="BQ106" i="2"/>
  <c r="BQ108" i="2"/>
  <c r="AY78" i="2"/>
  <c r="AY77" i="2"/>
  <c r="AY89" i="2"/>
  <c r="AY67" i="2"/>
  <c r="AM445" i="2"/>
  <c r="AM447" i="2"/>
  <c r="AM540" i="2" a="1"/>
  <c r="AM540" i="2"/>
  <c r="AM541" i="2"/>
  <c r="BE143" i="2"/>
  <c r="BE142" i="2"/>
  <c r="BE132" i="2"/>
  <c r="AR310" i="2"/>
  <c r="BJ727" i="2"/>
  <c r="BK527" i="2"/>
  <c r="BJ527" i="2"/>
  <c r="BM527" i="2"/>
  <c r="BL527" i="2"/>
  <c r="BL408" i="2"/>
  <c r="BK408" i="2"/>
  <c r="BM408" i="2"/>
  <c r="BJ408" i="2"/>
  <c r="BJ721" i="2"/>
  <c r="BJ529" i="2"/>
  <c r="BN114" i="2"/>
  <c r="BN65" i="2"/>
  <c r="BN111" i="2"/>
  <c r="BN134" i="2"/>
  <c r="BN126" i="2"/>
  <c r="BN131" i="2"/>
  <c r="BN89" i="2"/>
  <c r="BN77" i="2"/>
  <c r="BN62" i="2"/>
  <c r="AS294" i="2"/>
  <c r="AT294" i="2"/>
  <c r="AT285" i="2"/>
  <c r="AT297" i="2"/>
  <c r="BU29" i="2"/>
  <c r="BJ117" i="2"/>
  <c r="BN137" i="2"/>
  <c r="BN138" i="2"/>
  <c r="BN127" i="2"/>
  <c r="BN116" i="2"/>
  <c r="Y320" i="2"/>
  <c r="T320" i="2"/>
  <c r="AX68" i="2"/>
  <c r="AX79" i="2"/>
  <c r="AY92" i="2"/>
  <c r="BP776" i="2"/>
  <c r="BQ522" i="2"/>
  <c r="AB304" i="2"/>
  <c r="BA142" i="2"/>
  <c r="BA132" i="2"/>
  <c r="BA143" i="2"/>
  <c r="BA141" i="2"/>
  <c r="BO920" i="2" a="1"/>
  <c r="BO920" i="2"/>
  <c r="BO890" i="2" a="1"/>
  <c r="BO890" i="2"/>
  <c r="BP4" i="2"/>
  <c r="AL96" i="2"/>
  <c r="BR89" i="2"/>
  <c r="BR75" i="2"/>
  <c r="BS71" i="2"/>
  <c r="BM106" i="2"/>
  <c r="BM107" i="2"/>
  <c r="BJ142" i="2"/>
  <c r="AF96" i="2"/>
  <c r="Y98" i="2"/>
  <c r="Y87" i="2"/>
  <c r="Y97" i="2"/>
  <c r="AE277" i="2"/>
  <c r="AJ445" i="2"/>
  <c r="AJ447" i="2"/>
  <c r="AJ540" i="2" a="1"/>
  <c r="AJ540" i="2"/>
  <c r="BG141" i="2"/>
  <c r="Y319" i="2"/>
  <c r="T319" i="2"/>
  <c r="AO288" i="2"/>
  <c r="AO291" i="2"/>
  <c r="AO286" i="2"/>
  <c r="AO310" i="2"/>
  <c r="BP158" i="2"/>
  <c r="BO799" i="2"/>
  <c r="BP523" i="2"/>
  <c r="BO521" i="2"/>
  <c r="BH310" i="2"/>
  <c r="AI319" i="2"/>
  <c r="AE286" i="2"/>
  <c r="AE310" i="2"/>
  <c r="AE288" i="2"/>
  <c r="AE291" i="2"/>
  <c r="BM54" i="2"/>
  <c r="BL58" i="2"/>
  <c r="AD319" i="2"/>
  <c r="AE316" i="2"/>
  <c r="AE317" i="2"/>
  <c r="AE322" i="2"/>
  <c r="AE315" i="2"/>
  <c r="AJ321" i="2"/>
  <c r="AE314" i="2"/>
  <c r="AJ320" i="2"/>
  <c r="AE313" i="2"/>
  <c r="AJ319" i="2"/>
  <c r="Y321" i="2"/>
  <c r="T321" i="2"/>
  <c r="P627" i="2"/>
  <c r="P628" i="2"/>
  <c r="Q627" i="2"/>
  <c r="BQ151" i="2"/>
  <c r="AD310" i="2"/>
  <c r="BA96" i="2"/>
  <c r="BJ98" i="2"/>
  <c r="BJ97" i="2"/>
  <c r="BJ92" i="2"/>
  <c r="AD278" i="2"/>
  <c r="AP304" i="2"/>
  <c r="AW297" i="2"/>
  <c r="BL26" i="2"/>
  <c r="BL69" i="2"/>
  <c r="BL30" i="2"/>
  <c r="BI310" i="2"/>
  <c r="BE96" i="2"/>
  <c r="BN91" i="2"/>
  <c r="BJ93" i="2"/>
  <c r="BJ67" i="2"/>
  <c r="AN414" i="2"/>
  <c r="AN421" i="2"/>
  <c r="AN419" i="2"/>
  <c r="AN411" i="2"/>
  <c r="R490" i="2"/>
  <c r="R485" i="2"/>
  <c r="AW288" i="2"/>
  <c r="AW291" i="2"/>
  <c r="AW286" i="2"/>
  <c r="AW301" i="2"/>
  <c r="AW300" i="2"/>
  <c r="AW299" i="2"/>
  <c r="BC87" i="2"/>
  <c r="BC98" i="2"/>
  <c r="Z490" i="2"/>
  <c r="Z485" i="2"/>
  <c r="BG310" i="2"/>
  <c r="AY117" i="2"/>
  <c r="AY128" i="2"/>
  <c r="AY132" i="2"/>
  <c r="V490" i="2"/>
  <c r="V485" i="2"/>
  <c r="P445" i="2"/>
  <c r="P447" i="2"/>
  <c r="P540" i="2" a="1"/>
  <c r="P540" i="2"/>
  <c r="Z98" i="2"/>
  <c r="Z87" i="2"/>
  <c r="AA96" i="2"/>
  <c r="AH302" i="2"/>
  <c r="AH303" i="2"/>
  <c r="AH304" i="2"/>
  <c r="T455" i="2"/>
  <c r="T459" i="2"/>
  <c r="T472" i="2"/>
  <c r="T483" i="2"/>
  <c r="S472" i="2"/>
  <c r="S483" i="2"/>
  <c r="AC445" i="2"/>
  <c r="AC447" i="2"/>
  <c r="AC540" i="2" a="1"/>
  <c r="AC540" i="2"/>
  <c r="AC541" i="2"/>
  <c r="AU286" i="2"/>
  <c r="AZ310" i="2"/>
  <c r="AU288" i="2"/>
  <c r="AU291" i="2"/>
  <c r="AU301" i="2"/>
  <c r="AU300" i="2"/>
  <c r="AU299" i="2"/>
  <c r="BH97" i="2"/>
  <c r="BH87" i="2"/>
  <c r="BH98" i="2"/>
  <c r="AB455" i="2"/>
  <c r="AB459" i="2"/>
  <c r="AA472" i="2"/>
  <c r="AA483" i="2"/>
  <c r="X455" i="2"/>
  <c r="X459" i="2"/>
  <c r="W472" i="2"/>
  <c r="W483" i="2"/>
  <c r="AN322" i="2"/>
  <c r="BB141" i="2"/>
  <c r="BC282" i="2"/>
  <c r="BC278" i="2"/>
  <c r="BD299" i="2"/>
  <c r="BD302" i="2"/>
  <c r="BD303" i="2"/>
  <c r="BC302" i="2"/>
  <c r="BC303" i="2"/>
  <c r="BH304" i="2"/>
  <c r="BS124" i="2"/>
  <c r="BL158" i="2"/>
  <c r="BM26" i="2"/>
  <c r="BM69" i="2"/>
  <c r="BM30" i="2"/>
  <c r="AV286" i="2"/>
  <c r="BA310" i="2"/>
  <c r="AV288" i="2"/>
  <c r="AV291" i="2"/>
  <c r="AV300" i="2"/>
  <c r="AV301" i="2"/>
  <c r="AV299" i="2"/>
  <c r="AC875" i="2"/>
  <c r="AJ5" i="2"/>
  <c r="AF5" i="2"/>
  <c r="P164" i="2"/>
  <c r="P181" i="2"/>
  <c r="AL445" i="2"/>
  <c r="AL447" i="2"/>
  <c r="AL540" i="2" a="1"/>
  <c r="AL540" i="2"/>
  <c r="AL541" i="2"/>
  <c r="BC320" i="2"/>
  <c r="AJ455" i="2"/>
  <c r="AJ459" i="2"/>
  <c r="AE472" i="2"/>
  <c r="AE483" i="2"/>
  <c r="AF455" i="2"/>
  <c r="AF459" i="2"/>
  <c r="BC132" i="2"/>
  <c r="BC143" i="2"/>
  <c r="BC142" i="2"/>
  <c r="AT380" i="2"/>
  <c r="AT275" i="2"/>
  <c r="AT12" i="2"/>
  <c r="AZ96" i="2"/>
  <c r="AO299" i="2"/>
  <c r="AO302" i="2"/>
  <c r="AO303" i="2"/>
  <c r="AN302" i="2"/>
  <c r="AN303" i="2"/>
  <c r="AZ302" i="2"/>
  <c r="AZ303" i="2"/>
  <c r="BE304" i="2"/>
  <c r="BK118" i="2"/>
  <c r="BK27" i="2"/>
  <c r="BK8" i="2"/>
  <c r="BH322" i="2"/>
  <c r="BM148" i="2"/>
  <c r="BL153" i="2"/>
  <c r="AS286" i="2"/>
  <c r="AT284" i="2"/>
  <c r="AS288" i="2"/>
  <c r="AS291" i="2"/>
  <c r="AS301" i="2"/>
  <c r="AT301" i="2"/>
  <c r="AS299" i="2"/>
  <c r="AS300" i="2"/>
  <c r="AT300" i="2"/>
  <c r="AO98" i="2"/>
  <c r="AO87" i="2"/>
  <c r="BC319" i="2"/>
  <c r="AY299" i="2"/>
  <c r="AY302" i="2"/>
  <c r="AY303" i="2"/>
  <c r="AX302" i="2"/>
  <c r="AX303" i="2"/>
  <c r="AV297" i="2"/>
  <c r="AP96" i="2"/>
  <c r="BQ54" i="2"/>
  <c r="BP58" i="2"/>
  <c r="AH310" i="2"/>
  <c r="AS280" i="2"/>
  <c r="AS277" i="2"/>
  <c r="AX278" i="2"/>
  <c r="AX282" i="2"/>
  <c r="AJ164" i="2"/>
  <c r="AV445" i="2"/>
  <c r="AV447" i="2"/>
  <c r="AV540" i="2" a="1"/>
  <c r="AV540" i="2"/>
  <c r="AV541" i="2"/>
  <c r="BC321" i="2"/>
  <c r="BI278" i="2"/>
  <c r="U299" i="2"/>
  <c r="U302" i="2"/>
  <c r="U303" i="2"/>
  <c r="U304" i="2"/>
  <c r="T302" i="2"/>
  <c r="T303" i="2"/>
  <c r="T304" i="2"/>
  <c r="AI278" i="2"/>
  <c r="BL22" i="16"/>
  <c r="H5" i="15"/>
  <c r="BI27" i="16"/>
  <c r="D5" i="15"/>
  <c r="J40" i="14"/>
  <c r="F5" i="15"/>
  <c r="P7" i="15"/>
  <c r="P9" i="15"/>
  <c r="P13" i="15"/>
  <c r="BK22" i="16"/>
  <c r="G5" i="15"/>
  <c r="O7" i="15"/>
  <c r="K40" i="14"/>
  <c r="AW44" i="11"/>
  <c r="AS320" i="2"/>
  <c r="AS319" i="2"/>
  <c r="AJ322" i="2"/>
  <c r="BD321" i="2"/>
  <c r="BK129" i="2"/>
  <c r="BP126" i="2"/>
  <c r="BP127" i="2"/>
  <c r="BP136" i="2"/>
  <c r="BD319" i="2"/>
  <c r="AK304" i="2"/>
  <c r="Z322" i="2"/>
  <c r="BF141" i="2"/>
  <c r="AX322" i="2"/>
  <c r="BM141" i="2"/>
  <c r="AE96" i="2"/>
  <c r="BD320" i="2"/>
  <c r="AE319" i="2"/>
  <c r="AZ141" i="2"/>
  <c r="BQ779" i="2"/>
  <c r="BP560" i="2"/>
  <c r="BJ141" i="2"/>
  <c r="AQ304" i="2"/>
  <c r="BC141" i="2"/>
  <c r="BR777" i="2"/>
  <c r="BQ524" i="2"/>
  <c r="AW302" i="2"/>
  <c r="AW303" i="2"/>
  <c r="AW304" i="2"/>
  <c r="Y304" i="2"/>
  <c r="AS96" i="2"/>
  <c r="AM304" i="2"/>
  <c r="BN145" i="2"/>
  <c r="BN129" i="2"/>
  <c r="BN118" i="2"/>
  <c r="AW310" i="2"/>
  <c r="AE490" i="2"/>
  <c r="AE485" i="2"/>
  <c r="AT286" i="2"/>
  <c r="AT310" i="2"/>
  <c r="AT288" i="2"/>
  <c r="AT291" i="2"/>
  <c r="AO455" i="2"/>
  <c r="AO459" i="2"/>
  <c r="AK455" i="2"/>
  <c r="AK459" i="2"/>
  <c r="Y455" i="2"/>
  <c r="Y459" i="2"/>
  <c r="Y472" i="2"/>
  <c r="Y483" i="2"/>
  <c r="X472" i="2"/>
  <c r="X483" i="2"/>
  <c r="BL217" i="2"/>
  <c r="BL11" i="2"/>
  <c r="BL381" i="2"/>
  <c r="BN83" i="2"/>
  <c r="BN17" i="2"/>
  <c r="BN82" i="2"/>
  <c r="BN86" i="2"/>
  <c r="BK217" i="2"/>
  <c r="BK11" i="2"/>
  <c r="BK381" i="2"/>
  <c r="W490" i="2"/>
  <c r="W485" i="2"/>
  <c r="AX87" i="2"/>
  <c r="AX97" i="2"/>
  <c r="AX98" i="2"/>
  <c r="AX96" i="2"/>
  <c r="BJ735" i="2"/>
  <c r="BJ755" i="2"/>
  <c r="BR128" i="2"/>
  <c r="BR136" i="2"/>
  <c r="BC444" i="2"/>
  <c r="BC420" i="2"/>
  <c r="AE541" i="2"/>
  <c r="AE546" i="2"/>
  <c r="BK7" i="2"/>
  <c r="BK100" i="2"/>
  <c r="BK99" i="2"/>
  <c r="BK96" i="2"/>
  <c r="AO161" i="2"/>
  <c r="AK161" i="2"/>
  <c r="AS310" i="2"/>
  <c r="BM217" i="2"/>
  <c r="BM11" i="2"/>
  <c r="BM381" i="2"/>
  <c r="AA490" i="2"/>
  <c r="AA485" i="2"/>
  <c r="S490" i="2"/>
  <c r="S485" i="2"/>
  <c r="BL7" i="2"/>
  <c r="BL100" i="2"/>
  <c r="BL99" i="2"/>
  <c r="BL96" i="2"/>
  <c r="AJ541" i="2"/>
  <c r="AJ546" i="2"/>
  <c r="BN140" i="2"/>
  <c r="BN21" i="2"/>
  <c r="BQ136" i="2"/>
  <c r="BQ128" i="2"/>
  <c r="BI98" i="2"/>
  <c r="BI87" i="2"/>
  <c r="BI97" i="2"/>
  <c r="AT98" i="2"/>
  <c r="AT87" i="2"/>
  <c r="AT97" i="2"/>
  <c r="BP91" i="2"/>
  <c r="BP79" i="2"/>
  <c r="BM7" i="2"/>
  <c r="BM100" i="2"/>
  <c r="BM99" i="2"/>
  <c r="BM96" i="2"/>
  <c r="AC455" i="2"/>
  <c r="AC459" i="2"/>
  <c r="AB472" i="2"/>
  <c r="AB483" i="2"/>
  <c r="T490" i="2"/>
  <c r="T485" i="2"/>
  <c r="BQ79" i="2"/>
  <c r="BQ91" i="2"/>
  <c r="BQ153" i="2"/>
  <c r="BR148" i="2"/>
  <c r="BP920" i="2" a="1"/>
  <c r="BP920" i="2"/>
  <c r="BP890" i="2" a="1"/>
  <c r="BP890" i="2"/>
  <c r="BQ4" i="2"/>
  <c r="BH444" i="2"/>
  <c r="BH420" i="2"/>
  <c r="BD98" i="2"/>
  <c r="BD87" i="2"/>
  <c r="AJ79" i="2"/>
  <c r="AJ68" i="2"/>
  <c r="BD310" i="2"/>
  <c r="AS321" i="2"/>
  <c r="R445" i="2"/>
  <c r="R447" i="2"/>
  <c r="R540" i="2" a="1"/>
  <c r="R540" i="2"/>
  <c r="R541" i="2"/>
  <c r="AG445" i="2"/>
  <c r="AG447" i="2"/>
  <c r="AG540" i="2" a="1"/>
  <c r="AG540" i="2"/>
  <c r="AG541" i="2"/>
  <c r="U98" i="2"/>
  <c r="U97" i="2"/>
  <c r="U87" i="2"/>
  <c r="BR784" i="2"/>
  <c r="BR91" i="2"/>
  <c r="BR79" i="2"/>
  <c r="BQ152" i="2"/>
  <c r="AE278" i="2"/>
  <c r="P184" i="2"/>
  <c r="P235" i="2"/>
  <c r="P242" i="2"/>
  <c r="AO320" i="2"/>
  <c r="BH141" i="2"/>
  <c r="Q445" i="2"/>
  <c r="Q447" i="2"/>
  <c r="Q540" i="2" a="1"/>
  <c r="Q540" i="2"/>
  <c r="Q541" i="2"/>
  <c r="AI87" i="2"/>
  <c r="AI97" i="2"/>
  <c r="AI98" i="2"/>
  <c r="AN97" i="2"/>
  <c r="AN96" i="2"/>
  <c r="AJ310" i="2"/>
  <c r="Z319" i="2"/>
  <c r="U319" i="2"/>
  <c r="Z445" i="2"/>
  <c r="Z447" i="2"/>
  <c r="Z540" i="2" a="1"/>
  <c r="Z540" i="2"/>
  <c r="BM151" i="2"/>
  <c r="BM153" i="2"/>
  <c r="U161" i="2"/>
  <c r="Q161" i="2"/>
  <c r="BL28" i="2"/>
  <c r="BL9" i="2"/>
  <c r="R627" i="2"/>
  <c r="Q628" i="2"/>
  <c r="AE869" i="2"/>
  <c r="AD869" i="2"/>
  <c r="AG5" i="2"/>
  <c r="BH96" i="2"/>
  <c r="AJ278" i="2"/>
  <c r="BJ392" i="2"/>
  <c r="BJ734" i="2"/>
  <c r="BJ754" i="2"/>
  <c r="BE141" i="2"/>
  <c r="AO278" i="2"/>
  <c r="Z321" i="2"/>
  <c r="U321" i="2"/>
  <c r="AH445" i="2"/>
  <c r="AH447" i="2"/>
  <c r="AH540" i="2" a="1"/>
  <c r="AH540" i="2"/>
  <c r="AH541" i="2"/>
  <c r="AJ166" i="2"/>
  <c r="AF166" i="2"/>
  <c r="AX310" i="2"/>
  <c r="AS282" i="2"/>
  <c r="AS278" i="2"/>
  <c r="AG875" i="2"/>
  <c r="AF875" i="2"/>
  <c r="AH875" i="2"/>
  <c r="AE875" i="2"/>
  <c r="AD875" i="2"/>
  <c r="AO5" i="2"/>
  <c r="AK5" i="2"/>
  <c r="Z97" i="2"/>
  <c r="Z96" i="2"/>
  <c r="Y96" i="2"/>
  <c r="BN408" i="2"/>
  <c r="AJ299" i="2"/>
  <c r="AJ302" i="2"/>
  <c r="AJ303" i="2"/>
  <c r="AJ304" i="2"/>
  <c r="AI302" i="2"/>
  <c r="AI303" i="2"/>
  <c r="AI304" i="2"/>
  <c r="Z304" i="2"/>
  <c r="BP209" i="2"/>
  <c r="BO211" i="2"/>
  <c r="BD322" i="2"/>
  <c r="Z320" i="2"/>
  <c r="U320" i="2"/>
  <c r="AE320" i="2"/>
  <c r="AE184" i="2"/>
  <c r="AE235" i="2"/>
  <c r="AE242" i="2"/>
  <c r="AT277" i="2"/>
  <c r="AY278" i="2"/>
  <c r="AN444" i="2"/>
  <c r="AN420" i="2"/>
  <c r="BP799" i="2"/>
  <c r="BP521" i="2"/>
  <c r="BQ523" i="2"/>
  <c r="BN117" i="2"/>
  <c r="BN128" i="2"/>
  <c r="AW447" i="2"/>
  <c r="AW540" i="2" a="1"/>
  <c r="AW540" i="2"/>
  <c r="AW541" i="2"/>
  <c r="AW445" i="2"/>
  <c r="BC97" i="2"/>
  <c r="BC96" i="2"/>
  <c r="AV302" i="2"/>
  <c r="AV303" i="2"/>
  <c r="BC304" i="2"/>
  <c r="AU302" i="2"/>
  <c r="AU303" i="2"/>
  <c r="AU304" i="2"/>
  <c r="AO321" i="2"/>
  <c r="BM57" i="2"/>
  <c r="BM59" i="2"/>
  <c r="BN59" i="2"/>
  <c r="BB310" i="2"/>
  <c r="Q96" i="2"/>
  <c r="AE321" i="2"/>
  <c r="AT316" i="2"/>
  <c r="AT317" i="2"/>
  <c r="AT322" i="2"/>
  <c r="AT315" i="2"/>
  <c r="AY321" i="2"/>
  <c r="AT314" i="2"/>
  <c r="AY320" i="2"/>
  <c r="AT313" i="2"/>
  <c r="AY319" i="2"/>
  <c r="BD304" i="2"/>
  <c r="BP28" i="2"/>
  <c r="BP9" i="2"/>
  <c r="AI310" i="2"/>
  <c r="BI143" i="2"/>
  <c r="BI142" i="2"/>
  <c r="BI132" i="2"/>
  <c r="BV106" i="2"/>
  <c r="BV107" i="2"/>
  <c r="AB169" i="2"/>
  <c r="AC166" i="2"/>
  <c r="AB181" i="2"/>
  <c r="BM108" i="2"/>
  <c r="BN108" i="2"/>
  <c r="BV29" i="2"/>
  <c r="BV61" i="2"/>
  <c r="BV62" i="2"/>
  <c r="BV71" i="2"/>
  <c r="BU57" i="2"/>
  <c r="BU59" i="2"/>
  <c r="BI304" i="2"/>
  <c r="BV151" i="2"/>
  <c r="BV153" i="2"/>
  <c r="AA184" i="2"/>
  <c r="AA186" i="2"/>
  <c r="AA235" i="2"/>
  <c r="BO127" i="2"/>
  <c r="BJ69" i="2"/>
  <c r="BJ30" i="2"/>
  <c r="BJ80" i="2"/>
  <c r="BO77" i="2"/>
  <c r="BJ26" i="2"/>
  <c r="BN92" i="2"/>
  <c r="BN93" i="2"/>
  <c r="BJ68" i="2"/>
  <c r="BS75" i="2"/>
  <c r="BQ776" i="2"/>
  <c r="BR522" i="2"/>
  <c r="BR776" i="2"/>
  <c r="BS776" i="2"/>
  <c r="AX445" i="2"/>
  <c r="AY444" i="2"/>
  <c r="AX447" i="2"/>
  <c r="AX540" i="2" a="1"/>
  <c r="AX540" i="2"/>
  <c r="AX541" i="2"/>
  <c r="BB304" i="2"/>
  <c r="BD143" i="2"/>
  <c r="BD142" i="2"/>
  <c r="BD132" i="2"/>
  <c r="U445" i="2"/>
  <c r="U447" i="2"/>
  <c r="U540" i="2" a="1"/>
  <c r="U540" i="2"/>
  <c r="AT299" i="2"/>
  <c r="AT302" i="2"/>
  <c r="AT303" i="2"/>
  <c r="AT304" i="2"/>
  <c r="AS302" i="2"/>
  <c r="AS303" i="2"/>
  <c r="AS304" i="2"/>
  <c r="BP128" i="2"/>
  <c r="P541" i="2"/>
  <c r="P546" i="2"/>
  <c r="BN78" i="2"/>
  <c r="BN67" i="2"/>
  <c r="BN527" i="2"/>
  <c r="BN528" i="2"/>
  <c r="BJ531" i="2"/>
  <c r="BR103" i="2"/>
  <c r="BQ107" i="2"/>
  <c r="BM8" i="2"/>
  <c r="BN27" i="2"/>
  <c r="BN8" i="2"/>
  <c r="BD278" i="2"/>
  <c r="BT61" i="2"/>
  <c r="BT62" i="2"/>
  <c r="BT71" i="2"/>
  <c r="BQ57" i="2"/>
  <c r="BQ59" i="2"/>
  <c r="AG455" i="2"/>
  <c r="AG459" i="2"/>
  <c r="AF472" i="2"/>
  <c r="AF483" i="2"/>
  <c r="AV310" i="2"/>
  <c r="AU310" i="2"/>
  <c r="AY79" i="2"/>
  <c r="AY68" i="2"/>
  <c r="BT134" i="2"/>
  <c r="BT124" i="2"/>
  <c r="BG445" i="2"/>
  <c r="BG447" i="2"/>
  <c r="BG540" i="2" a="1"/>
  <c r="BG540" i="2"/>
  <c r="BG541" i="2"/>
  <c r="AS420" i="2"/>
  <c r="BL27" i="16"/>
  <c r="N7" i="15"/>
  <c r="N9" i="15"/>
  <c r="BK27" i="16"/>
  <c r="L40" i="14"/>
  <c r="N40" i="14"/>
  <c r="C33" i="13"/>
  <c r="R7" i="15"/>
  <c r="R9" i="15"/>
  <c r="R13" i="15"/>
  <c r="O9" i="15"/>
  <c r="O13" i="15"/>
  <c r="Q7" i="15"/>
  <c r="Q9" i="15"/>
  <c r="Q13" i="15"/>
  <c r="M40" i="14"/>
  <c r="AX41" i="11"/>
  <c r="AX43" i="11"/>
  <c r="BB43" i="11"/>
  <c r="BB41" i="11"/>
  <c r="BB44" i="11"/>
  <c r="AG874" i="2"/>
  <c r="U96" i="2"/>
  <c r="AZ304" i="2"/>
  <c r="AX304" i="2"/>
  <c r="AT319" i="2"/>
  <c r="AY304" i="2"/>
  <c r="AI96" i="2"/>
  <c r="BN144" i="2"/>
  <c r="BI141" i="2"/>
  <c r="AD874" i="2"/>
  <c r="AE874" i="2"/>
  <c r="AY310" i="2"/>
  <c r="BM152" i="2"/>
  <c r="BM158" i="2"/>
  <c r="BS777" i="2"/>
  <c r="BR524" i="2"/>
  <c r="BR779" i="2"/>
  <c r="BQ560" i="2"/>
  <c r="AA188" i="2"/>
  <c r="BJ532" i="2"/>
  <c r="BJ398" i="2"/>
  <c r="BV152" i="2"/>
  <c r="BR67" i="2"/>
  <c r="BV108" i="2"/>
  <c r="AC874" i="2"/>
  <c r="AF490" i="2"/>
  <c r="AF485" i="2"/>
  <c r="U541" i="2"/>
  <c r="U546" i="2"/>
  <c r="BV54" i="2"/>
  <c r="BU58" i="2"/>
  <c r="AF169" i="2"/>
  <c r="AG166" i="2"/>
  <c r="AF181" i="2"/>
  <c r="AF869" i="2"/>
  <c r="AH5" i="2"/>
  <c r="BS784" i="2"/>
  <c r="BQ92" i="2"/>
  <c r="BQ68" i="2"/>
  <c r="BQ98" i="2"/>
  <c r="BQ97" i="2"/>
  <c r="X490" i="2"/>
  <c r="X485" i="2"/>
  <c r="AY87" i="2"/>
  <c r="AY97" i="2"/>
  <c r="AY98" i="2"/>
  <c r="BV89" i="2"/>
  <c r="BV75" i="2"/>
  <c r="BN80" i="2"/>
  <c r="BN69" i="2"/>
  <c r="AV304" i="2"/>
  <c r="BA304" i="2"/>
  <c r="AB184" i="2"/>
  <c r="AB186" i="2"/>
  <c r="AB188" i="2"/>
  <c r="AB235" i="2"/>
  <c r="Q164" i="2"/>
  <c r="R161" i="2"/>
  <c r="Q181" i="2"/>
  <c r="AH455" i="2"/>
  <c r="AH459" i="2"/>
  <c r="AG472" i="2"/>
  <c r="AG483" i="2"/>
  <c r="AE239" i="2"/>
  <c r="AE244" i="2"/>
  <c r="AJ181" i="2"/>
  <c r="AJ97" i="2"/>
  <c r="AJ98" i="2"/>
  <c r="AJ87" i="2"/>
  <c r="AO97" i="2"/>
  <c r="AO96" i="2"/>
  <c r="Y490" i="2"/>
  <c r="Y485" i="2"/>
  <c r="BR54" i="2"/>
  <c r="BQ58" i="2"/>
  <c r="BM58" i="2"/>
  <c r="AI869" i="2"/>
  <c r="AJ869" i="2"/>
  <c r="AL5" i="2"/>
  <c r="BI96" i="2"/>
  <c r="AE544" i="2"/>
  <c r="AE547" i="2"/>
  <c r="AL455" i="2"/>
  <c r="AL459" i="2"/>
  <c r="AM455" i="2"/>
  <c r="AM459" i="2"/>
  <c r="AN455" i="2"/>
  <c r="AN459" i="2"/>
  <c r="AK472" i="2"/>
  <c r="AK483" i="2"/>
  <c r="BN68" i="2"/>
  <c r="BN79" i="2"/>
  <c r="AK875" i="2"/>
  <c r="AJ875" i="2"/>
  <c r="AJ874" i="2"/>
  <c r="AM875" i="2"/>
  <c r="AL875" i="2"/>
  <c r="AL874" i="2"/>
  <c r="AI875" i="2"/>
  <c r="AP5" i="2"/>
  <c r="AT5" i="2"/>
  <c r="AB490" i="2"/>
  <c r="AB485" i="2"/>
  <c r="BQ142" i="2"/>
  <c r="BQ143" i="2"/>
  <c r="BQ137" i="2"/>
  <c r="BQ117" i="2"/>
  <c r="AT455" i="2"/>
  <c r="AT459" i="2"/>
  <c r="AP455" i="2"/>
  <c r="AP459" i="2"/>
  <c r="AQ455" i="2"/>
  <c r="AQ459" i="2"/>
  <c r="AR455" i="2"/>
  <c r="AR459" i="2"/>
  <c r="AS455" i="2"/>
  <c r="AS459" i="2"/>
  <c r="BN142" i="2"/>
  <c r="BN132" i="2"/>
  <c r="BN143" i="2"/>
  <c r="Z541" i="2"/>
  <c r="Z546" i="2"/>
  <c r="BD97" i="2"/>
  <c r="BD96" i="2"/>
  <c r="AD455" i="2"/>
  <c r="AD459" i="2"/>
  <c r="AD472" i="2"/>
  <c r="AD483" i="2"/>
  <c r="AC472" i="2"/>
  <c r="AC483" i="2"/>
  <c r="BQ116" i="2"/>
  <c r="BD141" i="2"/>
  <c r="BJ7" i="2"/>
  <c r="BJ100" i="2"/>
  <c r="BJ99" i="2"/>
  <c r="BJ96" i="2"/>
  <c r="P449" i="2"/>
  <c r="P453" i="2"/>
  <c r="Q449" i="2"/>
  <c r="BO136" i="2"/>
  <c r="BO128" i="2"/>
  <c r="BO78" i="2"/>
  <c r="BN26" i="2"/>
  <c r="BJ217" i="2"/>
  <c r="BJ11" i="2"/>
  <c r="BJ381" i="2"/>
  <c r="BQ799" i="2"/>
  <c r="BQ521" i="2"/>
  <c r="BR523" i="2"/>
  <c r="AY322" i="2"/>
  <c r="BH445" i="2"/>
  <c r="BI444" i="2"/>
  <c r="BH447" i="2"/>
  <c r="BH540" i="2" a="1"/>
  <c r="BH540" i="2"/>
  <c r="BH541" i="2"/>
  <c r="BN30" i="2"/>
  <c r="BC445" i="2"/>
  <c r="BD444" i="2"/>
  <c r="BC447" i="2"/>
  <c r="BC540" i="2" a="1"/>
  <c r="BC540" i="2"/>
  <c r="BC541" i="2"/>
  <c r="BT89" i="2"/>
  <c r="BT75" i="2"/>
  <c r="AF874" i="2"/>
  <c r="S627" i="2"/>
  <c r="R628" i="2"/>
  <c r="P239" i="2"/>
  <c r="P244" i="2"/>
  <c r="P245" i="2"/>
  <c r="P185" i="2"/>
  <c r="BQ920" i="2" a="1"/>
  <c r="BQ920" i="2"/>
  <c r="BQ890" i="2" a="1"/>
  <c r="BQ890" i="2"/>
  <c r="BR4" i="2"/>
  <c r="AN304" i="2"/>
  <c r="AT321" i="2"/>
  <c r="AA242" i="2"/>
  <c r="BJ760" i="2"/>
  <c r="BJ724" i="2"/>
  <c r="BR116" i="2"/>
  <c r="AT320" i="2"/>
  <c r="AY445" i="2"/>
  <c r="AY447" i="2"/>
  <c r="AY540" i="2" a="1"/>
  <c r="AY540" i="2"/>
  <c r="BN95" i="2"/>
  <c r="BN20" i="2"/>
  <c r="BP211" i="2"/>
  <c r="BQ209" i="2"/>
  <c r="AO304" i="2"/>
  <c r="AJ544" i="2"/>
  <c r="AJ547" i="2"/>
  <c r="BR143" i="2"/>
  <c r="BR142" i="2"/>
  <c r="BR137" i="2"/>
  <c r="BR117" i="2"/>
  <c r="BN84" i="2"/>
  <c r="BN18" i="2"/>
  <c r="BN16" i="2"/>
  <c r="BS522" i="2"/>
  <c r="BT522" i="2"/>
  <c r="BS523" i="2"/>
  <c r="AN445" i="2"/>
  <c r="AO444" i="2"/>
  <c r="AN447" i="2"/>
  <c r="AN540" i="2" a="1"/>
  <c r="AN540" i="2"/>
  <c r="AN541" i="2"/>
  <c r="BJ737" i="2"/>
  <c r="BJ636" i="2"/>
  <c r="BJ387" i="2"/>
  <c r="BJ40" i="2"/>
  <c r="BQ158" i="2"/>
  <c r="BP97" i="2"/>
  <c r="BP92" i="2"/>
  <c r="BP68" i="2"/>
  <c r="BP98" i="2"/>
  <c r="AK163" i="2"/>
  <c r="BR106" i="2"/>
  <c r="BR107" i="2"/>
  <c r="AC169" i="2"/>
  <c r="AD166" i="2"/>
  <c r="AC181" i="2"/>
  <c r="AT278" i="2"/>
  <c r="BR92" i="2"/>
  <c r="BR68" i="2"/>
  <c r="BR98" i="2"/>
  <c r="BR97" i="2"/>
  <c r="BP67" i="2"/>
  <c r="BJ730" i="2"/>
  <c r="P544" i="2"/>
  <c r="P547" i="2"/>
  <c r="BR151" i="2"/>
  <c r="BR153" i="2"/>
  <c r="AA239" i="2"/>
  <c r="AA244" i="2"/>
  <c r="U164" i="2"/>
  <c r="U181" i="2"/>
  <c r="BP142" i="2"/>
  <c r="BP143" i="2"/>
  <c r="BP137" i="2"/>
  <c r="BP117" i="2"/>
  <c r="BP116" i="2"/>
  <c r="BQ67" i="2"/>
  <c r="AT96" i="2"/>
  <c r="G36" i="13"/>
  <c r="G44" i="13"/>
  <c r="F44" i="13"/>
  <c r="G20" i="13"/>
  <c r="N13" i="15"/>
  <c r="G17" i="13"/>
  <c r="F36" i="13"/>
  <c r="E18" i="13"/>
  <c r="G26" i="13"/>
  <c r="C36" i="13"/>
  <c r="BG41" i="11"/>
  <c r="BC41" i="11"/>
  <c r="BC43" i="11"/>
  <c r="BG43" i="11"/>
  <c r="BQ93" i="2"/>
  <c r="BQ69" i="2"/>
  <c r="BQ30" i="2"/>
  <c r="BN152" i="2"/>
  <c r="BN141" i="2"/>
  <c r="AA240" i="2"/>
  <c r="AA280" i="2"/>
  <c r="BQ138" i="2"/>
  <c r="BQ145" i="2"/>
  <c r="BQ144" i="2"/>
  <c r="BQ141" i="2"/>
  <c r="AY96" i="2"/>
  <c r="AI874" i="2"/>
  <c r="BS779" i="2"/>
  <c r="BR560" i="2"/>
  <c r="BT777" i="2"/>
  <c r="BS524" i="2"/>
  <c r="BN85" i="2"/>
  <c r="BN19" i="2"/>
  <c r="AY455" i="2"/>
  <c r="AY459" i="2"/>
  <c r="AU455" i="2"/>
  <c r="AU459" i="2"/>
  <c r="BR57" i="2"/>
  <c r="BR59" i="2"/>
  <c r="BS59" i="2"/>
  <c r="AG169" i="2"/>
  <c r="AH166" i="2"/>
  <c r="AG181" i="2"/>
  <c r="T627" i="2"/>
  <c r="S628" i="2"/>
  <c r="BR138" i="2"/>
  <c r="BQ80" i="2"/>
  <c r="BQ26" i="2"/>
  <c r="BR152" i="2"/>
  <c r="AK874" i="2"/>
  <c r="AC184" i="2"/>
  <c r="AC186" i="2"/>
  <c r="AC188" i="2"/>
  <c r="AC235" i="2"/>
  <c r="BN97" i="2"/>
  <c r="BN87" i="2"/>
  <c r="BN98" i="2"/>
  <c r="BR93" i="2"/>
  <c r="BN7" i="2"/>
  <c r="BN100" i="2"/>
  <c r="BN99" i="2"/>
  <c r="BJ729" i="2"/>
  <c r="BK726" i="2"/>
  <c r="BP138" i="2"/>
  <c r="BR108" i="2"/>
  <c r="BS108" i="2"/>
  <c r="AO445" i="2"/>
  <c r="AO447" i="2"/>
  <c r="AO540" i="2" a="1"/>
  <c r="AO540" i="2"/>
  <c r="AP444" i="2"/>
  <c r="BQ211" i="2"/>
  <c r="BR209" i="2"/>
  <c r="BK720" i="2"/>
  <c r="BJ723" i="2"/>
  <c r="BR920" i="2" a="1"/>
  <c r="BR920" i="2"/>
  <c r="BR890" i="2" a="1"/>
  <c r="BR890" i="2"/>
  <c r="BS4" i="2"/>
  <c r="BN217" i="2"/>
  <c r="BN214" i="2"/>
  <c r="BN11" i="2"/>
  <c r="BN381" i="2"/>
  <c r="AC490" i="2"/>
  <c r="AC485" i="2"/>
  <c r="AK490" i="2"/>
  <c r="AK485" i="2"/>
  <c r="BV57" i="2"/>
  <c r="BV59" i="2"/>
  <c r="BM28" i="2"/>
  <c r="BN158" i="2"/>
  <c r="BN155" i="2"/>
  <c r="BN156" i="2"/>
  <c r="BD445" i="2"/>
  <c r="BD447" i="2"/>
  <c r="BD540" i="2" a="1"/>
  <c r="BD540" i="2"/>
  <c r="AO163" i="2"/>
  <c r="AD490" i="2"/>
  <c r="AD485" i="2"/>
  <c r="AJ96" i="2"/>
  <c r="AG490" i="2"/>
  <c r="AG485" i="2"/>
  <c r="AD169" i="2"/>
  <c r="AD181" i="2"/>
  <c r="P698" i="2"/>
  <c r="P699" i="2"/>
  <c r="BS799" i="2"/>
  <c r="BT523" i="2"/>
  <c r="BT527" i="2"/>
  <c r="BI445" i="2"/>
  <c r="BI447" i="2"/>
  <c r="BI540" i="2" a="1"/>
  <c r="BI540" i="2"/>
  <c r="AI455" i="2"/>
  <c r="AI459" i="2"/>
  <c r="AH472" i="2"/>
  <c r="AH483" i="2"/>
  <c r="BT776" i="2"/>
  <c r="BU522" i="2"/>
  <c r="AH874" i="2"/>
  <c r="BO91" i="2"/>
  <c r="BO79" i="2"/>
  <c r="Z544" i="2"/>
  <c r="Z547" i="2"/>
  <c r="R164" i="2"/>
  <c r="S161" i="2"/>
  <c r="R181" i="2"/>
  <c r="U544" i="2"/>
  <c r="U547" i="2"/>
  <c r="AJ235" i="2"/>
  <c r="AJ242" i="2"/>
  <c r="Q184" i="2"/>
  <c r="Q186" i="2"/>
  <c r="Q235" i="2"/>
  <c r="U184" i="2"/>
  <c r="U235" i="2"/>
  <c r="U242" i="2"/>
  <c r="Z161" i="2"/>
  <c r="Z181" i="2"/>
  <c r="V161" i="2"/>
  <c r="BP93" i="2"/>
  <c r="BO142" i="2"/>
  <c r="BO143" i="2"/>
  <c r="BO137" i="2"/>
  <c r="BO138" i="2"/>
  <c r="AK869" i="2"/>
  <c r="AM5" i="2"/>
  <c r="AB242" i="2"/>
  <c r="AR875" i="2"/>
  <c r="AO875" i="2"/>
  <c r="AQ875" i="2"/>
  <c r="AP875" i="2"/>
  <c r="AN875" i="2"/>
  <c r="AM874" i="2"/>
  <c r="AY5" i="2"/>
  <c r="AU5" i="2"/>
  <c r="AE245" i="2"/>
  <c r="AE282" i="2"/>
  <c r="AE215" i="2"/>
  <c r="BO116" i="2"/>
  <c r="BS136" i="2"/>
  <c r="AA245" i="2"/>
  <c r="AA215" i="2"/>
  <c r="BQ28" i="2"/>
  <c r="BQ9" i="2"/>
  <c r="AY541" i="2"/>
  <c r="AY546" i="2"/>
  <c r="BR799" i="2"/>
  <c r="BR521" i="2"/>
  <c r="BS521" i="2"/>
  <c r="Q453" i="2"/>
  <c r="R449" i="2"/>
  <c r="AO869" i="2"/>
  <c r="AN869" i="2"/>
  <c r="AQ5" i="2"/>
  <c r="AB239" i="2"/>
  <c r="AB244" i="2"/>
  <c r="BT784" i="2"/>
  <c r="AG869" i="2"/>
  <c r="AI5" i="2"/>
  <c r="AH869" i="2"/>
  <c r="AF184" i="2"/>
  <c r="AF186" i="2"/>
  <c r="AF235" i="2"/>
  <c r="H44" i="13"/>
  <c r="G18" i="13"/>
  <c r="I27" i="14"/>
  <c r="J23" i="14"/>
  <c r="J25" i="14"/>
  <c r="BG44" i="11"/>
  <c r="AQ874" i="2"/>
  <c r="BQ118" i="2"/>
  <c r="BQ129" i="2"/>
  <c r="BQ27" i="2"/>
  <c r="BQ8" i="2"/>
  <c r="BU777" i="2"/>
  <c r="BT524" i="2"/>
  <c r="BT779" i="2"/>
  <c r="BS560" i="2"/>
  <c r="AF188" i="2"/>
  <c r="AF189" i="2"/>
  <c r="BO145" i="2"/>
  <c r="BO144" i="2"/>
  <c r="BO141" i="2"/>
  <c r="BO129" i="2"/>
  <c r="BO118" i="2"/>
  <c r="BO27" i="2"/>
  <c r="BO8" i="2"/>
  <c r="BQ217" i="2"/>
  <c r="BQ11" i="2"/>
  <c r="BQ381" i="2"/>
  <c r="AO874" i="2"/>
  <c r="U239" i="2"/>
  <c r="U244" i="2"/>
  <c r="U185" i="2"/>
  <c r="AB245" i="2"/>
  <c r="AB215" i="2"/>
  <c r="Q242" i="2"/>
  <c r="AO164" i="2"/>
  <c r="AP161" i="2"/>
  <c r="AP163" i="2"/>
  <c r="BR129" i="2"/>
  <c r="BR118" i="2"/>
  <c r="BR145" i="2"/>
  <c r="BR144" i="2"/>
  <c r="BR141" i="2"/>
  <c r="BR27" i="2"/>
  <c r="BK727" i="2"/>
  <c r="AA282" i="2"/>
  <c r="Q188" i="2"/>
  <c r="BU776" i="2"/>
  <c r="BV522" i="2"/>
  <c r="BV776" i="2"/>
  <c r="BV58" i="2"/>
  <c r="BS127" i="2"/>
  <c r="AB240" i="2"/>
  <c r="Q239" i="2"/>
  <c r="Q244" i="2"/>
  <c r="Q185" i="2"/>
  <c r="AD184" i="2"/>
  <c r="AD186" i="2"/>
  <c r="AD188" i="2"/>
  <c r="AD235" i="2"/>
  <c r="AC242" i="2"/>
  <c r="U627" i="2"/>
  <c r="U628" i="2"/>
  <c r="V627" i="2"/>
  <c r="T628" i="2"/>
  <c r="AL869" i="2"/>
  <c r="AN5" i="2"/>
  <c r="AM869" i="2"/>
  <c r="AF242" i="2"/>
  <c r="AP869" i="2"/>
  <c r="AR5" i="2"/>
  <c r="AH490" i="2"/>
  <c r="AH485" i="2"/>
  <c r="AC239" i="2"/>
  <c r="AC244" i="2"/>
  <c r="AH169" i="2"/>
  <c r="AI166" i="2"/>
  <c r="AH181" i="2"/>
  <c r="P186" i="2"/>
  <c r="BK721" i="2"/>
  <c r="AG184" i="2"/>
  <c r="AG186" i="2"/>
  <c r="AG188" i="2"/>
  <c r="AG235" i="2"/>
  <c r="BO117" i="2"/>
  <c r="BS137" i="2"/>
  <c r="BS138" i="2"/>
  <c r="BR211" i="2"/>
  <c r="BS211" i="2"/>
  <c r="BS209" i="2"/>
  <c r="BD546" i="2"/>
  <c r="BD541" i="2"/>
  <c r="S449" i="2"/>
  <c r="R453" i="2"/>
  <c r="BN96" i="2"/>
  <c r="BP80" i="2"/>
  <c r="BP69" i="2"/>
  <c r="BP30" i="2"/>
  <c r="BP26" i="2"/>
  <c r="R184" i="2"/>
  <c r="R186" i="2"/>
  <c r="R188" i="2"/>
  <c r="R235" i="2"/>
  <c r="BI541" i="2"/>
  <c r="BI546" i="2"/>
  <c r="AP445" i="2"/>
  <c r="AP447" i="2"/>
  <c r="AP540" i="2" a="1"/>
  <c r="AP540" i="2"/>
  <c r="AP541" i="2"/>
  <c r="AQ444" i="2"/>
  <c r="AF239" i="2"/>
  <c r="AF244" i="2"/>
  <c r="AF185" i="2"/>
  <c r="AO541" i="2"/>
  <c r="AO546" i="2"/>
  <c r="BS91" i="2"/>
  <c r="BO67" i="2"/>
  <c r="BR58" i="2"/>
  <c r="V181" i="2"/>
  <c r="V164" i="2"/>
  <c r="W161" i="2"/>
  <c r="S164" i="2"/>
  <c r="T161" i="2"/>
  <c r="S181" i="2"/>
  <c r="AT869" i="2"/>
  <c r="AS869" i="2"/>
  <c r="AV5" i="2"/>
  <c r="Z184" i="2"/>
  <c r="Z235" i="2"/>
  <c r="Z242" i="2"/>
  <c r="AV455" i="2"/>
  <c r="AV459" i="2"/>
  <c r="AU472" i="2"/>
  <c r="AU483" i="2"/>
  <c r="AW875" i="2"/>
  <c r="AV875" i="2"/>
  <c r="AS875" i="2"/>
  <c r="AT875" i="2"/>
  <c r="AU875" i="2"/>
  <c r="BD5" i="2"/>
  <c r="AZ5" i="2"/>
  <c r="BR80" i="2"/>
  <c r="BR69" i="2"/>
  <c r="BR30" i="2"/>
  <c r="BR26" i="2"/>
  <c r="AZ455" i="2"/>
  <c r="AZ459" i="2"/>
  <c r="BA455" i="2"/>
  <c r="BA459" i="2"/>
  <c r="BB455" i="2"/>
  <c r="BB459" i="2"/>
  <c r="BC455" i="2"/>
  <c r="BC459" i="2"/>
  <c r="BD455" i="2"/>
  <c r="BD459" i="2"/>
  <c r="AN874" i="2"/>
  <c r="BT799" i="2"/>
  <c r="BU523" i="2"/>
  <c r="BT521" i="2"/>
  <c r="BS920" i="2" a="1"/>
  <c r="BS920" i="2"/>
  <c r="BS3" i="2"/>
  <c r="BT4" i="2"/>
  <c r="BP145" i="2"/>
  <c r="BP144" i="2"/>
  <c r="BP141" i="2"/>
  <c r="BP129" i="2"/>
  <c r="BP118" i="2"/>
  <c r="BP27" i="2"/>
  <c r="BP8" i="2"/>
  <c r="BR158" i="2"/>
  <c r="BS152" i="2"/>
  <c r="BU784" i="2"/>
  <c r="AY544" i="2"/>
  <c r="AY547" i="2"/>
  <c r="AP874" i="2"/>
  <c r="BO97" i="2"/>
  <c r="BO92" i="2"/>
  <c r="BO93" i="2"/>
  <c r="BO98" i="2"/>
  <c r="BM9" i="2"/>
  <c r="BN28" i="2"/>
  <c r="BQ7" i="2"/>
  <c r="BQ100" i="2"/>
  <c r="BQ99" i="2"/>
  <c r="BQ96" i="2"/>
  <c r="P805" i="2" a="1"/>
  <c r="P805" i="2"/>
  <c r="U698" i="2"/>
  <c r="U699" i="2"/>
  <c r="Q698" i="2"/>
  <c r="Q699" i="2"/>
  <c r="P704" i="2"/>
  <c r="AF240" i="2"/>
  <c r="AS874" i="2"/>
  <c r="AC240" i="2"/>
  <c r="AU874" i="2"/>
  <c r="AT874" i="2"/>
  <c r="BU779" i="2"/>
  <c r="BT560" i="2"/>
  <c r="BT408" i="2"/>
  <c r="BV777" i="2"/>
  <c r="BV524" i="2"/>
  <c r="BU524" i="2"/>
  <c r="BR217" i="2"/>
  <c r="BR11" i="2"/>
  <c r="BR381" i="2"/>
  <c r="BO80" i="2"/>
  <c r="BO69" i="2"/>
  <c r="BO30" i="2"/>
  <c r="BO26" i="2"/>
  <c r="BS26" i="2"/>
  <c r="BP7" i="2"/>
  <c r="BP100" i="2"/>
  <c r="BP99" i="2"/>
  <c r="BP96" i="2"/>
  <c r="AQ869" i="2"/>
  <c r="AS5" i="2"/>
  <c r="AR869" i="2"/>
  <c r="AC280" i="2"/>
  <c r="AU490" i="2"/>
  <c r="AU485" i="2"/>
  <c r="BP217" i="2"/>
  <c r="BP11" i="2"/>
  <c r="BP381" i="2"/>
  <c r="BU799" i="2"/>
  <c r="BV523" i="2"/>
  <c r="BU521" i="2"/>
  <c r="AW455" i="2"/>
  <c r="AW459" i="2"/>
  <c r="AV472" i="2"/>
  <c r="AV483" i="2"/>
  <c r="AE186" i="2"/>
  <c r="AE188" i="2"/>
  <c r="AG242" i="2"/>
  <c r="AD242" i="2"/>
  <c r="AO544" i="2"/>
  <c r="AO547" i="2"/>
  <c r="AG239" i="2"/>
  <c r="AG244" i="2"/>
  <c r="AG185" i="2"/>
  <c r="AL185" i="2"/>
  <c r="AD239" i="2"/>
  <c r="AD244" i="2"/>
  <c r="BS78" i="2"/>
  <c r="BS67" i="2"/>
  <c r="AG189" i="2"/>
  <c r="AL189" i="2"/>
  <c r="BI455" i="2"/>
  <c r="BI459" i="2"/>
  <c r="BE455" i="2"/>
  <c r="BE459" i="2"/>
  <c r="BF455" i="2"/>
  <c r="BF459" i="2"/>
  <c r="BG455" i="2"/>
  <c r="BG459" i="2"/>
  <c r="BH455" i="2"/>
  <c r="BH459" i="2"/>
  <c r="Z239" i="2"/>
  <c r="Z244" i="2"/>
  <c r="Z185" i="2"/>
  <c r="AE185" i="2"/>
  <c r="T449" i="2"/>
  <c r="S453" i="2"/>
  <c r="BK392" i="2"/>
  <c r="BK754" i="2"/>
  <c r="BK755" i="2"/>
  <c r="AU869" i="2"/>
  <c r="AW5" i="2"/>
  <c r="BD544" i="2"/>
  <c r="BD547" i="2"/>
  <c r="BK734" i="2"/>
  <c r="Q215" i="2"/>
  <c r="Q245" i="2"/>
  <c r="Q282" i="2"/>
  <c r="BK735" i="2"/>
  <c r="BR28" i="2"/>
  <c r="BS158" i="2"/>
  <c r="BS155" i="2"/>
  <c r="Q805" i="2" a="1"/>
  <c r="Q805" i="2"/>
  <c r="Q704" i="2"/>
  <c r="R698" i="2"/>
  <c r="R699" i="2"/>
  <c r="BN9" i="2"/>
  <c r="BR7" i="2"/>
  <c r="BR100" i="2"/>
  <c r="BR99" i="2"/>
  <c r="BR96" i="2"/>
  <c r="AF215" i="2"/>
  <c r="AF245" i="2"/>
  <c r="AB280" i="2"/>
  <c r="BS27" i="2"/>
  <c r="BS8" i="2"/>
  <c r="BR8" i="2"/>
  <c r="AF280" i="2"/>
  <c r="U805" i="2" a="1"/>
  <c r="U805" i="2"/>
  <c r="Z698" i="2"/>
  <c r="Z699" i="2"/>
  <c r="V698" i="2"/>
  <c r="V699" i="2"/>
  <c r="U704" i="2"/>
  <c r="BT920" i="2" a="1"/>
  <c r="BT920" i="2"/>
  <c r="BT890" i="2" a="1"/>
  <c r="BT890" i="2"/>
  <c r="BU4" i="2"/>
  <c r="AQ445" i="2"/>
  <c r="AQ447" i="2"/>
  <c r="AQ540" i="2" a="1"/>
  <c r="AQ540" i="2"/>
  <c r="AQ541" i="2"/>
  <c r="AR444" i="2"/>
  <c r="BS129" i="2"/>
  <c r="BT126" i="2"/>
  <c r="BT127" i="2"/>
  <c r="BS118" i="2"/>
  <c r="BS145" i="2"/>
  <c r="BP527" i="2"/>
  <c r="BO527" i="2"/>
  <c r="BR527" i="2"/>
  <c r="BQ527" i="2"/>
  <c r="BR408" i="2"/>
  <c r="BP408" i="2"/>
  <c r="BO408" i="2"/>
  <c r="BQ408" i="2"/>
  <c r="BS65" i="2"/>
  <c r="BS114" i="2"/>
  <c r="BS134" i="2"/>
  <c r="BS126" i="2"/>
  <c r="BS131" i="2"/>
  <c r="BS111" i="2"/>
  <c r="BS89" i="2"/>
  <c r="BS77" i="2"/>
  <c r="BS62" i="2"/>
  <c r="S184" i="2"/>
  <c r="S186" i="2"/>
  <c r="S235" i="2"/>
  <c r="Q240" i="2"/>
  <c r="BO68" i="2"/>
  <c r="BS92" i="2"/>
  <c r="BS93" i="2"/>
  <c r="BS890" i="2" a="1"/>
  <c r="BS890" i="2"/>
  <c r="AY869" i="2"/>
  <c r="AX869" i="2"/>
  <c r="BA5" i="2"/>
  <c r="T164" i="2"/>
  <c r="T181" i="2"/>
  <c r="AH184" i="2"/>
  <c r="AH186" i="2"/>
  <c r="AH188" i="2"/>
  <c r="AH235" i="2"/>
  <c r="BS116" i="2"/>
  <c r="AR874" i="2"/>
  <c r="BA875" i="2"/>
  <c r="AZ875" i="2"/>
  <c r="BB875" i="2"/>
  <c r="AY875" i="2"/>
  <c r="AX875" i="2"/>
  <c r="BI5" i="2"/>
  <c r="BE5" i="2"/>
  <c r="W164" i="2"/>
  <c r="X161" i="2"/>
  <c r="W181" i="2"/>
  <c r="BS210" i="2"/>
  <c r="BS243" i="2"/>
  <c r="BT209" i="2"/>
  <c r="AI168" i="2"/>
  <c r="AI181" i="2"/>
  <c r="V184" i="2"/>
  <c r="V235" i="2"/>
  <c r="BI544" i="2"/>
  <c r="BI547" i="2"/>
  <c r="AB282" i="2"/>
  <c r="R242" i="2"/>
  <c r="AC245" i="2"/>
  <c r="AC215" i="2"/>
  <c r="BS128" i="2"/>
  <c r="BS117" i="2"/>
  <c r="U245" i="2"/>
  <c r="U282" i="2"/>
  <c r="U215" i="2"/>
  <c r="BV784" i="2"/>
  <c r="BU527" i="2"/>
  <c r="AV874" i="2"/>
  <c r="R239" i="2"/>
  <c r="R244" i="2"/>
  <c r="R185" i="2"/>
  <c r="W627" i="2"/>
  <c r="V628" i="2"/>
  <c r="AY874" i="2"/>
  <c r="BV779" i="2"/>
  <c r="BU560" i="2"/>
  <c r="BU408" i="2"/>
  <c r="P293" i="2"/>
  <c r="P240" i="2"/>
  <c r="P280" i="2"/>
  <c r="S188" i="2"/>
  <c r="BE875" i="2"/>
  <c r="BG875" i="2"/>
  <c r="BF875" i="2"/>
  <c r="BF874" i="2"/>
  <c r="BD875" i="2"/>
  <c r="BD874" i="2"/>
  <c r="BC875" i="2"/>
  <c r="BJ5" i="2"/>
  <c r="BN5" i="2"/>
  <c r="BK737" i="2"/>
  <c r="BK636" i="2"/>
  <c r="BK387" i="2"/>
  <c r="BK40" i="2"/>
  <c r="AD245" i="2"/>
  <c r="AF295" i="2"/>
  <c r="AD215" i="2"/>
  <c r="AX874" i="2"/>
  <c r="BS79" i="2"/>
  <c r="BS68" i="2"/>
  <c r="BS156" i="2"/>
  <c r="BT155" i="2"/>
  <c r="BV799" i="2"/>
  <c r="BV521" i="2"/>
  <c r="BS28" i="2"/>
  <c r="BS9" i="2"/>
  <c r="BR9" i="2"/>
  <c r="U449" i="2"/>
  <c r="U453" i="2"/>
  <c r="V449" i="2"/>
  <c r="T453" i="2"/>
  <c r="AZ874" i="2"/>
  <c r="BS408" i="2"/>
  <c r="AF282" i="2"/>
  <c r="V240" i="2"/>
  <c r="V242" i="2"/>
  <c r="BA874" i="2"/>
  <c r="Z245" i="2"/>
  <c r="Z282" i="2"/>
  <c r="Z215" i="2"/>
  <c r="Q293" i="2"/>
  <c r="Q280" i="2"/>
  <c r="AG215" i="2"/>
  <c r="AG245" i="2"/>
  <c r="V239" i="2"/>
  <c r="V244" i="2"/>
  <c r="V185" i="2"/>
  <c r="AA185" i="2"/>
  <c r="BS7" i="2"/>
  <c r="BS100" i="2"/>
  <c r="BO7" i="2"/>
  <c r="BO100" i="2"/>
  <c r="BO99" i="2"/>
  <c r="BO96" i="2"/>
  <c r="X627" i="2"/>
  <c r="W628" i="2"/>
  <c r="V186" i="2"/>
  <c r="V805" i="2" a="1"/>
  <c r="V805" i="2"/>
  <c r="V704" i="2"/>
  <c r="W698" i="2"/>
  <c r="W699" i="2"/>
  <c r="AD240" i="2"/>
  <c r="BO217" i="2"/>
  <c r="BO11" i="2"/>
  <c r="BO381" i="2"/>
  <c r="AI235" i="2"/>
  <c r="AH242" i="2"/>
  <c r="BS527" i="2"/>
  <c r="BS528" i="2"/>
  <c r="AA698" i="2"/>
  <c r="AA699" i="2"/>
  <c r="Z704" i="2"/>
  <c r="AE698" i="2"/>
  <c r="AE699" i="2"/>
  <c r="R215" i="2"/>
  <c r="R245" i="2"/>
  <c r="R282" i="2"/>
  <c r="BS143" i="2"/>
  <c r="BS132" i="2"/>
  <c r="BS142" i="2"/>
  <c r="AJ168" i="2"/>
  <c r="AI183" i="2"/>
  <c r="AI237" i="2"/>
  <c r="AI238" i="2"/>
  <c r="AI243" i="2"/>
  <c r="AH189" i="2"/>
  <c r="AM189" i="2"/>
  <c r="S242" i="2"/>
  <c r="AW874" i="2"/>
  <c r="AH239" i="2"/>
  <c r="AH244" i="2"/>
  <c r="AH185" i="2"/>
  <c r="AM185" i="2"/>
  <c r="AV869" i="2"/>
  <c r="AX5" i="2"/>
  <c r="AW869" i="2"/>
  <c r="AG240" i="2"/>
  <c r="BT211" i="2"/>
  <c r="BU209" i="2"/>
  <c r="S185" i="2"/>
  <c r="S239" i="2"/>
  <c r="S244" i="2"/>
  <c r="BU920" i="2" a="1"/>
  <c r="BU920" i="2"/>
  <c r="BU890" i="2" a="1"/>
  <c r="BU890" i="2"/>
  <c r="BV4" i="2"/>
  <c r="BT128" i="2"/>
  <c r="BT136" i="2"/>
  <c r="BK730" i="2"/>
  <c r="AV490" i="2"/>
  <c r="AV485" i="2"/>
  <c r="BS80" i="2"/>
  <c r="BT77" i="2"/>
  <c r="BT78" i="2"/>
  <c r="BS69" i="2"/>
  <c r="R240" i="2"/>
  <c r="W184" i="2"/>
  <c r="W235" i="2"/>
  <c r="AZ869" i="2"/>
  <c r="BB5" i="2"/>
  <c r="BS83" i="2"/>
  <c r="BS17" i="2"/>
  <c r="BS82" i="2"/>
  <c r="BS86" i="2"/>
  <c r="AR445" i="2"/>
  <c r="AR447" i="2"/>
  <c r="AR540" i="2" a="1"/>
  <c r="AR540" i="2"/>
  <c r="AR541" i="2"/>
  <c r="AS444" i="2"/>
  <c r="AX455" i="2"/>
  <c r="AX459" i="2"/>
  <c r="AW472" i="2"/>
  <c r="AW483" i="2"/>
  <c r="BS30" i="2"/>
  <c r="AC282" i="2"/>
  <c r="T184" i="2"/>
  <c r="T186" i="2"/>
  <c r="T188" i="2"/>
  <c r="T235" i="2"/>
  <c r="X164" i="2"/>
  <c r="Y161" i="2"/>
  <c r="X181" i="2"/>
  <c r="R805" i="2" a="1"/>
  <c r="R805" i="2"/>
  <c r="S698" i="2"/>
  <c r="S699" i="2"/>
  <c r="R704" i="2"/>
  <c r="BK760" i="2"/>
  <c r="BK724" i="2"/>
  <c r="BV527" i="2"/>
  <c r="BC869" i="2"/>
  <c r="BD869" i="2"/>
  <c r="BF5" i="2"/>
  <c r="BS140" i="2"/>
  <c r="BS144" i="2"/>
  <c r="BS21" i="2"/>
  <c r="BS141" i="2"/>
  <c r="BC874" i="2"/>
  <c r="S240" i="2"/>
  <c r="S280" i="2"/>
  <c r="BB874" i="2"/>
  <c r="BV560" i="2"/>
  <c r="BV408" i="2"/>
  <c r="BI875" i="2"/>
  <c r="BI874" i="2"/>
  <c r="BH875" i="2"/>
  <c r="BN878" i="2"/>
  <c r="BS5" i="2"/>
  <c r="BO5" i="2"/>
  <c r="AE704" i="2"/>
  <c r="AF698" i="2"/>
  <c r="AF699" i="2"/>
  <c r="AJ698" i="2"/>
  <c r="AJ699" i="2"/>
  <c r="V280" i="2"/>
  <c r="V453" i="2"/>
  <c r="W449" i="2"/>
  <c r="BJ878" i="2"/>
  <c r="BI869" i="2"/>
  <c r="BH869" i="2"/>
  <c r="BK5" i="2"/>
  <c r="BS217" i="2"/>
  <c r="BS214" i="2"/>
  <c r="BS11" i="2"/>
  <c r="BS381" i="2"/>
  <c r="W805" i="2" a="1"/>
  <c r="W805" i="2"/>
  <c r="X698" i="2"/>
  <c r="X699" i="2"/>
  <c r="W704" i="2"/>
  <c r="S805" i="2" a="1"/>
  <c r="S805" i="2"/>
  <c r="S704" i="2"/>
  <c r="T698" i="2"/>
  <c r="T699" i="2"/>
  <c r="AW490" i="2"/>
  <c r="AW485" i="2"/>
  <c r="BT79" i="2"/>
  <c r="BT91" i="2"/>
  <c r="S245" i="2"/>
  <c r="S282" i="2"/>
  <c r="S215" i="2"/>
  <c r="AA704" i="2"/>
  <c r="AB698" i="2"/>
  <c r="AB699" i="2"/>
  <c r="BS97" i="2"/>
  <c r="BS87" i="2"/>
  <c r="BS98" i="2"/>
  <c r="V215" i="2"/>
  <c r="V245" i="2"/>
  <c r="X184" i="2"/>
  <c r="X186" i="2"/>
  <c r="X188" i="2"/>
  <c r="X235" i="2"/>
  <c r="AS445" i="2"/>
  <c r="AT444" i="2"/>
  <c r="AS447" i="2"/>
  <c r="AS540" i="2" a="1"/>
  <c r="AS540" i="2"/>
  <c r="AS541" i="2"/>
  <c r="AG282" i="2"/>
  <c r="AG295" i="2"/>
  <c r="AD280" i="2"/>
  <c r="AD293" i="2"/>
  <c r="AE293" i="2"/>
  <c r="AE240" i="2"/>
  <c r="AE280" i="2"/>
  <c r="AF293" i="2"/>
  <c r="Y164" i="2"/>
  <c r="Y181" i="2"/>
  <c r="BL726" i="2"/>
  <c r="BK729" i="2"/>
  <c r="S293" i="2"/>
  <c r="V188" i="2"/>
  <c r="BE874" i="2"/>
  <c r="T242" i="2"/>
  <c r="BU211" i="2"/>
  <c r="BV209" i="2"/>
  <c r="U186" i="2"/>
  <c r="U188" i="2"/>
  <c r="T185" i="2"/>
  <c r="T239" i="2"/>
  <c r="T244" i="2"/>
  <c r="BS95" i="2"/>
  <c r="BS99" i="2"/>
  <c r="BS20" i="2"/>
  <c r="BT116" i="2"/>
  <c r="AH240" i="2"/>
  <c r="Y627" i="2"/>
  <c r="X628" i="2"/>
  <c r="R293" i="2"/>
  <c r="R280" i="2"/>
  <c r="BS84" i="2"/>
  <c r="BS18" i="2"/>
  <c r="BS16" i="2"/>
  <c r="BT143" i="2"/>
  <c r="BT142" i="2"/>
  <c r="BT137" i="2"/>
  <c r="BT117" i="2"/>
  <c r="AI242" i="2"/>
  <c r="AD282" i="2"/>
  <c r="AD295" i="2"/>
  <c r="AE295" i="2"/>
  <c r="BK723" i="2"/>
  <c r="BL720" i="2"/>
  <c r="W185" i="2"/>
  <c r="W239" i="2"/>
  <c r="W244" i="2"/>
  <c r="AB185" i="2"/>
  <c r="BV920" i="2" a="1"/>
  <c r="BV920" i="2"/>
  <c r="BV890" i="2" a="1"/>
  <c r="BV890" i="2"/>
  <c r="AG280" i="2"/>
  <c r="AG293" i="2"/>
  <c r="AJ183" i="2"/>
  <c r="AJ169" i="2"/>
  <c r="BU155" i="2"/>
  <c r="BT158" i="2"/>
  <c r="BT28" i="2"/>
  <c r="BT9" i="2"/>
  <c r="AH215" i="2"/>
  <c r="AH245" i="2"/>
  <c r="BE869" i="2"/>
  <c r="BG5" i="2"/>
  <c r="BA869" i="2"/>
  <c r="BC5" i="2"/>
  <c r="BB869" i="2"/>
  <c r="AI184" i="2"/>
  <c r="W242" i="2"/>
  <c r="W240" i="2"/>
  <c r="W186" i="2"/>
  <c r="W188" i="2"/>
  <c r="BS85" i="2"/>
  <c r="BS19" i="2"/>
  <c r="BH874" i="2"/>
  <c r="BS96" i="2"/>
  <c r="BG874" i="2"/>
  <c r="X189" i="2"/>
  <c r="AC189" i="2"/>
  <c r="BT138" i="2"/>
  <c r="AK166" i="2"/>
  <c r="AO166" i="2"/>
  <c r="AG698" i="2"/>
  <c r="AG699" i="2"/>
  <c r="AF704" i="2"/>
  <c r="AJ237" i="2"/>
  <c r="AJ238" i="2"/>
  <c r="AJ243" i="2"/>
  <c r="AJ184" i="2"/>
  <c r="V189" i="2"/>
  <c r="AA189" i="2"/>
  <c r="AT445" i="2"/>
  <c r="AT447" i="2"/>
  <c r="AT540" i="2" a="1"/>
  <c r="AT540" i="2"/>
  <c r="AU444" i="2"/>
  <c r="BT67" i="2"/>
  <c r="T245" i="2"/>
  <c r="T215" i="2"/>
  <c r="X242" i="2"/>
  <c r="BT97" i="2"/>
  <c r="BT98" i="2"/>
  <c r="BT92" i="2"/>
  <c r="BT68" i="2"/>
  <c r="BK878" i="2"/>
  <c r="BL5" i="2"/>
  <c r="AJ704" i="2"/>
  <c r="AK698" i="2"/>
  <c r="AK699" i="2"/>
  <c r="AO698" i="2"/>
  <c r="AO699" i="2"/>
  <c r="BO878" i="2"/>
  <c r="BP5" i="2"/>
  <c r="W189" i="2"/>
  <c r="AB189" i="2"/>
  <c r="X239" i="2"/>
  <c r="X244" i="2"/>
  <c r="X185" i="2"/>
  <c r="AC185" i="2"/>
  <c r="BS878" i="2"/>
  <c r="BT5" i="2"/>
  <c r="BF869" i="2"/>
  <c r="BH5" i="2"/>
  <c r="BG869" i="2"/>
  <c r="BL727" i="2"/>
  <c r="BL735" i="2"/>
  <c r="T805" i="2" a="1"/>
  <c r="T805" i="2"/>
  <c r="T704" i="2"/>
  <c r="W280" i="2"/>
  <c r="BV211" i="2"/>
  <c r="Y184" i="2"/>
  <c r="Y186" i="2"/>
  <c r="Y188" i="2"/>
  <c r="Y235" i="2"/>
  <c r="V282" i="2"/>
  <c r="AH282" i="2"/>
  <c r="AH295" i="2"/>
  <c r="X805" i="2" a="1"/>
  <c r="X805" i="2"/>
  <c r="X704" i="2"/>
  <c r="Y698" i="2"/>
  <c r="Y699" i="2"/>
  <c r="X449" i="2"/>
  <c r="W453" i="2"/>
  <c r="W245" i="2"/>
  <c r="W215" i="2"/>
  <c r="T240" i="2"/>
  <c r="W293" i="2"/>
  <c r="Z627" i="2"/>
  <c r="Z628" i="2"/>
  <c r="Y628" i="2"/>
  <c r="AI239" i="2"/>
  <c r="AI185" i="2"/>
  <c r="AN185" i="2"/>
  <c r="AI186" i="2"/>
  <c r="BV155" i="2"/>
  <c r="BV158" i="2"/>
  <c r="BV28" i="2"/>
  <c r="BU158" i="2"/>
  <c r="BU28" i="2"/>
  <c r="BU9" i="2"/>
  <c r="BL721" i="2"/>
  <c r="BL734" i="2"/>
  <c r="AH280" i="2"/>
  <c r="AH293" i="2"/>
  <c r="AB704" i="2"/>
  <c r="AC698" i="2"/>
  <c r="AC699" i="2"/>
  <c r="BV9" i="2"/>
  <c r="BT93" i="2"/>
  <c r="BT69" i="2"/>
  <c r="BT30" i="2"/>
  <c r="Y805" i="2" a="1"/>
  <c r="Y805" i="2"/>
  <c r="Y704" i="2"/>
  <c r="Y449" i="2"/>
  <c r="X453" i="2"/>
  <c r="AG704" i="2"/>
  <c r="AH698" i="2"/>
  <c r="AH699" i="2"/>
  <c r="X240" i="2"/>
  <c r="AO181" i="2"/>
  <c r="AI188" i="2"/>
  <c r="AJ186" i="2"/>
  <c r="AJ188" i="2"/>
  <c r="AJ189" i="2"/>
  <c r="AI244" i="2"/>
  <c r="AI240" i="2"/>
  <c r="X245" i="2"/>
  <c r="X215" i="2"/>
  <c r="AP698" i="2"/>
  <c r="AP699" i="2"/>
  <c r="AO704" i="2"/>
  <c r="AT698" i="2"/>
  <c r="AT699" i="2"/>
  <c r="AK168" i="2"/>
  <c r="AK181" i="2"/>
  <c r="AL698" i="2"/>
  <c r="AL699" i="2"/>
  <c r="AK704" i="2"/>
  <c r="T295" i="2"/>
  <c r="U295" i="2"/>
  <c r="T282" i="2"/>
  <c r="AA627" i="2"/>
  <c r="Z805" i="2" a="1"/>
  <c r="Z805" i="2"/>
  <c r="BT129" i="2"/>
  <c r="BU126" i="2"/>
  <c r="BU127" i="2"/>
  <c r="BT118" i="2"/>
  <c r="BT145" i="2"/>
  <c r="BT144" i="2"/>
  <c r="BT141" i="2"/>
  <c r="BT27" i="2"/>
  <c r="BT8" i="2"/>
  <c r="AD698" i="2"/>
  <c r="AD699" i="2"/>
  <c r="AC704" i="2"/>
  <c r="Z186" i="2"/>
  <c r="Z188" i="2"/>
  <c r="BL878" i="2"/>
  <c r="BM5" i="2"/>
  <c r="AU445" i="2"/>
  <c r="AU447" i="2"/>
  <c r="AU540" i="2" a="1"/>
  <c r="AU540" i="2"/>
  <c r="AU541" i="2"/>
  <c r="AT541" i="2"/>
  <c r="AT546" i="2"/>
  <c r="V295" i="2"/>
  <c r="BT878" i="2"/>
  <c r="BU5" i="2"/>
  <c r="Y242" i="2"/>
  <c r="T280" i="2"/>
  <c r="T293" i="2"/>
  <c r="U293" i="2"/>
  <c r="V293" i="2"/>
  <c r="U240" i="2"/>
  <c r="U280" i="2"/>
  <c r="Y189" i="2"/>
  <c r="AD189" i="2"/>
  <c r="BL755" i="2"/>
  <c r="BL392" i="2"/>
  <c r="BL754" i="2"/>
  <c r="BP878" i="2"/>
  <c r="BQ5" i="2"/>
  <c r="AJ239" i="2"/>
  <c r="AJ244" i="2"/>
  <c r="AJ185" i="2"/>
  <c r="Y239" i="2"/>
  <c r="Y244" i="2"/>
  <c r="Y185" i="2"/>
  <c r="AD185" i="2"/>
  <c r="W282" i="2"/>
  <c r="W295" i="2"/>
  <c r="BT26" i="2"/>
  <c r="BT7" i="2"/>
  <c r="BT100" i="2"/>
  <c r="BT99" i="2"/>
  <c r="BT96" i="2"/>
  <c r="BT80" i="2"/>
  <c r="BU77" i="2"/>
  <c r="BU78" i="2"/>
  <c r="BU878" i="2"/>
  <c r="BV5" i="2"/>
  <c r="AK235" i="2"/>
  <c r="BT217" i="2"/>
  <c r="BT11" i="2"/>
  <c r="BT381" i="2"/>
  <c r="AO168" i="2"/>
  <c r="AK183" i="2"/>
  <c r="AK237" i="2"/>
  <c r="AK238" i="2"/>
  <c r="AK243" i="2"/>
  <c r="AJ245" i="2"/>
  <c r="AJ282" i="2"/>
  <c r="AJ215" i="2"/>
  <c r="BU79" i="2"/>
  <c r="BU91" i="2"/>
  <c r="AT704" i="2"/>
  <c r="AY698" i="2"/>
  <c r="AY699" i="2"/>
  <c r="AU698" i="2"/>
  <c r="AU699" i="2"/>
  <c r="AT628" i="2"/>
  <c r="AT805" i="2" a="1"/>
  <c r="AT805" i="2"/>
  <c r="Z189" i="2"/>
  <c r="AE189" i="2"/>
  <c r="Y453" i="2"/>
  <c r="Z449" i="2"/>
  <c r="Z453" i="2"/>
  <c r="AA449" i="2"/>
  <c r="AQ698" i="2"/>
  <c r="AQ699" i="2"/>
  <c r="AP704" i="2"/>
  <c r="BQ878" i="2"/>
  <c r="BR5" i="2"/>
  <c r="AT544" i="2"/>
  <c r="AT547" i="2"/>
  <c r="BU128" i="2"/>
  <c r="BU136" i="2"/>
  <c r="X282" i="2"/>
  <c r="X295" i="2"/>
  <c r="AB627" i="2"/>
  <c r="AA628" i="2"/>
  <c r="AA805" i="2" a="1"/>
  <c r="AA805" i="2"/>
  <c r="AI280" i="2"/>
  <c r="AI293" i="2"/>
  <c r="AJ293" i="2"/>
  <c r="AJ240" i="2"/>
  <c r="AJ280" i="2"/>
  <c r="AI245" i="2"/>
  <c r="AI215" i="2"/>
  <c r="Y245" i="2"/>
  <c r="Y215" i="2"/>
  <c r="Y240" i="2"/>
  <c r="Z240" i="2"/>
  <c r="Z280" i="2"/>
  <c r="BM878" i="2"/>
  <c r="AI189" i="2"/>
  <c r="AN189" i="2"/>
  <c r="BL760" i="2"/>
  <c r="BL724" i="2"/>
  <c r="AD704" i="2"/>
  <c r="AO235" i="2"/>
  <c r="AO242" i="2"/>
  <c r="BL737" i="2"/>
  <c r="BL636" i="2"/>
  <c r="BL387" i="2"/>
  <c r="BL40" i="2"/>
  <c r="AM698" i="2"/>
  <c r="AM699" i="2"/>
  <c r="AL704" i="2"/>
  <c r="X280" i="2"/>
  <c r="X293" i="2"/>
  <c r="BL730" i="2"/>
  <c r="AI698" i="2"/>
  <c r="AI699" i="2"/>
  <c r="AH704" i="2"/>
  <c r="BL723" i="2"/>
  <c r="BM720" i="2"/>
  <c r="Y295" i="2"/>
  <c r="Z295" i="2"/>
  <c r="Y282" i="2"/>
  <c r="AA295" i="2"/>
  <c r="AB295" i="2"/>
  <c r="AC295" i="2"/>
  <c r="AQ704" i="2"/>
  <c r="AR698" i="2"/>
  <c r="AR699" i="2"/>
  <c r="AI282" i="2"/>
  <c r="AI295" i="2"/>
  <c r="AJ295" i="2"/>
  <c r="AU627" i="2"/>
  <c r="AV627" i="2"/>
  <c r="AU704" i="2"/>
  <c r="AV698" i="2"/>
  <c r="AV699" i="2"/>
  <c r="AU628" i="2"/>
  <c r="AU805" i="2" a="1"/>
  <c r="AU805" i="2"/>
  <c r="AY704" i="2"/>
  <c r="BD698" i="2"/>
  <c r="BD699" i="2"/>
  <c r="AZ698" i="2"/>
  <c r="AZ699" i="2"/>
  <c r="AY628" i="2"/>
  <c r="AZ627" i="2"/>
  <c r="BA627" i="2"/>
  <c r="BV878" i="2"/>
  <c r="B936" i="2"/>
  <c r="AK184" i="2"/>
  <c r="AI704" i="2"/>
  <c r="BM726" i="2"/>
  <c r="BL729" i="2"/>
  <c r="BR878" i="2"/>
  <c r="AK242" i="2"/>
  <c r="BU67" i="2"/>
  <c r="BU92" i="2"/>
  <c r="BU68" i="2"/>
  <c r="BU98" i="2"/>
  <c r="BU97" i="2"/>
  <c r="Y293" i="2"/>
  <c r="Z293" i="2"/>
  <c r="Y280" i="2"/>
  <c r="AA293" i="2"/>
  <c r="AC293" i="2"/>
  <c r="AB293" i="2"/>
  <c r="AC627" i="2"/>
  <c r="AB628" i="2"/>
  <c r="AB805" i="2" a="1"/>
  <c r="AB805" i="2"/>
  <c r="BU116" i="2"/>
  <c r="AN698" i="2"/>
  <c r="AN699" i="2"/>
  <c r="AM704" i="2"/>
  <c r="BU143" i="2"/>
  <c r="BU142" i="2"/>
  <c r="BU137" i="2"/>
  <c r="BU117" i="2"/>
  <c r="AB449" i="2"/>
  <c r="AA453" i="2"/>
  <c r="AO183" i="2"/>
  <c r="AO169" i="2"/>
  <c r="AP166" i="2"/>
  <c r="AP168" i="2"/>
  <c r="AP183" i="2"/>
  <c r="BU138" i="2"/>
  <c r="BU27" i="2"/>
  <c r="BU8" i="2"/>
  <c r="AY805" i="2" a="1"/>
  <c r="AY805" i="2"/>
  <c r="BU145" i="2"/>
  <c r="BU144" i="2"/>
  <c r="BU141" i="2"/>
  <c r="AW627" i="2"/>
  <c r="AV628" i="2"/>
  <c r="BM721" i="2"/>
  <c r="AD627" i="2"/>
  <c r="AC628" i="2"/>
  <c r="AC805" i="2" a="1"/>
  <c r="AC805" i="2"/>
  <c r="AP237" i="2"/>
  <c r="AP238" i="2"/>
  <c r="AP243" i="2"/>
  <c r="BB627" i="2"/>
  <c r="BA628" i="2"/>
  <c r="AO237" i="2"/>
  <c r="AO238" i="2"/>
  <c r="AO243" i="2"/>
  <c r="AO184" i="2"/>
  <c r="AZ704" i="2"/>
  <c r="BA698" i="2"/>
  <c r="BA699" i="2"/>
  <c r="AZ628" i="2"/>
  <c r="AZ625" i="2"/>
  <c r="BI698" i="2"/>
  <c r="BI699" i="2"/>
  <c r="BE698" i="2"/>
  <c r="BE699" i="2"/>
  <c r="BD704" i="2"/>
  <c r="AC449" i="2"/>
  <c r="AB453" i="2"/>
  <c r="BM727" i="2"/>
  <c r="BM735" i="2"/>
  <c r="BN735" i="2"/>
  <c r="AR704" i="2"/>
  <c r="AS698" i="2"/>
  <c r="AS699" i="2"/>
  <c r="AK239" i="2"/>
  <c r="AK185" i="2"/>
  <c r="AK186" i="2"/>
  <c r="AV805" i="2" a="1"/>
  <c r="AV805" i="2"/>
  <c r="AW698" i="2"/>
  <c r="AW699" i="2"/>
  <c r="AV704" i="2"/>
  <c r="AN704" i="2"/>
  <c r="BU93" i="2"/>
  <c r="BU129" i="2"/>
  <c r="BV126" i="2"/>
  <c r="BV127" i="2"/>
  <c r="BV128" i="2"/>
  <c r="BU118" i="2"/>
  <c r="BM392" i="2"/>
  <c r="BN721" i="2"/>
  <c r="BM754" i="2"/>
  <c r="BM734" i="2"/>
  <c r="BN734" i="2"/>
  <c r="BA805" i="2" a="1"/>
  <c r="BA805" i="2"/>
  <c r="BB698" i="2"/>
  <c r="BB699" i="2"/>
  <c r="BA704" i="2"/>
  <c r="AW704" i="2"/>
  <c r="AX698" i="2"/>
  <c r="AX699" i="2"/>
  <c r="AZ805" i="2" a="1"/>
  <c r="AZ805" i="2"/>
  <c r="AX627" i="2"/>
  <c r="AY627" i="2"/>
  <c r="AW628" i="2"/>
  <c r="AW805" i="2" a="1"/>
  <c r="AW805" i="2"/>
  <c r="AS704" i="2"/>
  <c r="AS628" i="2"/>
  <c r="AS805" i="2" a="1"/>
  <c r="AS805" i="2"/>
  <c r="AO186" i="2"/>
  <c r="AO188" i="2"/>
  <c r="AO189" i="2"/>
  <c r="AK188" i="2"/>
  <c r="AK189" i="2"/>
  <c r="AO185" i="2"/>
  <c r="AT181" i="2"/>
  <c r="AP181" i="2"/>
  <c r="AO239" i="2"/>
  <c r="AO244" i="2"/>
  <c r="AK244" i="2"/>
  <c r="AK240" i="2"/>
  <c r="BN727" i="2"/>
  <c r="BM755" i="2"/>
  <c r="BV136" i="2"/>
  <c r="BC627" i="2"/>
  <c r="BB628" i="2"/>
  <c r="BU80" i="2"/>
  <c r="BV77" i="2"/>
  <c r="BV78" i="2"/>
  <c r="BU69" i="2"/>
  <c r="BU30" i="2"/>
  <c r="BU26" i="2"/>
  <c r="AC453" i="2"/>
  <c r="AD449" i="2"/>
  <c r="BF698" i="2"/>
  <c r="BF699" i="2"/>
  <c r="BE704" i="2"/>
  <c r="BN698" i="2"/>
  <c r="BJ698" i="2"/>
  <c r="BI704" i="2"/>
  <c r="AE627" i="2"/>
  <c r="AE628" i="2"/>
  <c r="AD628" i="2"/>
  <c r="AD805" i="2" a="1"/>
  <c r="AD805" i="2"/>
  <c r="AF627" i="2"/>
  <c r="AE805" i="2" a="1"/>
  <c r="AE805" i="2"/>
  <c r="BU217" i="2"/>
  <c r="BU11" i="2"/>
  <c r="BU381" i="2"/>
  <c r="BV91" i="2"/>
  <c r="BV79" i="2"/>
  <c r="BD627" i="2"/>
  <c r="BD628" i="2"/>
  <c r="BC628" i="2"/>
  <c r="BV116" i="2"/>
  <c r="BN755" i="2"/>
  <c r="BM730" i="2"/>
  <c r="BM729" i="2"/>
  <c r="AX704" i="2"/>
  <c r="AX628" i="2"/>
  <c r="AX805" i="2" a="1"/>
  <c r="AX805" i="2"/>
  <c r="BV143" i="2"/>
  <c r="BV142" i="2"/>
  <c r="BV137" i="2"/>
  <c r="BV117" i="2"/>
  <c r="AD453" i="2"/>
  <c r="AE449" i="2"/>
  <c r="AE453" i="2"/>
  <c r="AF449" i="2"/>
  <c r="AO240" i="2"/>
  <c r="AO280" i="2"/>
  <c r="AK293" i="2"/>
  <c r="AK280" i="2"/>
  <c r="AM293" i="2"/>
  <c r="AL293" i="2"/>
  <c r="AN293" i="2"/>
  <c r="AO293" i="2"/>
  <c r="BG698" i="2"/>
  <c r="BG699" i="2"/>
  <c r="BF704" i="2"/>
  <c r="AK215" i="2"/>
  <c r="AK245" i="2"/>
  <c r="AO245" i="2"/>
  <c r="AO282" i="2"/>
  <c r="AO215" i="2"/>
  <c r="BB805" i="2" a="1"/>
  <c r="BB805" i="2"/>
  <c r="BC698" i="2"/>
  <c r="BC699" i="2"/>
  <c r="BB704" i="2"/>
  <c r="AP184" i="2"/>
  <c r="AP186" i="2"/>
  <c r="AP235" i="2"/>
  <c r="AT235" i="2"/>
  <c r="AT242" i="2"/>
  <c r="BM760" i="2"/>
  <c r="BN754" i="2"/>
  <c r="BM724" i="2"/>
  <c r="BM723" i="2"/>
  <c r="BU7" i="2"/>
  <c r="BU100" i="2"/>
  <c r="BU99" i="2"/>
  <c r="BU96" i="2"/>
  <c r="BM737" i="2"/>
  <c r="BM636" i="2"/>
  <c r="BN636" i="2"/>
  <c r="BM387" i="2"/>
  <c r="BN387" i="2"/>
  <c r="BM40" i="2"/>
  <c r="BN40" i="2"/>
  <c r="BN392" i="2"/>
  <c r="BV138" i="2"/>
  <c r="BV145" i="2"/>
  <c r="BV144" i="2"/>
  <c r="BV141" i="2"/>
  <c r="BN724" i="2"/>
  <c r="BN760" i="2"/>
  <c r="BN730" i="2"/>
  <c r="BN737" i="2"/>
  <c r="AP242" i="2"/>
  <c r="BE627" i="2"/>
  <c r="BD805" i="2" a="1"/>
  <c r="BD805" i="2"/>
  <c r="AP239" i="2"/>
  <c r="AP244" i="2"/>
  <c r="AP185" i="2"/>
  <c r="AQ181" i="2"/>
  <c r="AU185" i="2"/>
  <c r="AG449" i="2"/>
  <c r="AF453" i="2"/>
  <c r="BV92" i="2"/>
  <c r="BV68" i="2"/>
  <c r="BV98" i="2"/>
  <c r="BV97" i="2"/>
  <c r="BC704" i="2"/>
  <c r="BC805" i="2" a="1"/>
  <c r="BC805" i="2"/>
  <c r="BV67" i="2"/>
  <c r="AK295" i="2"/>
  <c r="AK282" i="2"/>
  <c r="AL295" i="2"/>
  <c r="AM295" i="2"/>
  <c r="AN295" i="2"/>
  <c r="AO295" i="2"/>
  <c r="AP188" i="2"/>
  <c r="AP189" i="2"/>
  <c r="BG704" i="2"/>
  <c r="BH698" i="2"/>
  <c r="BH699" i="2"/>
  <c r="AG627" i="2"/>
  <c r="AF628" i="2"/>
  <c r="AF805" i="2" a="1"/>
  <c r="AF805" i="2"/>
  <c r="BV118" i="2"/>
  <c r="BV129" i="2"/>
  <c r="BV93" i="2"/>
  <c r="BV27" i="2"/>
  <c r="BV8" i="2"/>
  <c r="BF627" i="2"/>
  <c r="BE628" i="2"/>
  <c r="BE805" i="2" a="1"/>
  <c r="BE805" i="2"/>
  <c r="AH627" i="2"/>
  <c r="AG628" i="2"/>
  <c r="AG805" i="2" a="1"/>
  <c r="AG805" i="2"/>
  <c r="AP240" i="2"/>
  <c r="BH704" i="2"/>
  <c r="AG453" i="2"/>
  <c r="AH449" i="2"/>
  <c r="BO726" i="2"/>
  <c r="BN729" i="2"/>
  <c r="BS726" i="2"/>
  <c r="AP215" i="2"/>
  <c r="AP245" i="2"/>
  <c r="AQ186" i="2"/>
  <c r="AQ183" i="2"/>
  <c r="AQ235" i="2"/>
  <c r="BN723" i="2"/>
  <c r="BS720" i="2"/>
  <c r="BO720" i="2"/>
  <c r="BV69" i="2"/>
  <c r="BV30" i="2"/>
  <c r="BV26" i="2"/>
  <c r="BV80" i="2"/>
  <c r="AQ188" i="2"/>
  <c r="AT186" i="2"/>
  <c r="AT188" i="2"/>
  <c r="AT189" i="2"/>
  <c r="AP280" i="2"/>
  <c r="AP293" i="2"/>
  <c r="AP295" i="2"/>
  <c r="AP282" i="2"/>
  <c r="BO727" i="2"/>
  <c r="BO735" i="2"/>
  <c r="BV217" i="2"/>
  <c r="BV11" i="2"/>
  <c r="BV381" i="2"/>
  <c r="BO721" i="2"/>
  <c r="BO734" i="2"/>
  <c r="AI627" i="2"/>
  <c r="AH628" i="2"/>
  <c r="AH805" i="2" a="1"/>
  <c r="AH805" i="2"/>
  <c r="AQ237" i="2"/>
  <c r="AQ238" i="2"/>
  <c r="AQ243" i="2"/>
  <c r="AT183" i="2"/>
  <c r="AI449" i="2"/>
  <c r="AH453" i="2"/>
  <c r="BV7" i="2"/>
  <c r="BV100" i="2"/>
  <c r="BV99" i="2"/>
  <c r="BV96" i="2"/>
  <c r="AQ242" i="2"/>
  <c r="AQ245" i="2"/>
  <c r="AQ240" i="2"/>
  <c r="BG627" i="2"/>
  <c r="BF628" i="2"/>
  <c r="BF805" i="2" a="1"/>
  <c r="BF805" i="2"/>
  <c r="BO392" i="2"/>
  <c r="BO754" i="2"/>
  <c r="BH627" i="2"/>
  <c r="BG628" i="2"/>
  <c r="BG805" i="2" a="1"/>
  <c r="BG805" i="2"/>
  <c r="AJ627" i="2"/>
  <c r="AJ628" i="2"/>
  <c r="AI628" i="2"/>
  <c r="AI805" i="2" a="1"/>
  <c r="AI805" i="2"/>
  <c r="AQ280" i="2"/>
  <c r="AR293" i="2"/>
  <c r="AQ293" i="2"/>
  <c r="AS293" i="2"/>
  <c r="AT293" i="2"/>
  <c r="AQ282" i="2"/>
  <c r="AQ295" i="2"/>
  <c r="AR295" i="2"/>
  <c r="AS295" i="2"/>
  <c r="AT295" i="2"/>
  <c r="AJ449" i="2"/>
  <c r="AJ453" i="2"/>
  <c r="AK449" i="2"/>
  <c r="AI453" i="2"/>
  <c r="BO755" i="2"/>
  <c r="AT237" i="2"/>
  <c r="AT238" i="2"/>
  <c r="AT243" i="2"/>
  <c r="AT184" i="2"/>
  <c r="AT240" i="2"/>
  <c r="AT280" i="2"/>
  <c r="AQ189" i="2"/>
  <c r="AV189" i="2"/>
  <c r="AK627" i="2"/>
  <c r="AJ805" i="2" a="1"/>
  <c r="AJ805" i="2"/>
  <c r="BO724" i="2"/>
  <c r="BO760" i="2"/>
  <c r="AT185" i="2"/>
  <c r="AY181" i="2"/>
  <c r="AU181" i="2"/>
  <c r="AT239" i="2"/>
  <c r="AT244" i="2"/>
  <c r="BO737" i="2"/>
  <c r="BO636" i="2"/>
  <c r="BO387" i="2"/>
  <c r="BO40" i="2"/>
  <c r="BI627" i="2"/>
  <c r="BI628" i="2"/>
  <c r="BI805" i="2" a="1"/>
  <c r="BI805" i="2"/>
  <c r="BH628" i="2"/>
  <c r="BH805" i="2" a="1"/>
  <c r="BH805" i="2"/>
  <c r="BO730" i="2"/>
  <c r="AK453" i="2"/>
  <c r="AL449" i="2"/>
  <c r="BP720" i="2"/>
  <c r="BO723" i="2"/>
  <c r="AY235" i="2"/>
  <c r="AY242" i="2"/>
  <c r="AT245" i="2"/>
  <c r="AT282" i="2"/>
  <c r="AT215" i="2"/>
  <c r="AL453" i="2"/>
  <c r="AM449" i="2"/>
  <c r="BO729" i="2"/>
  <c r="BP726" i="2"/>
  <c r="AU186" i="2"/>
  <c r="AU183" i="2"/>
  <c r="AU235" i="2"/>
  <c r="AL627" i="2"/>
  <c r="AK628" i="2"/>
  <c r="AK805" i="2" a="1"/>
  <c r="AK805" i="2"/>
  <c r="AY183" i="2"/>
  <c r="AU237" i="2"/>
  <c r="AU238" i="2"/>
  <c r="AU243" i="2"/>
  <c r="BP727" i="2"/>
  <c r="BP735" i="2"/>
  <c r="AU242" i="2"/>
  <c r="AU245" i="2"/>
  <c r="AU240" i="2"/>
  <c r="AN449" i="2"/>
  <c r="AM453" i="2"/>
  <c r="AY186" i="2"/>
  <c r="AY188" i="2"/>
  <c r="AY189" i="2"/>
  <c r="AU188" i="2"/>
  <c r="AU189" i="2"/>
  <c r="AM627" i="2"/>
  <c r="AL628" i="2"/>
  <c r="AL805" i="2" a="1"/>
  <c r="AL805" i="2"/>
  <c r="BP721" i="2"/>
  <c r="BP734" i="2"/>
  <c r="BP392" i="2"/>
  <c r="BP754" i="2"/>
  <c r="AN627" i="2"/>
  <c r="AM628" i="2"/>
  <c r="AM805" i="2" a="1"/>
  <c r="AM805" i="2"/>
  <c r="AY240" i="2"/>
  <c r="AY280" i="2"/>
  <c r="AU280" i="2"/>
  <c r="AX293" i="2"/>
  <c r="AY293" i="2"/>
  <c r="AU293" i="2"/>
  <c r="AV293" i="2"/>
  <c r="AW293" i="2"/>
  <c r="AU282" i="2"/>
  <c r="AX295" i="2"/>
  <c r="AY295" i="2"/>
  <c r="AU295" i="2"/>
  <c r="AW295" i="2"/>
  <c r="AV295" i="2"/>
  <c r="AO449" i="2"/>
  <c r="AO453" i="2"/>
  <c r="AP449" i="2"/>
  <c r="AN453" i="2"/>
  <c r="BP755" i="2"/>
  <c r="AY237" i="2"/>
  <c r="AY238" i="2"/>
  <c r="AY243" i="2"/>
  <c r="AY184" i="2"/>
  <c r="BP760" i="2"/>
  <c r="BP724" i="2"/>
  <c r="AO627" i="2"/>
  <c r="AO628" i="2"/>
  <c r="AN628" i="2"/>
  <c r="AN805" i="2" a="1"/>
  <c r="AN805" i="2"/>
  <c r="AP453" i="2"/>
  <c r="AQ449" i="2"/>
  <c r="BP737" i="2"/>
  <c r="BP636" i="2"/>
  <c r="BP387" i="2"/>
  <c r="BP40" i="2"/>
  <c r="AZ181" i="2"/>
  <c r="AY185" i="2"/>
  <c r="BD181" i="2"/>
  <c r="AY239" i="2"/>
  <c r="AY244" i="2"/>
  <c r="BP730" i="2"/>
  <c r="AP627" i="2"/>
  <c r="AO805" i="2" a="1"/>
  <c r="AO805" i="2"/>
  <c r="AZ186" i="2"/>
  <c r="AZ183" i="2"/>
  <c r="AZ235" i="2"/>
  <c r="AR449" i="2"/>
  <c r="AQ453" i="2"/>
  <c r="BQ726" i="2"/>
  <c r="BP729" i="2"/>
  <c r="BP723" i="2"/>
  <c r="BQ720" i="2"/>
  <c r="BD235" i="2"/>
  <c r="BD242" i="2"/>
  <c r="AY245" i="2"/>
  <c r="AY282" i="2"/>
  <c r="AY215" i="2"/>
  <c r="BQ727" i="2"/>
  <c r="BD186" i="2"/>
  <c r="BD188" i="2"/>
  <c r="BD189" i="2"/>
  <c r="AZ188" i="2"/>
  <c r="AZ189" i="2"/>
  <c r="BQ721" i="2"/>
  <c r="BQ734" i="2"/>
  <c r="AS449" i="2"/>
  <c r="AR453" i="2"/>
  <c r="BD183" i="2"/>
  <c r="AZ237" i="2"/>
  <c r="AZ238" i="2"/>
  <c r="AZ243" i="2"/>
  <c r="AQ627" i="2"/>
  <c r="AP628" i="2"/>
  <c r="AP805" i="2" a="1"/>
  <c r="AP805" i="2"/>
  <c r="AZ240" i="2"/>
  <c r="AZ242" i="2"/>
  <c r="AZ245" i="2"/>
  <c r="AZ282" i="2"/>
  <c r="BB295" i="2"/>
  <c r="AZ295" i="2"/>
  <c r="BC295" i="2"/>
  <c r="BD295" i="2"/>
  <c r="BA295" i="2"/>
  <c r="BD237" i="2"/>
  <c r="BD238" i="2"/>
  <c r="BD243" i="2"/>
  <c r="BD184" i="2"/>
  <c r="AT449" i="2"/>
  <c r="AT453" i="2"/>
  <c r="AU449" i="2"/>
  <c r="AS453" i="2"/>
  <c r="BQ755" i="2"/>
  <c r="BD240" i="2"/>
  <c r="BD280" i="2"/>
  <c r="AZ280" i="2"/>
  <c r="BB293" i="2"/>
  <c r="BA293" i="2"/>
  <c r="BC293" i="2"/>
  <c r="BD293" i="2"/>
  <c r="AZ293" i="2"/>
  <c r="AR627" i="2"/>
  <c r="AQ628" i="2"/>
  <c r="AQ805" i="2" a="1"/>
  <c r="AQ805" i="2"/>
  <c r="BQ392" i="2"/>
  <c r="BQ754" i="2"/>
  <c r="BQ735" i="2"/>
  <c r="AU453" i="2"/>
  <c r="AV449" i="2"/>
  <c r="BQ730" i="2"/>
  <c r="BQ724" i="2"/>
  <c r="BQ760" i="2"/>
  <c r="BQ737" i="2"/>
  <c r="BQ636" i="2"/>
  <c r="BQ387" i="2"/>
  <c r="BQ40" i="2"/>
  <c r="AS627" i="2"/>
  <c r="AR628" i="2"/>
  <c r="AR805" i="2" a="1"/>
  <c r="AR805" i="2"/>
  <c r="BD185" i="2"/>
  <c r="BI181" i="2"/>
  <c r="BE181" i="2"/>
  <c r="BD239" i="2"/>
  <c r="BD244" i="2"/>
  <c r="AT627" i="2"/>
  <c r="AX625" i="2"/>
  <c r="AS625" i="2"/>
  <c r="BQ723" i="2"/>
  <c r="BR720" i="2"/>
  <c r="BD245" i="2"/>
  <c r="BD282" i="2"/>
  <c r="BD215" i="2"/>
  <c r="BI235" i="2"/>
  <c r="BI242" i="2"/>
  <c r="AW449" i="2"/>
  <c r="AV453" i="2"/>
  <c r="BR726" i="2"/>
  <c r="BQ729" i="2"/>
  <c r="BE186" i="2"/>
  <c r="BE183" i="2"/>
  <c r="BE235" i="2"/>
  <c r="BR727" i="2"/>
  <c r="AW453" i="2"/>
  <c r="AX449" i="2"/>
  <c r="BR721" i="2"/>
  <c r="BR734" i="2"/>
  <c r="BS734" i="2"/>
  <c r="BI183" i="2"/>
  <c r="BE237" i="2"/>
  <c r="BE238" i="2"/>
  <c r="BE243" i="2"/>
  <c r="BE240" i="2"/>
  <c r="BE242" i="2"/>
  <c r="BE245" i="2"/>
  <c r="BI186" i="2"/>
  <c r="BE188" i="2"/>
  <c r="AY625" i="2"/>
  <c r="AT625" i="2"/>
  <c r="BE189" i="2"/>
  <c r="BJ188" i="2"/>
  <c r="BO188" i="2"/>
  <c r="BI240" i="2"/>
  <c r="BI280" i="2"/>
  <c r="BF293" i="2"/>
  <c r="BE280" i="2"/>
  <c r="BH293" i="2"/>
  <c r="BI293" i="2"/>
  <c r="BE293" i="2"/>
  <c r="BG293" i="2"/>
  <c r="BN181" i="2"/>
  <c r="BI188" i="2"/>
  <c r="BI189" i="2"/>
  <c r="BI237" i="2"/>
  <c r="BI238" i="2"/>
  <c r="BI243" i="2"/>
  <c r="BI184" i="2"/>
  <c r="BG295" i="2"/>
  <c r="BE282" i="2"/>
  <c r="BF295" i="2"/>
  <c r="BH295" i="2"/>
  <c r="BI295" i="2"/>
  <c r="BE295" i="2"/>
  <c r="BS727" i="2"/>
  <c r="BR755" i="2"/>
  <c r="BR392" i="2"/>
  <c r="BS721" i="2"/>
  <c r="BR754" i="2"/>
  <c r="AY449" i="2"/>
  <c r="AY453" i="2"/>
  <c r="AZ449" i="2"/>
  <c r="AX453" i="2"/>
  <c r="BR735" i="2"/>
  <c r="BS735" i="2"/>
  <c r="BN184" i="2"/>
  <c r="BN235" i="2"/>
  <c r="BN242" i="2"/>
  <c r="BA449" i="2"/>
  <c r="AZ453" i="2"/>
  <c r="BI185" i="2"/>
  <c r="BJ181" i="2"/>
  <c r="BI239" i="2"/>
  <c r="BI244" i="2"/>
  <c r="BR760" i="2"/>
  <c r="BS754" i="2"/>
  <c r="BR724" i="2"/>
  <c r="BR723" i="2"/>
  <c r="BR737" i="2"/>
  <c r="BR636" i="2"/>
  <c r="BS636" i="2"/>
  <c r="BR387" i="2"/>
  <c r="BS387" i="2"/>
  <c r="BR40" i="2"/>
  <c r="BS40" i="2"/>
  <c r="BS392" i="2"/>
  <c r="BS755" i="2"/>
  <c r="BR730" i="2"/>
  <c r="BR729" i="2"/>
  <c r="BS737" i="2"/>
  <c r="BS760" i="2"/>
  <c r="BS724" i="2"/>
  <c r="BJ184" i="2"/>
  <c r="BJ235" i="2"/>
  <c r="BA453" i="2"/>
  <c r="BB449" i="2"/>
  <c r="BI245" i="2"/>
  <c r="BI282" i="2"/>
  <c r="BI215" i="2"/>
  <c r="BS730" i="2"/>
  <c r="BO181" i="2"/>
  <c r="BN185" i="2"/>
  <c r="BN239" i="2"/>
  <c r="BN244" i="2"/>
  <c r="BO184" i="2"/>
  <c r="BO235" i="2"/>
  <c r="BJ185" i="2"/>
  <c r="BK181" i="2"/>
  <c r="BJ239" i="2"/>
  <c r="BJ244" i="2"/>
  <c r="BJ186" i="2"/>
  <c r="BT726" i="2"/>
  <c r="BS729" i="2"/>
  <c r="BB453" i="2"/>
  <c r="BC449" i="2"/>
  <c r="BJ242" i="2"/>
  <c r="BJ240" i="2"/>
  <c r="BS723" i="2"/>
  <c r="BT720" i="2"/>
  <c r="BN245" i="2"/>
  <c r="BN215" i="2"/>
  <c r="BT721" i="2"/>
  <c r="BD449" i="2"/>
  <c r="BD453" i="2"/>
  <c r="BE449" i="2"/>
  <c r="BC453" i="2"/>
  <c r="BJ31" i="2"/>
  <c r="BT727" i="2"/>
  <c r="BT755" i="2"/>
  <c r="BJ245" i="2"/>
  <c r="BJ215" i="2"/>
  <c r="BO242" i="2"/>
  <c r="BK184" i="2"/>
  <c r="BK235" i="2"/>
  <c r="BP181" i="2"/>
  <c r="BO185" i="2"/>
  <c r="BO239" i="2"/>
  <c r="BO244" i="2"/>
  <c r="BO186" i="2"/>
  <c r="BO240" i="2"/>
  <c r="BL181" i="2"/>
  <c r="BK185" i="2"/>
  <c r="BK239" i="2"/>
  <c r="BK244" i="2"/>
  <c r="BK242" i="2"/>
  <c r="BK240" i="2"/>
  <c r="BT730" i="2"/>
  <c r="BJ12" i="2"/>
  <c r="BJ32" i="2"/>
  <c r="BJ380" i="2"/>
  <c r="BE453" i="2"/>
  <c r="BF449" i="2"/>
  <c r="BK186" i="2"/>
  <c r="BT735" i="2"/>
  <c r="BO31" i="2"/>
  <c r="BT392" i="2"/>
  <c r="BT754" i="2"/>
  <c r="BO245" i="2"/>
  <c r="BO215" i="2"/>
  <c r="BP184" i="2"/>
  <c r="BP186" i="2"/>
  <c r="BP235" i="2"/>
  <c r="BT734" i="2"/>
  <c r="BP31" i="2"/>
  <c r="BF453" i="2"/>
  <c r="BG449" i="2"/>
  <c r="BJ38" i="2"/>
  <c r="BJ36" i="2"/>
  <c r="BJ37" i="2"/>
  <c r="BK31" i="2"/>
  <c r="BJ13" i="2"/>
  <c r="BJ33" i="2"/>
  <c r="BJ382" i="2"/>
  <c r="BJ800" i="2"/>
  <c r="BT729" i="2"/>
  <c r="BU726" i="2"/>
  <c r="BO12" i="2"/>
  <c r="BO32" i="2"/>
  <c r="BO380" i="2"/>
  <c r="BT760" i="2"/>
  <c r="BT724" i="2"/>
  <c r="BK245" i="2"/>
  <c r="BK215" i="2"/>
  <c r="BP242" i="2"/>
  <c r="BT737" i="2"/>
  <c r="BT636" i="2"/>
  <c r="BT387" i="2"/>
  <c r="BT40" i="2"/>
  <c r="BQ181" i="2"/>
  <c r="BP185" i="2"/>
  <c r="BP239" i="2"/>
  <c r="BP244" i="2"/>
  <c r="BL184" i="2"/>
  <c r="BL235" i="2"/>
  <c r="BP240" i="2"/>
  <c r="BQ184" i="2"/>
  <c r="BQ235" i="2"/>
  <c r="BU727" i="2"/>
  <c r="BU755" i="2"/>
  <c r="BJ768" i="2"/>
  <c r="BJ655" i="2"/>
  <c r="BJ748" i="2"/>
  <c r="BJ746" i="2"/>
  <c r="BJ764" i="2"/>
  <c r="BJ766" i="2"/>
  <c r="BJ654" i="2"/>
  <c r="BJ330" i="2"/>
  <c r="BJ39" i="2"/>
  <c r="BJ42" i="2"/>
  <c r="BJ14" i="2"/>
  <c r="BJ329" i="2"/>
  <c r="BL242" i="2"/>
  <c r="BU720" i="2"/>
  <c r="BT723" i="2"/>
  <c r="BH449" i="2"/>
  <c r="BG453" i="2"/>
  <c r="BM181" i="2"/>
  <c r="BL185" i="2"/>
  <c r="BL239" i="2"/>
  <c r="BL244" i="2"/>
  <c r="BK12" i="2"/>
  <c r="BK380" i="2"/>
  <c r="BK32" i="2"/>
  <c r="BL186" i="2"/>
  <c r="BO38" i="2"/>
  <c r="BO36" i="2"/>
  <c r="BO37" i="2"/>
  <c r="BJ385" i="2"/>
  <c r="BP245" i="2"/>
  <c r="BP215" i="2"/>
  <c r="BO13" i="2"/>
  <c r="BO33" i="2"/>
  <c r="BO382" i="2"/>
  <c r="BO800" i="2"/>
  <c r="BP12" i="2"/>
  <c r="BP32" i="2"/>
  <c r="BP380" i="2"/>
  <c r="BK38" i="2"/>
  <c r="BK36" i="2"/>
  <c r="BK37" i="2"/>
  <c r="BL245" i="2"/>
  <c r="BL215" i="2"/>
  <c r="BM184" i="2"/>
  <c r="BM186" i="2"/>
  <c r="BM31" i="2"/>
  <c r="BM235" i="2"/>
  <c r="BL31" i="2"/>
  <c r="BN186" i="2"/>
  <c r="BS181" i="2"/>
  <c r="BP36" i="2"/>
  <c r="BP38" i="2"/>
  <c r="BP37" i="2"/>
  <c r="BK13" i="2"/>
  <c r="BK33" i="2"/>
  <c r="BK382" i="2"/>
  <c r="BK800" i="2"/>
  <c r="BJ769" i="2"/>
  <c r="BJ653" i="2"/>
  <c r="BU730" i="2"/>
  <c r="BU721" i="2"/>
  <c r="BU734" i="2"/>
  <c r="BU735" i="2"/>
  <c r="BJ386" i="2"/>
  <c r="BP13" i="2"/>
  <c r="BP33" i="2"/>
  <c r="BP382" i="2"/>
  <c r="BP800" i="2"/>
  <c r="BO330" i="2"/>
  <c r="BO14" i="2"/>
  <c r="BO39" i="2"/>
  <c r="BO329" i="2"/>
  <c r="BH453" i="2"/>
  <c r="BI449" i="2"/>
  <c r="BI453" i="2"/>
  <c r="BJ316" i="2"/>
  <c r="BJ317" i="2"/>
  <c r="BJ322" i="2"/>
  <c r="BL240" i="2"/>
  <c r="BQ242" i="2"/>
  <c r="BJ649" i="2"/>
  <c r="BO385" i="2"/>
  <c r="BR181" i="2"/>
  <c r="BQ185" i="2"/>
  <c r="BQ239" i="2"/>
  <c r="BQ244" i="2"/>
  <c r="BJ647" i="2"/>
  <c r="BQ186" i="2"/>
  <c r="BQ240" i="2"/>
  <c r="BP385" i="2"/>
  <c r="BP316" i="2"/>
  <c r="BP317" i="2"/>
  <c r="BS184" i="2"/>
  <c r="BS235" i="2"/>
  <c r="BS242" i="2"/>
  <c r="BL12" i="2"/>
  <c r="BL32" i="2"/>
  <c r="BL380" i="2"/>
  <c r="BM240" i="2"/>
  <c r="BN240" i="2"/>
  <c r="BM242" i="2"/>
  <c r="BQ31" i="2"/>
  <c r="BO386" i="2"/>
  <c r="BN31" i="2"/>
  <c r="BM12" i="2"/>
  <c r="BM32" i="2"/>
  <c r="BM380" i="2"/>
  <c r="BU392" i="2"/>
  <c r="BU754" i="2"/>
  <c r="BM185" i="2"/>
  <c r="BM239" i="2"/>
  <c r="BM244" i="2"/>
  <c r="BP330" i="2"/>
  <c r="BP14" i="2"/>
  <c r="BP39" i="2"/>
  <c r="BP386" i="2"/>
  <c r="BP388" i="2"/>
  <c r="BP329" i="2"/>
  <c r="BO42" i="2"/>
  <c r="BV726" i="2"/>
  <c r="BU729" i="2"/>
  <c r="BO316" i="2"/>
  <c r="BO317" i="2"/>
  <c r="BO322" i="2"/>
  <c r="BQ245" i="2"/>
  <c r="BQ215" i="2"/>
  <c r="BR184" i="2"/>
  <c r="BR235" i="2"/>
  <c r="BK385" i="2"/>
  <c r="BJ388" i="2"/>
  <c r="BK764" i="2"/>
  <c r="BK768" i="2"/>
  <c r="BK655" i="2"/>
  <c r="BK766" i="2"/>
  <c r="BK654" i="2"/>
  <c r="BK748" i="2"/>
  <c r="BK746" i="2"/>
  <c r="BK330" i="2"/>
  <c r="BK39" i="2"/>
  <c r="BK14" i="2"/>
  <c r="BK329" i="2"/>
  <c r="BK647" i="2"/>
  <c r="BR185" i="2"/>
  <c r="BR239" i="2"/>
  <c r="BR244" i="2"/>
  <c r="BK649" i="2"/>
  <c r="BP389" i="2"/>
  <c r="BP326" i="2"/>
  <c r="BP325" i="2"/>
  <c r="BP394" i="2"/>
  <c r="BO388" i="2"/>
  <c r="BQ12" i="2"/>
  <c r="BQ380" i="2"/>
  <c r="BQ32" i="2"/>
  <c r="BL37" i="2"/>
  <c r="BN37" i="2"/>
  <c r="BN314" i="2"/>
  <c r="BL36" i="2"/>
  <c r="BL38" i="2"/>
  <c r="BK386" i="2"/>
  <c r="BU760" i="2"/>
  <c r="BU724" i="2"/>
  <c r="BL13" i="2"/>
  <c r="BL33" i="2"/>
  <c r="BL382" i="2"/>
  <c r="BL800" i="2"/>
  <c r="BU737" i="2"/>
  <c r="BU636" i="2"/>
  <c r="BU387" i="2"/>
  <c r="BU40" i="2"/>
  <c r="BV727" i="2"/>
  <c r="BV755" i="2"/>
  <c r="BV730" i="2"/>
  <c r="BV729" i="2"/>
  <c r="BR186" i="2"/>
  <c r="BK316" i="2"/>
  <c r="BK317" i="2"/>
  <c r="BK322" i="2"/>
  <c r="BS185" i="2"/>
  <c r="BT181" i="2"/>
  <c r="BS239" i="2"/>
  <c r="BS244" i="2"/>
  <c r="BN188" i="2"/>
  <c r="BN189" i="2"/>
  <c r="BN12" i="2"/>
  <c r="BN32" i="2"/>
  <c r="BN380" i="2"/>
  <c r="BK769" i="2"/>
  <c r="BK653" i="2"/>
  <c r="BJ394" i="2"/>
  <c r="BJ401" i="2"/>
  <c r="BJ389" i="2"/>
  <c r="BJ326" i="2"/>
  <c r="BJ325" i="2"/>
  <c r="BK42" i="2"/>
  <c r="BM36" i="2"/>
  <c r="BM37" i="2"/>
  <c r="BM38" i="2"/>
  <c r="BP42" i="2"/>
  <c r="BM245" i="2"/>
  <c r="BM215" i="2"/>
  <c r="BM13" i="2"/>
  <c r="BM33" i="2"/>
  <c r="BM382" i="2"/>
  <c r="BM800" i="2"/>
  <c r="BR240" i="2"/>
  <c r="BS240" i="2"/>
  <c r="BR242" i="2"/>
  <c r="BP322" i="2"/>
  <c r="BV735" i="2"/>
  <c r="BJ395" i="2"/>
  <c r="BJ331" i="2"/>
  <c r="BP395" i="2"/>
  <c r="BP331" i="2"/>
  <c r="BQ38" i="2"/>
  <c r="BQ37" i="2"/>
  <c r="BQ36" i="2"/>
  <c r="BN13" i="2"/>
  <c r="BN33" i="2"/>
  <c r="BT184" i="2"/>
  <c r="BT235" i="2"/>
  <c r="BO389" i="2"/>
  <c r="BO326" i="2"/>
  <c r="BO325" i="2"/>
  <c r="BO394" i="2"/>
  <c r="BL764" i="2"/>
  <c r="BL766" i="2"/>
  <c r="BL654" i="2"/>
  <c r="BL748" i="2"/>
  <c r="BL746" i="2"/>
  <c r="BL768" i="2"/>
  <c r="BL655" i="2"/>
  <c r="BL330" i="2"/>
  <c r="BL39" i="2"/>
  <c r="BL14" i="2"/>
  <c r="BL329" i="2"/>
  <c r="BN382" i="2"/>
  <c r="BN800" i="2"/>
  <c r="BM385" i="2"/>
  <c r="BM316" i="2"/>
  <c r="BM317" i="2"/>
  <c r="BM322" i="2"/>
  <c r="BM42" i="2"/>
  <c r="BV720" i="2"/>
  <c r="BU723" i="2"/>
  <c r="BM768" i="2"/>
  <c r="BM748" i="2"/>
  <c r="BN748" i="2"/>
  <c r="BM746" i="2"/>
  <c r="BN746" i="2"/>
  <c r="BM764" i="2"/>
  <c r="BM766" i="2"/>
  <c r="BM330" i="2"/>
  <c r="BM39" i="2"/>
  <c r="BM386" i="2"/>
  <c r="BM14" i="2"/>
  <c r="BM329" i="2"/>
  <c r="BO764" i="2"/>
  <c r="BO766" i="2"/>
  <c r="BO748" i="2"/>
  <c r="BO768" i="2"/>
  <c r="BO746" i="2"/>
  <c r="BP766" i="2"/>
  <c r="BP746" i="2"/>
  <c r="BP748" i="2"/>
  <c r="BP768" i="2"/>
  <c r="BP655" i="2"/>
  <c r="BP764" i="2"/>
  <c r="BS245" i="2"/>
  <c r="BS215" i="2"/>
  <c r="BR31" i="2"/>
  <c r="BS186" i="2"/>
  <c r="BR245" i="2"/>
  <c r="BR215" i="2"/>
  <c r="BK388" i="2"/>
  <c r="BN320" i="2"/>
  <c r="BN38" i="2"/>
  <c r="BN315" i="2"/>
  <c r="BQ13" i="2"/>
  <c r="BQ33" i="2"/>
  <c r="BQ382" i="2"/>
  <c r="BJ403" i="2"/>
  <c r="BJ404" i="2"/>
  <c r="BL385" i="2"/>
  <c r="BL42" i="2"/>
  <c r="BN36" i="2"/>
  <c r="BP649" i="2"/>
  <c r="BT242" i="2"/>
  <c r="BT185" i="2"/>
  <c r="BU181" i="2"/>
  <c r="BT239" i="2"/>
  <c r="BT244" i="2"/>
  <c r="BT186" i="2"/>
  <c r="BL386" i="2"/>
  <c r="BN386" i="2"/>
  <c r="BN39" i="2"/>
  <c r="BN324" i="2"/>
  <c r="BO769" i="2"/>
  <c r="BL316" i="2"/>
  <c r="BL317" i="2"/>
  <c r="BL322" i="2"/>
  <c r="BN385" i="2"/>
  <c r="BN316" i="2"/>
  <c r="BN317" i="2"/>
  <c r="BN322" i="2"/>
  <c r="BM388" i="2"/>
  <c r="BL388" i="2"/>
  <c r="BN655" i="2"/>
  <c r="BQ385" i="2"/>
  <c r="BQ766" i="2"/>
  <c r="BQ654" i="2"/>
  <c r="BQ768" i="2"/>
  <c r="BQ655" i="2"/>
  <c r="BQ748" i="2"/>
  <c r="BQ746" i="2"/>
  <c r="BQ764" i="2"/>
  <c r="BQ330" i="2"/>
  <c r="BQ14" i="2"/>
  <c r="BQ39" i="2"/>
  <c r="BQ329" i="2"/>
  <c r="BP769" i="2"/>
  <c r="BP653" i="2"/>
  <c r="BN764" i="2"/>
  <c r="BO653" i="2"/>
  <c r="BM769" i="2"/>
  <c r="BM653" i="2"/>
  <c r="BM647" i="2"/>
  <c r="BL647" i="2"/>
  <c r="BN647" i="2"/>
  <c r="BQ800" i="2"/>
  <c r="BN707" i="2"/>
  <c r="BN713" i="2"/>
  <c r="BO647" i="2"/>
  <c r="BM649" i="2"/>
  <c r="BL649" i="2"/>
  <c r="BN649" i="2"/>
  <c r="BK394" i="2"/>
  <c r="BK389" i="2"/>
  <c r="BK326" i="2"/>
  <c r="BK325" i="2"/>
  <c r="BS31" i="2"/>
  <c r="BR12" i="2"/>
  <c r="BR32" i="2"/>
  <c r="BR380" i="2"/>
  <c r="BN708" i="2"/>
  <c r="BN714" i="2"/>
  <c r="BO649" i="2"/>
  <c r="BJ405" i="2"/>
  <c r="BQ649" i="2"/>
  <c r="BQ647" i="2"/>
  <c r="BN768" i="2"/>
  <c r="BN711" i="2"/>
  <c r="BN717" i="2"/>
  <c r="BM655" i="2"/>
  <c r="BL769" i="2"/>
  <c r="BL653" i="2"/>
  <c r="BP332" i="2"/>
  <c r="BN330" i="2"/>
  <c r="BN14" i="2"/>
  <c r="BN329" i="2"/>
  <c r="BN321" i="2"/>
  <c r="BP654" i="2"/>
  <c r="BO395" i="2"/>
  <c r="BO331" i="2"/>
  <c r="BJ638" i="2"/>
  <c r="BN766" i="2"/>
  <c r="BN710" i="2"/>
  <c r="BN716" i="2"/>
  <c r="BM654" i="2"/>
  <c r="BN654" i="2"/>
  <c r="BP647" i="2"/>
  <c r="BN313" i="2"/>
  <c r="BV721" i="2"/>
  <c r="BJ534" i="2"/>
  <c r="BJ332" i="2"/>
  <c r="BN653" i="2"/>
  <c r="BL389" i="2"/>
  <c r="BL326" i="2"/>
  <c r="BL325" i="2"/>
  <c r="BL394" i="2"/>
  <c r="BM389" i="2"/>
  <c r="BM326" i="2"/>
  <c r="BM325" i="2"/>
  <c r="BM394" i="2"/>
  <c r="BQ386" i="2"/>
  <c r="BO654" i="2"/>
  <c r="BJ773" i="2"/>
  <c r="BQ769" i="2"/>
  <c r="BQ653" i="2"/>
  <c r="BK395" i="2"/>
  <c r="BK331" i="2"/>
  <c r="BR38" i="2"/>
  <c r="BS38" i="2"/>
  <c r="BS315" i="2"/>
  <c r="BR37" i="2"/>
  <c r="BS37" i="2"/>
  <c r="BS314" i="2"/>
  <c r="BR36" i="2"/>
  <c r="BV392" i="2"/>
  <c r="BV754" i="2"/>
  <c r="BT245" i="2"/>
  <c r="BT215" i="2"/>
  <c r="BV734" i="2"/>
  <c r="BU184" i="2"/>
  <c r="BU186" i="2"/>
  <c r="BU235" i="2"/>
  <c r="BO332" i="2"/>
  <c r="BR13" i="2"/>
  <c r="BR33" i="2"/>
  <c r="BR382" i="2"/>
  <c r="BR800" i="2"/>
  <c r="BO655" i="2"/>
  <c r="BN388" i="2"/>
  <c r="BS188" i="2"/>
  <c r="BS12" i="2"/>
  <c r="BS380" i="2"/>
  <c r="BS32" i="2"/>
  <c r="BJ635" i="2"/>
  <c r="BJ409" i="2"/>
  <c r="BN42" i="2"/>
  <c r="BQ42" i="2"/>
  <c r="BN319" i="2"/>
  <c r="BN769" i="2"/>
  <c r="BN709" i="2"/>
  <c r="BN715" i="2"/>
  <c r="BQ316" i="2"/>
  <c r="BQ317" i="2"/>
  <c r="BQ322" i="2"/>
  <c r="BT240" i="2"/>
  <c r="BT188" i="2"/>
  <c r="BS189" i="2"/>
  <c r="BT315" i="2"/>
  <c r="BS321" i="2"/>
  <c r="BQ388" i="2"/>
  <c r="BM395" i="2"/>
  <c r="BM331" i="2"/>
  <c r="BU242" i="2"/>
  <c r="BK332" i="2"/>
  <c r="BN389" i="2"/>
  <c r="BN326" i="2"/>
  <c r="BN394" i="2"/>
  <c r="BN331" i="2"/>
  <c r="BN325" i="2"/>
  <c r="BR764" i="2"/>
  <c r="BR766" i="2"/>
  <c r="BR768" i="2"/>
  <c r="BR746" i="2"/>
  <c r="BR748" i="2"/>
  <c r="BR330" i="2"/>
  <c r="BR14" i="2"/>
  <c r="BR39" i="2"/>
  <c r="BR42" i="2"/>
  <c r="BR329" i="2"/>
  <c r="BS382" i="2"/>
  <c r="BJ411" i="2"/>
  <c r="BJ414" i="2"/>
  <c r="BU185" i="2"/>
  <c r="BV181" i="2"/>
  <c r="BU239" i="2"/>
  <c r="BU244" i="2"/>
  <c r="BL395" i="2"/>
  <c r="BN395" i="2"/>
  <c r="BL331" i="2"/>
  <c r="BV737" i="2"/>
  <c r="BV636" i="2"/>
  <c r="BV387" i="2"/>
  <c r="BV40" i="2"/>
  <c r="BT314" i="2"/>
  <c r="BS320" i="2"/>
  <c r="BJ644" i="2"/>
  <c r="BV724" i="2"/>
  <c r="BV723" i="2"/>
  <c r="BV760" i="2"/>
  <c r="BR385" i="2"/>
  <c r="BS36" i="2"/>
  <c r="BS13" i="2"/>
  <c r="BS33" i="2"/>
  <c r="BJ780" i="2"/>
  <c r="BJ781" i="2"/>
  <c r="BU240" i="2"/>
  <c r="BN332" i="2"/>
  <c r="BS330" i="2"/>
  <c r="BS14" i="2"/>
  <c r="BS329" i="2"/>
  <c r="BS313" i="2"/>
  <c r="BM332" i="2"/>
  <c r="BS800" i="2"/>
  <c r="BL332" i="2"/>
  <c r="BS748" i="2"/>
  <c r="BR649" i="2"/>
  <c r="BS649" i="2"/>
  <c r="BQ389" i="2"/>
  <c r="BQ326" i="2"/>
  <c r="BQ325" i="2"/>
  <c r="BQ394" i="2"/>
  <c r="BR316" i="2"/>
  <c r="BR317" i="2"/>
  <c r="BR322" i="2"/>
  <c r="BS385" i="2"/>
  <c r="BS316" i="2"/>
  <c r="BS317" i="2"/>
  <c r="BS322" i="2"/>
  <c r="BU245" i="2"/>
  <c r="BU215" i="2"/>
  <c r="BS746" i="2"/>
  <c r="BR647" i="2"/>
  <c r="BS647" i="2"/>
  <c r="BV184" i="2"/>
  <c r="BV186" i="2"/>
  <c r="BV235" i="2"/>
  <c r="BS768" i="2"/>
  <c r="BS711" i="2"/>
  <c r="BR655" i="2"/>
  <c r="BS655" i="2"/>
  <c r="BU314" i="2"/>
  <c r="BS766" i="2"/>
  <c r="BR654" i="2"/>
  <c r="BS654" i="2"/>
  <c r="BU315" i="2"/>
  <c r="BR769" i="2"/>
  <c r="BS764" i="2"/>
  <c r="BR653" i="2"/>
  <c r="BS653" i="2"/>
  <c r="BR386" i="2"/>
  <c r="BS386" i="2"/>
  <c r="BS39" i="2"/>
  <c r="BS324" i="2"/>
  <c r="BU188" i="2"/>
  <c r="BT31" i="2"/>
  <c r="BJ658" i="2"/>
  <c r="BJ493" i="2"/>
  <c r="BT711" i="2"/>
  <c r="BU711" i="2"/>
  <c r="BV711" i="2"/>
  <c r="BS717" i="2"/>
  <c r="BS42" i="2"/>
  <c r="BT313" i="2"/>
  <c r="BS319" i="2"/>
  <c r="BV242" i="2"/>
  <c r="BS707" i="2"/>
  <c r="BJ510" i="2"/>
  <c r="BV315" i="2"/>
  <c r="BQ395" i="2"/>
  <c r="BQ331" i="2"/>
  <c r="BS388" i="2"/>
  <c r="BT766" i="2"/>
  <c r="BS710" i="2"/>
  <c r="BJ495" i="2"/>
  <c r="BT12" i="2"/>
  <c r="BT380" i="2"/>
  <c r="BT32" i="2"/>
  <c r="BV188" i="2"/>
  <c r="BV31" i="2"/>
  <c r="BU31" i="2"/>
  <c r="BV314" i="2"/>
  <c r="BV185" i="2"/>
  <c r="BV239" i="2"/>
  <c r="BV244" i="2"/>
  <c r="BS769" i="2"/>
  <c r="BS709" i="2"/>
  <c r="BS708" i="2"/>
  <c r="BR388" i="2"/>
  <c r="BV12" i="2"/>
  <c r="BV380" i="2"/>
  <c r="BV32" i="2"/>
  <c r="BQ332" i="2"/>
  <c r="BV37" i="2"/>
  <c r="BV38" i="2"/>
  <c r="BV245" i="2"/>
  <c r="BV215" i="2"/>
  <c r="BT13" i="2"/>
  <c r="BT33" i="2"/>
  <c r="BT382" i="2"/>
  <c r="BU12" i="2"/>
  <c r="BU380" i="2"/>
  <c r="BU32" i="2"/>
  <c r="BT37" i="2"/>
  <c r="BT38" i="2"/>
  <c r="BS713" i="2"/>
  <c r="BT707" i="2"/>
  <c r="BU707" i="2"/>
  <c r="BV707" i="2"/>
  <c r="BV240" i="2"/>
  <c r="BJ514" i="2"/>
  <c r="BJ494" i="2"/>
  <c r="BR389" i="2"/>
  <c r="BR326" i="2"/>
  <c r="BR394" i="2"/>
  <c r="BR325" i="2"/>
  <c r="BU313" i="2"/>
  <c r="BT36" i="2"/>
  <c r="BS714" i="2"/>
  <c r="BT708" i="2"/>
  <c r="BU708" i="2"/>
  <c r="BV708" i="2"/>
  <c r="BS716" i="2"/>
  <c r="BT710" i="2"/>
  <c r="BU710" i="2"/>
  <c r="BV710" i="2"/>
  <c r="BU766" i="2"/>
  <c r="BT654" i="2"/>
  <c r="BT709" i="2"/>
  <c r="BU709" i="2"/>
  <c r="BV709" i="2"/>
  <c r="BS715" i="2"/>
  <c r="BS389" i="2"/>
  <c r="BS326" i="2"/>
  <c r="BS394" i="2"/>
  <c r="BS331" i="2"/>
  <c r="BS325" i="2"/>
  <c r="BT764" i="2"/>
  <c r="BT748" i="2"/>
  <c r="BT768" i="2"/>
  <c r="BT655" i="2"/>
  <c r="BT746" i="2"/>
  <c r="BT330" i="2"/>
  <c r="BT14" i="2"/>
  <c r="BT39" i="2"/>
  <c r="BT386" i="2"/>
  <c r="BT329" i="2"/>
  <c r="BT800" i="2"/>
  <c r="BV313" i="2"/>
  <c r="BV36" i="2"/>
  <c r="BU36" i="2"/>
  <c r="BU38" i="2"/>
  <c r="BU37" i="2"/>
  <c r="BR395" i="2"/>
  <c r="BR331" i="2"/>
  <c r="BT385" i="2"/>
  <c r="BT316" i="2"/>
  <c r="BT317" i="2"/>
  <c r="BT322" i="2"/>
  <c r="BU13" i="2"/>
  <c r="BU33" i="2"/>
  <c r="BU382" i="2"/>
  <c r="BU800" i="2"/>
  <c r="BV766" i="2"/>
  <c r="BV654" i="2"/>
  <c r="BU654" i="2"/>
  <c r="BV13" i="2"/>
  <c r="BV33" i="2"/>
  <c r="BV382" i="2"/>
  <c r="BV800" i="2"/>
  <c r="BT388" i="2"/>
  <c r="BT389" i="2"/>
  <c r="BT326" i="2"/>
  <c r="BT325" i="2"/>
  <c r="BT394" i="2"/>
  <c r="BR332" i="2"/>
  <c r="BS395" i="2"/>
  <c r="BU385" i="2"/>
  <c r="BU316" i="2"/>
  <c r="BU317" i="2"/>
  <c r="BU322" i="2"/>
  <c r="BT647" i="2"/>
  <c r="BV385" i="2"/>
  <c r="BV316" i="2"/>
  <c r="BV317" i="2"/>
  <c r="BV322" i="2"/>
  <c r="BV42" i="2"/>
  <c r="BV768" i="2"/>
  <c r="BV655" i="2"/>
  <c r="BV748" i="2"/>
  <c r="BV746" i="2"/>
  <c r="BV764" i="2"/>
  <c r="BV330" i="2"/>
  <c r="BV14" i="2"/>
  <c r="BV39" i="2"/>
  <c r="BV386" i="2"/>
  <c r="BV329" i="2"/>
  <c r="BT42" i="2"/>
  <c r="BT649" i="2"/>
  <c r="BU764" i="2"/>
  <c r="BU768" i="2"/>
  <c r="BU655" i="2"/>
  <c r="BU748" i="2"/>
  <c r="BU649" i="2"/>
  <c r="BU746" i="2"/>
  <c r="BU330" i="2"/>
  <c r="BU14" i="2"/>
  <c r="BU39" i="2"/>
  <c r="BU386" i="2"/>
  <c r="BU388" i="2"/>
  <c r="BU329" i="2"/>
  <c r="BT769" i="2"/>
  <c r="BT653" i="2"/>
  <c r="BU42" i="2"/>
  <c r="BV647" i="2"/>
  <c r="BU647" i="2"/>
  <c r="BS332" i="2"/>
  <c r="BT331" i="2"/>
  <c r="BT395" i="2"/>
  <c r="BU389" i="2"/>
  <c r="BU326" i="2"/>
  <c r="BU325" i="2"/>
  <c r="BU394" i="2"/>
  <c r="BV388" i="2"/>
  <c r="BV769" i="2"/>
  <c r="BV653" i="2"/>
  <c r="BV649" i="2"/>
  <c r="BU769" i="2"/>
  <c r="BU653" i="2"/>
  <c r="BV394" i="2"/>
  <c r="BV389" i="2"/>
  <c r="BV326" i="2"/>
  <c r="BV325" i="2"/>
  <c r="A389" i="2"/>
  <c r="A836" i="2"/>
  <c r="BT332" i="2"/>
  <c r="BU395" i="2"/>
  <c r="BU331" i="2"/>
  <c r="BU332" i="2"/>
  <c r="BV395" i="2"/>
  <c r="BV331" i="2"/>
  <c r="A395" i="2"/>
  <c r="A835" i="2"/>
  <c r="A396" i="2"/>
  <c r="BV332" i="2"/>
  <c r="A882" i="2"/>
  <c r="K812" i="2" a="1"/>
  <c r="K812" i="2" s="1"/>
  <c r="P812" i="2" a="1"/>
  <c r="P812" i="2" s="1"/>
  <c r="U812" i="2" a="1"/>
  <c r="U812" i="2" s="1"/>
  <c r="Z812" i="2" a="1"/>
  <c r="Z812" i="2" s="1"/>
  <c r="AE812" i="2" a="1"/>
  <c r="AE812" i="2" s="1"/>
  <c r="AJ812" i="2" a="1"/>
  <c r="AJ812" i="2" s="1"/>
  <c r="AO812" i="2" a="1"/>
  <c r="AO812" i="2" s="1"/>
  <c r="AT812" i="2" a="1"/>
  <c r="AT812" i="2" s="1"/>
  <c r="AY812" i="2" a="1"/>
  <c r="AY812" i="2" s="1"/>
  <c r="BD812" i="2" a="1"/>
  <c r="BD812" i="2" s="1"/>
  <c r="BI812" i="2" a="1"/>
  <c r="BI812" i="2" s="1"/>
  <c r="K813" i="2" a="1"/>
  <c r="K813" i="2" s="1"/>
  <c r="P813" i="2" a="1"/>
  <c r="P813" i="2" s="1"/>
  <c r="U813" i="2" a="1"/>
  <c r="U813" i="2" s="1"/>
  <c r="Z813" i="2" a="1"/>
  <c r="Z813" i="2" s="1"/>
  <c r="AE813" i="2" a="1"/>
  <c r="AE813" i="2" s="1"/>
  <c r="AJ813" i="2" a="1"/>
  <c r="AJ813" i="2" s="1"/>
  <c r="AO813" i="2" a="1"/>
  <c r="AO813" i="2" s="1"/>
  <c r="AT813" i="2" a="1"/>
  <c r="AT813" i="2" s="1"/>
  <c r="AY813" i="2" a="1"/>
  <c r="AY813" i="2" s="1"/>
  <c r="BD813" i="2" a="1"/>
  <c r="BD813" i="2" s="1"/>
  <c r="BI813" i="2" a="1"/>
  <c r="BI813" i="2" s="1"/>
  <c r="K814" i="2" a="1"/>
  <c r="K814" i="2" s="1"/>
  <c r="P814" i="2" a="1"/>
  <c r="P814" i="2" s="1"/>
  <c r="U814" i="2" a="1"/>
  <c r="U814" i="2" s="1"/>
  <c r="Z814" i="2" a="1"/>
  <c r="Z814" i="2" s="1"/>
  <c r="AE814" i="2" a="1"/>
  <c r="AE814" i="2" s="1"/>
  <c r="AJ814" i="2" a="1"/>
  <c r="AJ814" i="2" s="1"/>
  <c r="AO814" i="2" a="1"/>
  <c r="AO814" i="2" s="1"/>
  <c r="AT814" i="2" a="1"/>
  <c r="AT814" i="2" s="1"/>
  <c r="AY814" i="2" a="1"/>
  <c r="AY814" i="2" s="1"/>
  <c r="BD814" i="2" a="1"/>
  <c r="BD814" i="2" s="1"/>
  <c r="BI814" i="2" a="1"/>
  <c r="BI814" i="2" s="1"/>
  <c r="BN814" i="2" a="1"/>
  <c r="BN814" i="2" s="1"/>
  <c r="BS814" i="2" a="1"/>
  <c r="BS814" i="2" s="1"/>
  <c r="K815" i="2" a="1"/>
  <c r="K815" i="2" s="1"/>
  <c r="P815" i="2" a="1"/>
  <c r="P815" i="2" s="1"/>
  <c r="U815" i="2" a="1"/>
  <c r="U815" i="2" s="1"/>
  <c r="Z815" i="2" a="1"/>
  <c r="Z815" i="2" s="1"/>
  <c r="AE815" i="2" a="1"/>
  <c r="AE815" i="2" s="1"/>
  <c r="AJ815" i="2" a="1"/>
  <c r="AJ815" i="2" s="1"/>
  <c r="AO815" i="2" a="1"/>
  <c r="AO815" i="2" s="1"/>
  <c r="AT815" i="2" a="1"/>
  <c r="AT815" i="2" s="1"/>
  <c r="AY815" i="2" a="1"/>
  <c r="AY815" i="2" s="1"/>
  <c r="BD815" i="2" a="1"/>
  <c r="BD815" i="2" s="1"/>
  <c r="BI815" i="2" a="1"/>
  <c r="BI815" i="2" s="1"/>
  <c r="C894" i="2" a="1"/>
  <c r="C894" i="2" s="1"/>
  <c r="D894" i="2" a="1"/>
  <c r="D894" i="2" s="1"/>
  <c r="D892" i="2" s="1"/>
  <c r="D549" i="2" s="1" a="1"/>
  <c r="D549" i="2" s="1"/>
  <c r="E894" i="2" a="1"/>
  <c r="E894" i="2" s="1"/>
  <c r="E892" i="2" s="1"/>
  <c r="E549" i="2" s="1" a="1"/>
  <c r="E549" i="2" s="1"/>
  <c r="F894" i="2" a="1"/>
  <c r="F894" i="2" s="1"/>
  <c r="F892" i="2" s="1"/>
  <c r="F549" i="2" s="1" a="1"/>
  <c r="F549" i="2" s="1"/>
  <c r="G894" i="2" a="1"/>
  <c r="G894" i="2" s="1"/>
  <c r="G892" i="2" s="1"/>
  <c r="G549" i="2" s="1" a="1"/>
  <c r="G549" i="2" s="1"/>
  <c r="H894" i="2" a="1"/>
  <c r="H894" i="2" s="1"/>
  <c r="H892" i="2" s="1"/>
  <c r="H549" i="2" s="1" a="1"/>
  <c r="H549" i="2" s="1"/>
  <c r="I894" i="2" a="1"/>
  <c r="I894" i="2" s="1"/>
  <c r="I892" i="2" s="1"/>
  <c r="I549" i="2" s="1" a="1"/>
  <c r="I549" i="2" s="1"/>
  <c r="J894" i="2" a="1"/>
  <c r="J894" i="2" s="1"/>
  <c r="J892" i="2" s="1"/>
  <c r="J549" i="2" s="1" a="1"/>
  <c r="J549" i="2" s="1"/>
  <c r="K894" i="2" a="1"/>
  <c r="K894" i="2" s="1"/>
  <c r="K892" i="2" s="1"/>
  <c r="K549" i="2" s="1" a="1"/>
  <c r="K549" i="2" s="1"/>
  <c r="L894" i="2" a="1"/>
  <c r="L894" i="2" s="1"/>
  <c r="L892" i="2" s="1"/>
  <c r="L549" i="2" s="1" a="1"/>
  <c r="L549" i="2" s="1"/>
  <c r="M894" i="2" a="1"/>
  <c r="M894" i="2" s="1"/>
  <c r="M892" i="2" s="1"/>
  <c r="M549" i="2" s="1" a="1"/>
  <c r="M549" i="2" s="1"/>
  <c r="N894" i="2" a="1"/>
  <c r="N894" i="2" s="1"/>
  <c r="N892" i="2" s="1"/>
  <c r="N549" i="2" s="1" a="1"/>
  <c r="N549" i="2" s="1"/>
  <c r="O894" i="2" a="1"/>
  <c r="O894" i="2" s="1"/>
  <c r="O892" i="2" s="1"/>
  <c r="O549" i="2" s="1" a="1"/>
  <c r="O549" i="2" s="1"/>
  <c r="P894" i="2" a="1"/>
  <c r="P894" i="2" s="1"/>
  <c r="P892" i="2" s="1"/>
  <c r="P549" i="2" s="1" a="1"/>
  <c r="P549" i="2" s="1"/>
  <c r="Q894" i="2" a="1"/>
  <c r="Q894" i="2" s="1"/>
  <c r="Q892" i="2" s="1"/>
  <c r="Q549" i="2" s="1" a="1"/>
  <c r="Q549" i="2" s="1"/>
  <c r="R894" i="2" a="1"/>
  <c r="R894" i="2" s="1"/>
  <c r="R892" i="2" s="1"/>
  <c r="R549" i="2" s="1" a="1"/>
  <c r="R549" i="2" s="1"/>
  <c r="S894" i="2" a="1"/>
  <c r="S894" i="2" s="1"/>
  <c r="S892" i="2" s="1"/>
  <c r="S549" i="2" s="1" a="1"/>
  <c r="S549" i="2" s="1"/>
  <c r="T894" i="2" a="1"/>
  <c r="T894" i="2" s="1"/>
  <c r="T892" i="2" s="1"/>
  <c r="T549" i="2" s="1" a="1"/>
  <c r="T549" i="2" s="1"/>
  <c r="U894" i="2" a="1"/>
  <c r="U894" i="2" s="1"/>
  <c r="U892" i="2" s="1"/>
  <c r="U549" i="2" s="1" a="1"/>
  <c r="U549" i="2" s="1"/>
  <c r="V894" i="2" a="1"/>
  <c r="V894" i="2" s="1"/>
  <c r="V892" i="2" s="1"/>
  <c r="V549" i="2" s="1" a="1"/>
  <c r="V549" i="2" s="1"/>
  <c r="W894" i="2" a="1"/>
  <c r="W894" i="2" s="1"/>
  <c r="W892" i="2" s="1"/>
  <c r="W549" i="2" s="1" a="1"/>
  <c r="W549" i="2" s="1"/>
  <c r="X894" i="2" a="1"/>
  <c r="X894" i="2" s="1"/>
  <c r="X892" i="2" s="1"/>
  <c r="X549" i="2" s="1" a="1"/>
  <c r="X549" i="2" s="1"/>
  <c r="Y894" i="2" a="1"/>
  <c r="Y894" i="2" s="1"/>
  <c r="Y892" i="2" s="1"/>
  <c r="Y549" i="2" s="1" a="1"/>
  <c r="Y549" i="2" s="1"/>
  <c r="Z894" i="2" a="1"/>
  <c r="Z894" i="2" s="1"/>
  <c r="Z892" i="2" s="1"/>
  <c r="Z549" i="2" s="1" a="1"/>
  <c r="Z549" i="2" s="1"/>
  <c r="AA894" i="2" a="1"/>
  <c r="AA894" i="2" s="1"/>
  <c r="AA892" i="2" s="1"/>
  <c r="AA549" i="2" s="1" a="1"/>
  <c r="AA549" i="2" s="1"/>
  <c r="AB894" i="2" a="1"/>
  <c r="AB894" i="2" s="1"/>
  <c r="AB892" i="2" s="1"/>
  <c r="AB549" i="2" s="1" a="1"/>
  <c r="AB549" i="2" s="1"/>
  <c r="AC894" i="2" a="1"/>
  <c r="AC894" i="2" s="1"/>
  <c r="AC892" i="2" s="1"/>
  <c r="AC549" i="2" s="1" a="1"/>
  <c r="AC549" i="2" s="1"/>
  <c r="AD894" i="2" a="1"/>
  <c r="AD894" i="2" s="1"/>
  <c r="AD892" i="2" s="1"/>
  <c r="AD549" i="2" s="1" a="1"/>
  <c r="AD549" i="2" s="1"/>
  <c r="AE894" i="2" a="1"/>
  <c r="AE894" i="2" s="1"/>
  <c r="AE892" i="2" s="1"/>
  <c r="AE549" i="2" s="1" a="1"/>
  <c r="AE549" i="2" s="1"/>
  <c r="AF894" i="2" a="1"/>
  <c r="AF894" i="2" s="1"/>
  <c r="AF892" i="2" s="1"/>
  <c r="AF549" i="2" s="1" a="1"/>
  <c r="AF549" i="2" s="1"/>
  <c r="AG894" i="2" a="1"/>
  <c r="AG894" i="2" s="1"/>
  <c r="AG892" i="2" s="1"/>
  <c r="AG549" i="2" s="1" a="1"/>
  <c r="AG549" i="2" s="1"/>
  <c r="AH894" i="2" a="1"/>
  <c r="AH894" i="2" s="1"/>
  <c r="AH892" i="2" s="1"/>
  <c r="AH549" i="2" s="1" a="1"/>
  <c r="AH549" i="2" s="1"/>
  <c r="AI894" i="2" a="1"/>
  <c r="AI894" i="2" s="1"/>
  <c r="AI892" i="2" s="1"/>
  <c r="AI549" i="2" s="1" a="1"/>
  <c r="AI549" i="2" s="1"/>
  <c r="AJ894" i="2" a="1"/>
  <c r="AJ894" i="2" s="1"/>
  <c r="AJ892" i="2" s="1"/>
  <c r="AJ549" i="2" s="1" a="1"/>
  <c r="AJ549" i="2" s="1"/>
  <c r="AK894" i="2" a="1"/>
  <c r="AK894" i="2" s="1"/>
  <c r="AK892" i="2" s="1"/>
  <c r="AK549" i="2" s="1" a="1"/>
  <c r="AK549" i="2" s="1"/>
  <c r="AL894" i="2" a="1"/>
  <c r="AL894" i="2" s="1"/>
  <c r="AL892" i="2" s="1"/>
  <c r="AL549" i="2" s="1" a="1"/>
  <c r="AL549" i="2" s="1"/>
  <c r="AM894" i="2" a="1"/>
  <c r="AM894" i="2" s="1"/>
  <c r="AM892" i="2" s="1"/>
  <c r="AM549" i="2" s="1" a="1"/>
  <c r="AM549" i="2" s="1"/>
  <c r="AN894" i="2" a="1"/>
  <c r="AN894" i="2" s="1"/>
  <c r="AN892" i="2" s="1"/>
  <c r="AN549" i="2" s="1" a="1"/>
  <c r="AN549" i="2" s="1"/>
  <c r="AO894" i="2" a="1"/>
  <c r="AO894" i="2" s="1"/>
  <c r="AO892" i="2" s="1"/>
  <c r="AO549" i="2" s="1" a="1"/>
  <c r="AO549" i="2" s="1"/>
  <c r="AP894" i="2" a="1"/>
  <c r="AP894" i="2" s="1"/>
  <c r="AP892" i="2" s="1"/>
  <c r="AP549" i="2" s="1" a="1"/>
  <c r="AP549" i="2" s="1"/>
  <c r="AQ894" i="2" a="1"/>
  <c r="AQ894" i="2" s="1"/>
  <c r="AQ892" i="2" s="1"/>
  <c r="AQ549" i="2" s="1" a="1"/>
  <c r="AQ549" i="2" s="1"/>
  <c r="AR894" i="2" a="1"/>
  <c r="AR894" i="2" s="1"/>
  <c r="AR892" i="2" s="1"/>
  <c r="AR549" i="2" s="1" a="1"/>
  <c r="AR549" i="2" s="1"/>
  <c r="AS894" i="2" a="1"/>
  <c r="AS894" i="2" s="1"/>
  <c r="AS892" i="2" s="1"/>
  <c r="AS549" i="2" s="1" a="1"/>
  <c r="AS549" i="2" s="1"/>
  <c r="AT894" i="2" a="1"/>
  <c r="AT894" i="2" s="1"/>
  <c r="AT892" i="2" s="1"/>
  <c r="AT549" i="2" s="1" a="1"/>
  <c r="AT549" i="2" s="1"/>
  <c r="AU894" i="2" a="1"/>
  <c r="AU894" i="2" s="1"/>
  <c r="AU892" i="2" s="1"/>
  <c r="AU549" i="2" s="1" a="1"/>
  <c r="AU549" i="2" s="1"/>
  <c r="AV894" i="2" a="1"/>
  <c r="AV894" i="2" s="1"/>
  <c r="AV892" i="2" s="1"/>
  <c r="AV549" i="2" s="1" a="1"/>
  <c r="AV549" i="2" s="1"/>
  <c r="AW894" i="2" a="1"/>
  <c r="AW894" i="2" s="1"/>
  <c r="AW892" i="2" s="1"/>
  <c r="AW549" i="2" s="1" a="1"/>
  <c r="AW549" i="2" s="1"/>
  <c r="AX894" i="2" a="1"/>
  <c r="AX894" i="2" s="1"/>
  <c r="AX892" i="2" s="1"/>
  <c r="AX549" i="2" s="1" a="1"/>
  <c r="AX549" i="2" s="1"/>
  <c r="AY894" i="2" a="1"/>
  <c r="AY894" i="2" s="1"/>
  <c r="AY892" i="2" s="1"/>
  <c r="AY549" i="2" s="1" a="1"/>
  <c r="AY549" i="2" s="1"/>
  <c r="AZ894" i="2" a="1"/>
  <c r="AZ894" i="2" s="1"/>
  <c r="AZ892" i="2" s="1"/>
  <c r="AZ549" i="2" s="1" a="1"/>
  <c r="AZ549" i="2" s="1"/>
  <c r="BA894" i="2" a="1"/>
  <c r="BA894" i="2" s="1"/>
  <c r="BA892" i="2" s="1"/>
  <c r="BA549" i="2" s="1" a="1"/>
  <c r="BA549" i="2" s="1"/>
  <c r="BB894" i="2" a="1"/>
  <c r="BB894" i="2" s="1"/>
  <c r="BB892" i="2" s="1"/>
  <c r="BB549" i="2" s="1" a="1"/>
  <c r="BB549" i="2" s="1"/>
  <c r="BC894" i="2" a="1"/>
  <c r="BC894" i="2" s="1"/>
  <c r="BC892" i="2" s="1"/>
  <c r="BC549" i="2" s="1" a="1"/>
  <c r="BC549" i="2" s="1"/>
  <c r="BD894" i="2" a="1"/>
  <c r="BD894" i="2" s="1"/>
  <c r="BD892" i="2" s="1"/>
  <c r="BD549" i="2" s="1" a="1"/>
  <c r="BD549" i="2" s="1"/>
  <c r="BE894" i="2" a="1"/>
  <c r="BE894" i="2" s="1"/>
  <c r="BE892" i="2" s="1"/>
  <c r="BE549" i="2" s="1" a="1"/>
  <c r="BE549" i="2" s="1"/>
  <c r="BF894" i="2" a="1"/>
  <c r="BF894" i="2" s="1"/>
  <c r="BF892" i="2" s="1"/>
  <c r="BF549" i="2" s="1" a="1"/>
  <c r="BF549" i="2" s="1"/>
  <c r="BG894" i="2" a="1"/>
  <c r="BG894" i="2" s="1"/>
  <c r="BG892" i="2" s="1"/>
  <c r="BG549" i="2" s="1" a="1"/>
  <c r="BG549" i="2" s="1"/>
  <c r="BH894" i="2" a="1"/>
  <c r="BH894" i="2" s="1"/>
  <c r="BH892" i="2" s="1"/>
  <c r="BH549" i="2" s="1" a="1"/>
  <c r="BH549" i="2" s="1"/>
  <c r="BI894" i="2" a="1"/>
  <c r="BI894" i="2" s="1"/>
  <c r="BI892" i="2" s="1"/>
  <c r="BI549" i="2" s="1" a="1"/>
  <c r="BI549" i="2" s="1"/>
  <c r="BJ894" i="2" a="1"/>
  <c r="BJ894" i="2" s="1"/>
  <c r="BJ892" i="2" s="1"/>
  <c r="BK894" i="2" a="1"/>
  <c r="BK894" i="2" s="1"/>
  <c r="BK892" i="2" s="1"/>
  <c r="BL894" i="2" a="1"/>
  <c r="BL894" i="2" s="1"/>
  <c r="BL892" i="2" s="1"/>
  <c r="BM894" i="2" a="1"/>
  <c r="BM894" i="2" s="1"/>
  <c r="BM892" i="2" s="1"/>
  <c r="BN894" i="2" a="1"/>
  <c r="BN894" i="2" s="1"/>
  <c r="BN892" i="2" s="1"/>
  <c r="BO894" i="2" a="1"/>
  <c r="BO894" i="2" s="1"/>
  <c r="BO892" i="2" s="1"/>
  <c r="BP894" i="2" a="1"/>
  <c r="BP894" i="2" s="1"/>
  <c r="BP892" i="2" s="1"/>
  <c r="BQ894" i="2" a="1"/>
  <c r="BQ894" i="2" s="1"/>
  <c r="BQ892" i="2" s="1"/>
  <c r="BR894" i="2" a="1"/>
  <c r="BR894" i="2" s="1"/>
  <c r="BR892" i="2" s="1"/>
  <c r="BS894" i="2" a="1"/>
  <c r="BS894" i="2" s="1"/>
  <c r="BS892" i="2" s="1"/>
  <c r="BT894" i="2" a="1"/>
  <c r="BT894" i="2" s="1"/>
  <c r="BT892" i="2" s="1"/>
  <c r="BU894" i="2" a="1"/>
  <c r="BU894" i="2" s="1"/>
  <c r="BU892" i="2" s="1"/>
  <c r="BV894" i="2" a="1"/>
  <c r="BV894" i="2" s="1"/>
  <c r="BV892" i="2" s="1"/>
  <c r="C896" i="2" a="1"/>
  <c r="C896" i="2" s="1"/>
  <c r="D896" i="2" a="1"/>
  <c r="D896" i="2" s="1"/>
  <c r="E896" i="2" a="1"/>
  <c r="E896" i="2" s="1"/>
  <c r="F896" i="2" a="1"/>
  <c r="F896" i="2" s="1"/>
  <c r="G896" i="2" a="1"/>
  <c r="G896" i="2" s="1"/>
  <c r="H896" i="2" a="1"/>
  <c r="H896" i="2" s="1"/>
  <c r="I896" i="2" a="1"/>
  <c r="I896" i="2" s="1"/>
  <c r="J896" i="2" a="1"/>
  <c r="J896" i="2" s="1"/>
  <c r="K896" i="2" a="1"/>
  <c r="K896" i="2" s="1"/>
  <c r="L896" i="2" a="1"/>
  <c r="L896" i="2" s="1"/>
  <c r="M896" i="2" a="1"/>
  <c r="M896" i="2" s="1"/>
  <c r="N896" i="2" a="1"/>
  <c r="N896" i="2" s="1"/>
  <c r="O896" i="2" a="1"/>
  <c r="O896" i="2" s="1"/>
  <c r="P896" i="2" a="1"/>
  <c r="P896" i="2" s="1"/>
  <c r="Q896" i="2" a="1"/>
  <c r="Q896" i="2" s="1"/>
  <c r="R896" i="2" a="1"/>
  <c r="R896" i="2" s="1"/>
  <c r="S896" i="2" a="1"/>
  <c r="S896" i="2" s="1"/>
  <c r="T896" i="2" a="1"/>
  <c r="T896" i="2" s="1"/>
  <c r="U896" i="2" a="1"/>
  <c r="U896" i="2" s="1"/>
  <c r="V896" i="2" a="1"/>
  <c r="V896" i="2" s="1"/>
  <c r="W896" i="2" a="1"/>
  <c r="W896" i="2" s="1"/>
  <c r="X896" i="2" a="1"/>
  <c r="X896" i="2" s="1"/>
  <c r="Y896" i="2" a="1"/>
  <c r="Y896" i="2" s="1"/>
  <c r="Z896" i="2" a="1"/>
  <c r="Z896" i="2" s="1"/>
  <c r="AA896" i="2" a="1"/>
  <c r="AA896" i="2" s="1"/>
  <c r="AB896" i="2" a="1"/>
  <c r="AB896" i="2" s="1"/>
  <c r="AC896" i="2" a="1"/>
  <c r="AC896" i="2" s="1"/>
  <c r="AD896" i="2" a="1"/>
  <c r="AD896" i="2" s="1"/>
  <c r="AE896" i="2" a="1"/>
  <c r="AE896" i="2" s="1"/>
  <c r="AF896" i="2" a="1"/>
  <c r="AF896" i="2" s="1"/>
  <c r="AG896" i="2" a="1"/>
  <c r="AG896" i="2" s="1"/>
  <c r="AH896" i="2" a="1"/>
  <c r="AH896" i="2" s="1"/>
  <c r="AI896" i="2" a="1"/>
  <c r="AI896" i="2" s="1"/>
  <c r="AJ896" i="2" a="1"/>
  <c r="AJ896" i="2" s="1"/>
  <c r="AK896" i="2" a="1"/>
  <c r="AK896" i="2" s="1"/>
  <c r="AL896" i="2" a="1"/>
  <c r="AL896" i="2" s="1"/>
  <c r="AM896" i="2" a="1"/>
  <c r="AM896" i="2" s="1"/>
  <c r="AN896" i="2" a="1"/>
  <c r="AN896" i="2" s="1"/>
  <c r="AO896" i="2" a="1"/>
  <c r="AO896" i="2" s="1"/>
  <c r="AP896" i="2" a="1"/>
  <c r="AP896" i="2" s="1"/>
  <c r="AQ896" i="2" a="1"/>
  <c r="AQ896" i="2" s="1"/>
  <c r="AR896" i="2" a="1"/>
  <c r="AR896" i="2" s="1"/>
  <c r="AS896" i="2" a="1"/>
  <c r="AS896" i="2" s="1"/>
  <c r="AT896" i="2" a="1"/>
  <c r="AT896" i="2" s="1"/>
  <c r="AU896" i="2" a="1"/>
  <c r="AU896" i="2" s="1"/>
  <c r="AV896" i="2" a="1"/>
  <c r="AV896" i="2" s="1"/>
  <c r="AW896" i="2" a="1"/>
  <c r="AW896" i="2" s="1"/>
  <c r="AX896" i="2" a="1"/>
  <c r="AX896" i="2" s="1"/>
  <c r="AY896" i="2" a="1"/>
  <c r="AY896" i="2" s="1"/>
  <c r="AZ896" i="2" a="1"/>
  <c r="AZ896" i="2" s="1"/>
  <c r="BA896" i="2" a="1"/>
  <c r="BA896" i="2" s="1"/>
  <c r="BB896" i="2" a="1"/>
  <c r="BB896" i="2" s="1"/>
  <c r="BC896" i="2" a="1"/>
  <c r="BC896" i="2" s="1"/>
  <c r="BD896" i="2" a="1"/>
  <c r="BD896" i="2" s="1"/>
  <c r="BE896" i="2" a="1"/>
  <c r="BE896" i="2" s="1"/>
  <c r="BF896" i="2" a="1"/>
  <c r="BF896" i="2" s="1"/>
  <c r="BG896" i="2" a="1"/>
  <c r="BG896" i="2" s="1"/>
  <c r="BH896" i="2" a="1"/>
  <c r="BH896" i="2" s="1"/>
  <c r="BI896" i="2" a="1"/>
  <c r="BI896" i="2" s="1"/>
  <c r="BJ896" i="2" a="1"/>
  <c r="BJ896" i="2" s="1"/>
  <c r="BK896" i="2" a="1"/>
  <c r="BK896" i="2" s="1"/>
  <c r="BL896" i="2" a="1"/>
  <c r="BL896" i="2" s="1"/>
  <c r="BM896" i="2" a="1"/>
  <c r="BM896" i="2" s="1"/>
  <c r="BN896" i="2" a="1"/>
  <c r="BN896" i="2" s="1"/>
  <c r="BO896" i="2" a="1"/>
  <c r="BO896" i="2" s="1"/>
  <c r="BP896" i="2" a="1"/>
  <c r="BP896" i="2" s="1"/>
  <c r="BQ896" i="2" a="1"/>
  <c r="BQ896" i="2" s="1"/>
  <c r="BR896" i="2" a="1"/>
  <c r="BR896" i="2" s="1"/>
  <c r="BS896" i="2" a="1"/>
  <c r="BS896" i="2" s="1"/>
  <c r="BT896" i="2" a="1"/>
  <c r="BT896" i="2" s="1"/>
  <c r="BU896" i="2" a="1"/>
  <c r="BU896" i="2" s="1"/>
  <c r="BV896" i="2" a="1"/>
  <c r="BV896" i="2" s="1"/>
  <c r="C901" i="2" a="1"/>
  <c r="C901" i="2" s="1"/>
  <c r="A899" i="2" s="1"/>
  <c r="D901" i="2" a="1"/>
  <c r="D901" i="2" s="1"/>
  <c r="D899" i="2" s="1"/>
  <c r="D550" i="2" s="1" a="1"/>
  <c r="D550" i="2" s="1"/>
  <c r="E901" i="2" a="1"/>
  <c r="E901" i="2" s="1"/>
  <c r="E899" i="2" s="1"/>
  <c r="E550" i="2" s="1" a="1"/>
  <c r="E550" i="2" s="1"/>
  <c r="F901" i="2" a="1"/>
  <c r="F901" i="2" s="1"/>
  <c r="F899" i="2" s="1"/>
  <c r="F550" i="2" s="1" a="1"/>
  <c r="F550" i="2" s="1"/>
  <c r="G901" i="2" a="1"/>
  <c r="G901" i="2" s="1"/>
  <c r="G899" i="2" s="1"/>
  <c r="G550" i="2" s="1" a="1"/>
  <c r="G550" i="2" s="1"/>
  <c r="H901" i="2" a="1"/>
  <c r="H901" i="2" s="1"/>
  <c r="H899" i="2" s="1"/>
  <c r="H550" i="2" s="1" a="1"/>
  <c r="H550" i="2" s="1"/>
  <c r="I901" i="2" a="1"/>
  <c r="I901" i="2" s="1"/>
  <c r="I899" i="2" s="1"/>
  <c r="I550" i="2" s="1" a="1"/>
  <c r="I550" i="2" s="1"/>
  <c r="J901" i="2" a="1"/>
  <c r="J901" i="2" s="1"/>
  <c r="J899" i="2" s="1"/>
  <c r="J550" i="2" s="1" a="1"/>
  <c r="J550" i="2" s="1"/>
  <c r="K901" i="2" a="1"/>
  <c r="K901" i="2" s="1"/>
  <c r="K899" i="2" s="1"/>
  <c r="K550" i="2" s="1" a="1"/>
  <c r="K550" i="2" s="1"/>
  <c r="L901" i="2" a="1"/>
  <c r="L901" i="2" s="1"/>
  <c r="L899" i="2" s="1"/>
  <c r="L550" i="2" s="1" a="1"/>
  <c r="L550" i="2" s="1"/>
  <c r="M901" i="2" a="1"/>
  <c r="M901" i="2" s="1"/>
  <c r="M899" i="2" s="1"/>
  <c r="M550" i="2" s="1" a="1"/>
  <c r="M550" i="2" s="1"/>
  <c r="N901" i="2" a="1"/>
  <c r="N901" i="2" s="1"/>
  <c r="N899" i="2" s="1"/>
  <c r="N550" i="2" s="1" a="1"/>
  <c r="N550" i="2" s="1"/>
  <c r="O901" i="2" a="1"/>
  <c r="O901" i="2" s="1"/>
  <c r="O899" i="2" s="1"/>
  <c r="O550" i="2" s="1" a="1"/>
  <c r="O550" i="2" s="1"/>
  <c r="P901" i="2" a="1"/>
  <c r="P901" i="2" s="1"/>
  <c r="P899" i="2" s="1"/>
  <c r="P550" i="2" s="1" a="1"/>
  <c r="P550" i="2" s="1"/>
  <c r="Q901" i="2" a="1"/>
  <c r="Q901" i="2" s="1"/>
  <c r="Q899" i="2" s="1"/>
  <c r="Q550" i="2" s="1" a="1"/>
  <c r="Q550" i="2" s="1"/>
  <c r="R901" i="2" a="1"/>
  <c r="R901" i="2" s="1"/>
  <c r="R899" i="2" s="1"/>
  <c r="R550" i="2" s="1" a="1"/>
  <c r="R550" i="2" s="1"/>
  <c r="S901" i="2" a="1"/>
  <c r="S901" i="2" s="1"/>
  <c r="S899" i="2" s="1"/>
  <c r="S550" i="2" s="1" a="1"/>
  <c r="S550" i="2" s="1"/>
  <c r="T901" i="2" a="1"/>
  <c r="T901" i="2" s="1"/>
  <c r="T899" i="2" s="1"/>
  <c r="T550" i="2" s="1" a="1"/>
  <c r="T550" i="2" s="1"/>
  <c r="U901" i="2" a="1"/>
  <c r="U901" i="2" s="1"/>
  <c r="U899" i="2" s="1"/>
  <c r="U550" i="2" s="1" a="1"/>
  <c r="U550" i="2" s="1"/>
  <c r="V901" i="2" a="1"/>
  <c r="V901" i="2" s="1"/>
  <c r="V899" i="2" s="1"/>
  <c r="V550" i="2" s="1" a="1"/>
  <c r="V550" i="2" s="1"/>
  <c r="W901" i="2" a="1"/>
  <c r="W901" i="2" s="1"/>
  <c r="W899" i="2" s="1"/>
  <c r="W550" i="2" s="1" a="1"/>
  <c r="W550" i="2" s="1"/>
  <c r="X901" i="2" a="1"/>
  <c r="X901" i="2" s="1"/>
  <c r="X899" i="2" s="1"/>
  <c r="X550" i="2" s="1" a="1"/>
  <c r="X550" i="2" s="1"/>
  <c r="Y901" i="2" a="1"/>
  <c r="Y901" i="2" s="1"/>
  <c r="Y899" i="2" s="1"/>
  <c r="Y550" i="2" s="1" a="1"/>
  <c r="Y550" i="2" s="1"/>
  <c r="Z901" i="2" a="1"/>
  <c r="Z901" i="2" s="1"/>
  <c r="Z899" i="2" s="1"/>
  <c r="Z550" i="2" s="1" a="1"/>
  <c r="Z550" i="2" s="1"/>
  <c r="AA901" i="2" a="1"/>
  <c r="AA901" i="2" s="1"/>
  <c r="AA899" i="2" s="1"/>
  <c r="AA550" i="2" s="1" a="1"/>
  <c r="AA550" i="2" s="1"/>
  <c r="AB901" i="2" a="1"/>
  <c r="AB901" i="2" s="1"/>
  <c r="AB899" i="2" s="1"/>
  <c r="AB550" i="2" s="1" a="1"/>
  <c r="AB550" i="2" s="1"/>
  <c r="AC901" i="2" a="1"/>
  <c r="AC901" i="2" s="1"/>
  <c r="AC899" i="2" s="1"/>
  <c r="AC550" i="2" s="1" a="1"/>
  <c r="AC550" i="2" s="1"/>
  <c r="AD901" i="2" a="1"/>
  <c r="AD901" i="2" s="1"/>
  <c r="AD899" i="2" s="1"/>
  <c r="AD550" i="2" s="1" a="1"/>
  <c r="AD550" i="2" s="1"/>
  <c r="AE901" i="2" a="1"/>
  <c r="AE901" i="2" s="1"/>
  <c r="AE899" i="2" s="1"/>
  <c r="AE550" i="2" s="1" a="1"/>
  <c r="AE550" i="2" s="1"/>
  <c r="AF901" i="2" a="1"/>
  <c r="AF901" i="2" s="1"/>
  <c r="AF899" i="2" s="1"/>
  <c r="AF550" i="2" s="1" a="1"/>
  <c r="AF550" i="2" s="1"/>
  <c r="AG901" i="2" a="1"/>
  <c r="AG901" i="2" s="1"/>
  <c r="AG899" i="2" s="1"/>
  <c r="AG550" i="2" s="1" a="1"/>
  <c r="AG550" i="2" s="1"/>
  <c r="AH901" i="2" a="1"/>
  <c r="AH901" i="2" s="1"/>
  <c r="AH899" i="2" s="1"/>
  <c r="AH550" i="2" s="1" a="1"/>
  <c r="AH550" i="2" s="1"/>
  <c r="AI901" i="2" a="1"/>
  <c r="AI901" i="2" s="1"/>
  <c r="AI899" i="2" s="1"/>
  <c r="AI550" i="2" s="1" a="1"/>
  <c r="AI550" i="2" s="1"/>
  <c r="AJ901" i="2" a="1"/>
  <c r="AJ901" i="2" s="1"/>
  <c r="AJ899" i="2" s="1"/>
  <c r="AJ550" i="2" s="1" a="1"/>
  <c r="AJ550" i="2" s="1"/>
  <c r="AK901" i="2" a="1"/>
  <c r="AK901" i="2" s="1"/>
  <c r="AK899" i="2" s="1"/>
  <c r="AK550" i="2" s="1" a="1"/>
  <c r="AK550" i="2" s="1"/>
  <c r="AL901" i="2" a="1"/>
  <c r="AL901" i="2" s="1"/>
  <c r="AL899" i="2" s="1"/>
  <c r="AL550" i="2" s="1" a="1"/>
  <c r="AL550" i="2" s="1"/>
  <c r="AM901" i="2" a="1"/>
  <c r="AM901" i="2" s="1"/>
  <c r="AM899" i="2" s="1"/>
  <c r="AM550" i="2" s="1" a="1"/>
  <c r="AM550" i="2" s="1"/>
  <c r="AN901" i="2" a="1"/>
  <c r="AN901" i="2" s="1"/>
  <c r="AN899" i="2" s="1"/>
  <c r="AN550" i="2" s="1" a="1"/>
  <c r="AN550" i="2" s="1"/>
  <c r="AO901" i="2" a="1"/>
  <c r="AO901" i="2" s="1"/>
  <c r="AO899" i="2" s="1"/>
  <c r="AO550" i="2" s="1" a="1"/>
  <c r="AO550" i="2" s="1"/>
  <c r="AP901" i="2" a="1"/>
  <c r="AP901" i="2" s="1"/>
  <c r="AP899" i="2" s="1"/>
  <c r="AP550" i="2" s="1" a="1"/>
  <c r="AP550" i="2" s="1"/>
  <c r="AQ901" i="2" a="1"/>
  <c r="AQ901" i="2" s="1"/>
  <c r="AQ899" i="2" s="1"/>
  <c r="AQ550" i="2" s="1" a="1"/>
  <c r="AQ550" i="2" s="1"/>
  <c r="AR901" i="2" a="1"/>
  <c r="AR901" i="2" s="1"/>
  <c r="AR899" i="2" s="1"/>
  <c r="AR550" i="2" s="1" a="1"/>
  <c r="AR550" i="2" s="1"/>
  <c r="AS901" i="2" a="1"/>
  <c r="AS901" i="2" s="1"/>
  <c r="AS899" i="2" s="1"/>
  <c r="AS550" i="2" s="1" a="1"/>
  <c r="AS550" i="2" s="1"/>
  <c r="AT901" i="2" a="1"/>
  <c r="AT901" i="2" s="1"/>
  <c r="AT899" i="2" s="1"/>
  <c r="AT550" i="2" s="1" a="1"/>
  <c r="AT550" i="2" s="1"/>
  <c r="AU901" i="2" a="1"/>
  <c r="AU901" i="2" s="1"/>
  <c r="AU899" i="2" s="1"/>
  <c r="AU550" i="2" s="1" a="1"/>
  <c r="AU550" i="2" s="1"/>
  <c r="AV901" i="2" a="1"/>
  <c r="AV901" i="2" s="1"/>
  <c r="AV899" i="2" s="1"/>
  <c r="AV550" i="2" s="1" a="1"/>
  <c r="AV550" i="2" s="1"/>
  <c r="AW901" i="2" a="1"/>
  <c r="AW901" i="2" s="1"/>
  <c r="AW899" i="2" s="1"/>
  <c r="AW550" i="2" s="1" a="1"/>
  <c r="AW550" i="2" s="1"/>
  <c r="AX901" i="2" a="1"/>
  <c r="AX901" i="2" s="1"/>
  <c r="AX899" i="2" s="1"/>
  <c r="AX550" i="2" s="1" a="1"/>
  <c r="AX550" i="2" s="1"/>
  <c r="AY901" i="2" a="1"/>
  <c r="AY901" i="2" s="1"/>
  <c r="AY899" i="2" s="1"/>
  <c r="AY550" i="2" s="1" a="1"/>
  <c r="AY550" i="2" s="1"/>
  <c r="AZ901" i="2" a="1"/>
  <c r="AZ901" i="2" s="1"/>
  <c r="AZ899" i="2" s="1"/>
  <c r="AZ550" i="2" s="1" a="1"/>
  <c r="AZ550" i="2" s="1"/>
  <c r="BA901" i="2" a="1"/>
  <c r="BA901" i="2" s="1"/>
  <c r="BA899" i="2" s="1"/>
  <c r="BA550" i="2" s="1" a="1"/>
  <c r="BA550" i="2" s="1"/>
  <c r="BB901" i="2" a="1"/>
  <c r="BB901" i="2" s="1"/>
  <c r="BB899" i="2" s="1"/>
  <c r="BB550" i="2" s="1" a="1"/>
  <c r="BB550" i="2" s="1"/>
  <c r="BC901" i="2" a="1"/>
  <c r="BC901" i="2" s="1"/>
  <c r="BC899" i="2" s="1"/>
  <c r="BC550" i="2" s="1" a="1"/>
  <c r="BC550" i="2" s="1"/>
  <c r="BD901" i="2" a="1"/>
  <c r="BD901" i="2" s="1"/>
  <c r="BD899" i="2" s="1"/>
  <c r="BD550" i="2" s="1" a="1"/>
  <c r="BD550" i="2" s="1"/>
  <c r="BE901" i="2" a="1"/>
  <c r="BE901" i="2" s="1"/>
  <c r="BE899" i="2" s="1"/>
  <c r="BE550" i="2" s="1" a="1"/>
  <c r="BE550" i="2" s="1"/>
  <c r="BF901" i="2" a="1"/>
  <c r="BF901" i="2" s="1"/>
  <c r="BF899" i="2" s="1"/>
  <c r="BF550" i="2" s="1" a="1"/>
  <c r="BF550" i="2" s="1"/>
  <c r="BG901" i="2" a="1"/>
  <c r="BG901" i="2" s="1"/>
  <c r="BG899" i="2" s="1"/>
  <c r="BG550" i="2" s="1" a="1"/>
  <c r="BG550" i="2" s="1"/>
  <c r="BH901" i="2" a="1"/>
  <c r="BH901" i="2" s="1"/>
  <c r="BH899" i="2" s="1"/>
  <c r="BH550" i="2" s="1" a="1"/>
  <c r="BH550" i="2" s="1"/>
  <c r="BI901" i="2" a="1"/>
  <c r="BI901" i="2" s="1"/>
  <c r="BI899" i="2" s="1"/>
  <c r="BI550" i="2" s="1" a="1"/>
  <c r="BI550" i="2" s="1"/>
  <c r="BJ901" i="2" a="1"/>
  <c r="BJ901" i="2" s="1"/>
  <c r="BJ899" i="2" s="1"/>
  <c r="BK901" i="2" a="1"/>
  <c r="BK901" i="2" s="1"/>
  <c r="BK899" i="2" s="1"/>
  <c r="BL901" i="2" a="1"/>
  <c r="BL901" i="2" s="1"/>
  <c r="BL899" i="2" s="1"/>
  <c r="BM901" i="2" a="1"/>
  <c r="BM901" i="2" s="1"/>
  <c r="BM899" i="2" s="1"/>
  <c r="BN901" i="2" a="1"/>
  <c r="BN901" i="2" s="1"/>
  <c r="BN899" i="2" s="1"/>
  <c r="BO901" i="2" a="1"/>
  <c r="BO901" i="2" s="1"/>
  <c r="BO899" i="2" s="1"/>
  <c r="BP901" i="2" a="1"/>
  <c r="BP901" i="2" s="1"/>
  <c r="BP899" i="2" s="1"/>
  <c r="BQ901" i="2" a="1"/>
  <c r="BQ901" i="2" s="1"/>
  <c r="BQ899" i="2" s="1"/>
  <c r="BR901" i="2" a="1"/>
  <c r="BR901" i="2" s="1"/>
  <c r="BR899" i="2" s="1"/>
  <c r="BS901" i="2" a="1"/>
  <c r="BS901" i="2" s="1"/>
  <c r="BS899" i="2" s="1"/>
  <c r="BT901" i="2" a="1"/>
  <c r="BT901" i="2" s="1"/>
  <c r="BT899" i="2" s="1"/>
  <c r="BU901" i="2" a="1"/>
  <c r="BU901" i="2" s="1"/>
  <c r="BU899" i="2" s="1"/>
  <c r="BV901" i="2" a="1"/>
  <c r="BV901" i="2" s="1"/>
  <c r="BV899" i="2" s="1"/>
  <c r="C903" i="2" a="1"/>
  <c r="C903" i="2" s="1"/>
  <c r="D903" i="2" a="1"/>
  <c r="D903" i="2" s="1"/>
  <c r="E903" i="2" a="1"/>
  <c r="E903" i="2" s="1"/>
  <c r="F903" i="2" a="1"/>
  <c r="F903" i="2" s="1"/>
  <c r="G903" i="2" a="1"/>
  <c r="G903" i="2" s="1"/>
  <c r="H903" i="2" a="1"/>
  <c r="H903" i="2" s="1"/>
  <c r="I903" i="2" a="1"/>
  <c r="I903" i="2" s="1"/>
  <c r="J903" i="2" a="1"/>
  <c r="J903" i="2" s="1"/>
  <c r="K903" i="2" a="1"/>
  <c r="K903" i="2" s="1"/>
  <c r="L903" i="2" a="1"/>
  <c r="L903" i="2" s="1"/>
  <c r="M903" i="2" a="1"/>
  <c r="M903" i="2" s="1"/>
  <c r="N903" i="2" a="1"/>
  <c r="N903" i="2" s="1"/>
  <c r="O903" i="2" a="1"/>
  <c r="O903" i="2" s="1"/>
  <c r="P903" i="2" a="1"/>
  <c r="P903" i="2" s="1"/>
  <c r="Q903" i="2" a="1"/>
  <c r="Q903" i="2" s="1"/>
  <c r="R903" i="2" a="1"/>
  <c r="R903" i="2" s="1"/>
  <c r="S903" i="2" a="1"/>
  <c r="S903" i="2" s="1"/>
  <c r="T903" i="2" a="1"/>
  <c r="T903" i="2" s="1"/>
  <c r="U903" i="2" a="1"/>
  <c r="U903" i="2" s="1"/>
  <c r="V903" i="2" a="1"/>
  <c r="V903" i="2" s="1"/>
  <c r="W903" i="2" a="1"/>
  <c r="W903" i="2" s="1"/>
  <c r="X903" i="2" a="1"/>
  <c r="X903" i="2" s="1"/>
  <c r="Y903" i="2" a="1"/>
  <c r="Y903" i="2" s="1"/>
  <c r="Z903" i="2" a="1"/>
  <c r="Z903" i="2" s="1"/>
  <c r="AA903" i="2" a="1"/>
  <c r="AA903" i="2" s="1"/>
  <c r="AB903" i="2" a="1"/>
  <c r="AB903" i="2" s="1"/>
  <c r="AC903" i="2" a="1"/>
  <c r="AC903" i="2" s="1"/>
  <c r="AD903" i="2" a="1"/>
  <c r="AD903" i="2" s="1"/>
  <c r="AE903" i="2" a="1"/>
  <c r="AE903" i="2" s="1"/>
  <c r="AF903" i="2" a="1"/>
  <c r="AF903" i="2" s="1"/>
  <c r="AG903" i="2" a="1"/>
  <c r="AG903" i="2" s="1"/>
  <c r="AH903" i="2" a="1"/>
  <c r="AH903" i="2" s="1"/>
  <c r="AI903" i="2" a="1"/>
  <c r="AI903" i="2" s="1"/>
  <c r="AJ903" i="2" a="1"/>
  <c r="AJ903" i="2" s="1"/>
  <c r="AK903" i="2" a="1"/>
  <c r="AK903" i="2" s="1"/>
  <c r="AL903" i="2" a="1"/>
  <c r="AL903" i="2" s="1"/>
  <c r="AM903" i="2" a="1"/>
  <c r="AM903" i="2" s="1"/>
  <c r="AN903" i="2" a="1"/>
  <c r="AN903" i="2" s="1"/>
  <c r="AO903" i="2" a="1"/>
  <c r="AO903" i="2" s="1"/>
  <c r="AP903" i="2" a="1"/>
  <c r="AP903" i="2" s="1"/>
  <c r="AQ903" i="2" a="1"/>
  <c r="AQ903" i="2" s="1"/>
  <c r="AR903" i="2" a="1"/>
  <c r="AR903" i="2" s="1"/>
  <c r="AS903" i="2" a="1"/>
  <c r="AS903" i="2" s="1"/>
  <c r="AT903" i="2" a="1"/>
  <c r="AT903" i="2" s="1"/>
  <c r="AU903" i="2" a="1"/>
  <c r="AU903" i="2" s="1"/>
  <c r="AV903" i="2" a="1"/>
  <c r="AV903" i="2" s="1"/>
  <c r="AW903" i="2" a="1"/>
  <c r="AW903" i="2" s="1"/>
  <c r="AX903" i="2" a="1"/>
  <c r="AX903" i="2" s="1"/>
  <c r="AY903" i="2" a="1"/>
  <c r="AY903" i="2" s="1"/>
  <c r="AZ903" i="2" a="1"/>
  <c r="AZ903" i="2" s="1"/>
  <c r="BA903" i="2" a="1"/>
  <c r="BA903" i="2" s="1"/>
  <c r="BB903" i="2" a="1"/>
  <c r="BB903" i="2" s="1"/>
  <c r="BC903" i="2" a="1"/>
  <c r="BC903" i="2" s="1"/>
  <c r="BD903" i="2" a="1"/>
  <c r="BD903" i="2" s="1"/>
  <c r="BE903" i="2" a="1"/>
  <c r="BE903" i="2" s="1"/>
  <c r="BF903" i="2" a="1"/>
  <c r="BF903" i="2" s="1"/>
  <c r="BG903" i="2" a="1"/>
  <c r="BG903" i="2" s="1"/>
  <c r="BH903" i="2" a="1"/>
  <c r="BH903" i="2" s="1"/>
  <c r="BI903" i="2" a="1"/>
  <c r="BI903" i="2" s="1"/>
  <c r="BJ903" i="2" a="1"/>
  <c r="BJ903" i="2" s="1"/>
  <c r="BK903" i="2" a="1"/>
  <c r="BK903" i="2" s="1"/>
  <c r="BL903" i="2" a="1"/>
  <c r="BL903" i="2" s="1"/>
  <c r="BM903" i="2" a="1"/>
  <c r="BM903" i="2" s="1"/>
  <c r="BN903" i="2" a="1"/>
  <c r="BN903" i="2" s="1"/>
  <c r="BO903" i="2" a="1"/>
  <c r="BO903" i="2" s="1"/>
  <c r="BP903" i="2" a="1"/>
  <c r="BP903" i="2" s="1"/>
  <c r="BQ903" i="2" a="1"/>
  <c r="BQ903" i="2" s="1"/>
  <c r="BR903" i="2" a="1"/>
  <c r="BR903" i="2" s="1"/>
  <c r="BS903" i="2" a="1"/>
  <c r="BS903" i="2" s="1"/>
  <c r="BT903" i="2" a="1"/>
  <c r="BT903" i="2" s="1"/>
  <c r="BU903" i="2" a="1"/>
  <c r="BU903" i="2" s="1"/>
  <c r="BV903" i="2" a="1"/>
  <c r="BV903" i="2" s="1"/>
  <c r="C908" i="2" a="1"/>
  <c r="C908" i="2" s="1"/>
  <c r="C906" i="2" s="1"/>
  <c r="C551" i="2" s="1" a="1"/>
  <c r="C551" i="2" s="1"/>
  <c r="D908" i="2" a="1"/>
  <c r="D908" i="2" s="1"/>
  <c r="D906" i="2" s="1"/>
  <c r="D551" i="2" s="1" a="1"/>
  <c r="D551" i="2" s="1"/>
  <c r="E908" i="2" a="1"/>
  <c r="E908" i="2" s="1"/>
  <c r="E906" i="2" s="1"/>
  <c r="E551" i="2" s="1" a="1"/>
  <c r="E551" i="2" s="1"/>
  <c r="F908" i="2" a="1"/>
  <c r="F908" i="2" s="1"/>
  <c r="F906" i="2" s="1"/>
  <c r="F551" i="2" s="1" a="1"/>
  <c r="F551" i="2" s="1"/>
  <c r="G908" i="2" a="1"/>
  <c r="G908" i="2" s="1"/>
  <c r="G906" i="2" s="1"/>
  <c r="G551" i="2" s="1" a="1"/>
  <c r="G551" i="2" s="1"/>
  <c r="H908" i="2" a="1"/>
  <c r="H908" i="2" s="1"/>
  <c r="H906" i="2" s="1"/>
  <c r="H551" i="2" s="1" a="1"/>
  <c r="H551" i="2" s="1"/>
  <c r="I908" i="2" a="1"/>
  <c r="I908" i="2" s="1"/>
  <c r="I906" i="2" s="1"/>
  <c r="I551" i="2" s="1" a="1"/>
  <c r="I551" i="2" s="1"/>
  <c r="J908" i="2" a="1"/>
  <c r="J908" i="2" s="1"/>
  <c r="J906" i="2" s="1"/>
  <c r="J551" i="2" s="1" a="1"/>
  <c r="J551" i="2" s="1"/>
  <c r="K908" i="2" a="1"/>
  <c r="K908" i="2" s="1"/>
  <c r="K906" i="2" s="1"/>
  <c r="K551" i="2" s="1" a="1"/>
  <c r="K551" i="2" s="1"/>
  <c r="L908" i="2" a="1"/>
  <c r="L908" i="2" s="1"/>
  <c r="L906" i="2" s="1"/>
  <c r="L551" i="2" s="1" a="1"/>
  <c r="L551" i="2" s="1"/>
  <c r="M908" i="2" a="1"/>
  <c r="M908" i="2" s="1"/>
  <c r="M906" i="2" s="1"/>
  <c r="M551" i="2" s="1" a="1"/>
  <c r="M551" i="2" s="1"/>
  <c r="N908" i="2" a="1"/>
  <c r="N908" i="2" s="1"/>
  <c r="N906" i="2" s="1"/>
  <c r="N551" i="2" s="1" a="1"/>
  <c r="N551" i="2" s="1"/>
  <c r="O908" i="2" a="1"/>
  <c r="O908" i="2" s="1"/>
  <c r="O906" i="2" s="1"/>
  <c r="O551" i="2" s="1" a="1"/>
  <c r="O551" i="2" s="1"/>
  <c r="P908" i="2" a="1"/>
  <c r="P908" i="2" s="1"/>
  <c r="P906" i="2" s="1"/>
  <c r="P551" i="2" s="1" a="1"/>
  <c r="P551" i="2" s="1"/>
  <c r="Q908" i="2" a="1"/>
  <c r="Q908" i="2" s="1"/>
  <c r="Q906" i="2" s="1"/>
  <c r="Q551" i="2" s="1" a="1"/>
  <c r="Q551" i="2" s="1"/>
  <c r="R908" i="2" a="1"/>
  <c r="R908" i="2" s="1"/>
  <c r="R906" i="2" s="1"/>
  <c r="R551" i="2" s="1" a="1"/>
  <c r="R551" i="2" s="1"/>
  <c r="S908" i="2" a="1"/>
  <c r="S908" i="2" s="1"/>
  <c r="S906" i="2" s="1"/>
  <c r="S551" i="2" s="1" a="1"/>
  <c r="S551" i="2" s="1"/>
  <c r="T908" i="2" a="1"/>
  <c r="T908" i="2" s="1"/>
  <c r="T906" i="2" s="1"/>
  <c r="T551" i="2" s="1" a="1"/>
  <c r="T551" i="2" s="1"/>
  <c r="U908" i="2" a="1"/>
  <c r="U908" i="2" s="1"/>
  <c r="U906" i="2" s="1"/>
  <c r="U551" i="2" s="1" a="1"/>
  <c r="U551" i="2" s="1"/>
  <c r="V908" i="2" a="1"/>
  <c r="V908" i="2" s="1"/>
  <c r="V906" i="2" s="1"/>
  <c r="V551" i="2" s="1" a="1"/>
  <c r="V551" i="2" s="1"/>
  <c r="W908" i="2" a="1"/>
  <c r="W908" i="2" s="1"/>
  <c r="W906" i="2" s="1"/>
  <c r="W551" i="2" s="1" a="1"/>
  <c r="W551" i="2" s="1"/>
  <c r="X908" i="2" a="1"/>
  <c r="X908" i="2" s="1"/>
  <c r="X906" i="2" s="1"/>
  <c r="X551" i="2" s="1" a="1"/>
  <c r="X551" i="2" s="1"/>
  <c r="Y908" i="2" a="1"/>
  <c r="Y908" i="2" s="1"/>
  <c r="Y906" i="2" s="1"/>
  <c r="Y551" i="2" s="1" a="1"/>
  <c r="Y551" i="2" s="1"/>
  <c r="Z908" i="2" a="1"/>
  <c r="Z908" i="2" s="1"/>
  <c r="Z906" i="2" s="1"/>
  <c r="Z551" i="2" s="1" a="1"/>
  <c r="Z551" i="2" s="1"/>
  <c r="AA908" i="2" a="1"/>
  <c r="AA908" i="2" s="1"/>
  <c r="AA906" i="2" s="1"/>
  <c r="AA551" i="2" s="1" a="1"/>
  <c r="AA551" i="2" s="1"/>
  <c r="AB908" i="2" a="1"/>
  <c r="AB908" i="2" s="1"/>
  <c r="AB906" i="2" s="1"/>
  <c r="AB551" i="2" s="1" a="1"/>
  <c r="AB551" i="2" s="1"/>
  <c r="AC908" i="2" a="1"/>
  <c r="AC908" i="2" s="1"/>
  <c r="AC906" i="2" s="1"/>
  <c r="AC551" i="2" s="1" a="1"/>
  <c r="AC551" i="2" s="1"/>
  <c r="AD908" i="2" a="1"/>
  <c r="AD908" i="2" s="1"/>
  <c r="AD906" i="2" s="1"/>
  <c r="AD551" i="2" s="1" a="1"/>
  <c r="AD551" i="2" s="1"/>
  <c r="AE908" i="2" a="1"/>
  <c r="AE908" i="2" s="1"/>
  <c r="AE906" i="2" s="1"/>
  <c r="AE551" i="2" s="1" a="1"/>
  <c r="AE551" i="2" s="1"/>
  <c r="AF908" i="2" a="1"/>
  <c r="AF908" i="2" s="1"/>
  <c r="AF906" i="2" s="1"/>
  <c r="AF551" i="2" s="1" a="1"/>
  <c r="AF551" i="2" s="1"/>
  <c r="AG908" i="2" a="1"/>
  <c r="AG908" i="2" s="1"/>
  <c r="AG906" i="2" s="1"/>
  <c r="AG551" i="2" s="1" a="1"/>
  <c r="AG551" i="2" s="1"/>
  <c r="AH908" i="2" a="1"/>
  <c r="AH908" i="2" s="1"/>
  <c r="AH906" i="2" s="1"/>
  <c r="AH551" i="2" s="1" a="1"/>
  <c r="AH551" i="2" s="1"/>
  <c r="AI908" i="2" a="1"/>
  <c r="AI908" i="2" s="1"/>
  <c r="AI906" i="2" s="1"/>
  <c r="AI551" i="2" s="1" a="1"/>
  <c r="AI551" i="2" s="1"/>
  <c r="AJ908" i="2" a="1"/>
  <c r="AJ908" i="2" s="1"/>
  <c r="AJ906" i="2" s="1"/>
  <c r="AJ551" i="2" s="1" a="1"/>
  <c r="AJ551" i="2" s="1"/>
  <c r="AK908" i="2" a="1"/>
  <c r="AK908" i="2" s="1"/>
  <c r="AK906" i="2" s="1"/>
  <c r="AK551" i="2" s="1" a="1"/>
  <c r="AK551" i="2" s="1"/>
  <c r="AL908" i="2" a="1"/>
  <c r="AL908" i="2" s="1"/>
  <c r="AL906" i="2" s="1"/>
  <c r="AL551" i="2" s="1" a="1"/>
  <c r="AL551" i="2" s="1"/>
  <c r="AM908" i="2" a="1"/>
  <c r="AM908" i="2" s="1"/>
  <c r="AM906" i="2" s="1"/>
  <c r="AM551" i="2" s="1" a="1"/>
  <c r="AM551" i="2" s="1"/>
  <c r="AN908" i="2" a="1"/>
  <c r="AN908" i="2" s="1"/>
  <c r="AN906" i="2" s="1"/>
  <c r="AN551" i="2" s="1" a="1"/>
  <c r="AN551" i="2" s="1"/>
  <c r="AO908" i="2" a="1"/>
  <c r="AO908" i="2" s="1"/>
  <c r="AO906" i="2" s="1"/>
  <c r="AO551" i="2" s="1" a="1"/>
  <c r="AO551" i="2" s="1"/>
  <c r="AP908" i="2" a="1"/>
  <c r="AP908" i="2" s="1"/>
  <c r="AP906" i="2" s="1"/>
  <c r="AP551" i="2" s="1" a="1"/>
  <c r="AP551" i="2" s="1"/>
  <c r="AQ908" i="2" a="1"/>
  <c r="AQ908" i="2" s="1"/>
  <c r="AQ906" i="2" s="1"/>
  <c r="AQ551" i="2" s="1" a="1"/>
  <c r="AQ551" i="2" s="1"/>
  <c r="AR908" i="2" a="1"/>
  <c r="AR908" i="2" s="1"/>
  <c r="AR906" i="2" s="1"/>
  <c r="AR551" i="2" s="1" a="1"/>
  <c r="AR551" i="2" s="1"/>
  <c r="AS908" i="2" a="1"/>
  <c r="AS908" i="2" s="1"/>
  <c r="AS906" i="2" s="1"/>
  <c r="AS551" i="2" s="1" a="1"/>
  <c r="AS551" i="2" s="1"/>
  <c r="AT908" i="2" a="1"/>
  <c r="AT908" i="2" s="1"/>
  <c r="AT906" i="2" s="1"/>
  <c r="AT551" i="2" s="1" a="1"/>
  <c r="AT551" i="2" s="1"/>
  <c r="AU908" i="2" a="1"/>
  <c r="AU908" i="2" s="1"/>
  <c r="AU906" i="2" s="1"/>
  <c r="AU551" i="2" s="1" a="1"/>
  <c r="AU551" i="2" s="1"/>
  <c r="AV908" i="2" a="1"/>
  <c r="AV908" i="2" s="1"/>
  <c r="AV906" i="2" s="1"/>
  <c r="AV551" i="2" s="1" a="1"/>
  <c r="AV551" i="2" s="1"/>
  <c r="AW908" i="2" a="1"/>
  <c r="AW908" i="2" s="1"/>
  <c r="AW906" i="2" s="1"/>
  <c r="AW551" i="2" s="1" a="1"/>
  <c r="AW551" i="2" s="1"/>
  <c r="AX908" i="2" a="1"/>
  <c r="AX908" i="2" s="1"/>
  <c r="AX906" i="2" s="1"/>
  <c r="AX551" i="2" s="1" a="1"/>
  <c r="AX551" i="2" s="1"/>
  <c r="AY908" i="2" a="1"/>
  <c r="AY908" i="2" s="1"/>
  <c r="AY906" i="2" s="1"/>
  <c r="AY551" i="2" s="1" a="1"/>
  <c r="AY551" i="2" s="1"/>
  <c r="AZ908" i="2" a="1"/>
  <c r="AZ908" i="2" s="1"/>
  <c r="AZ906" i="2" s="1"/>
  <c r="AZ551" i="2" s="1" a="1"/>
  <c r="AZ551" i="2" s="1"/>
  <c r="BA908" i="2" a="1"/>
  <c r="BA908" i="2" s="1"/>
  <c r="BA906" i="2" s="1"/>
  <c r="BA551" i="2" s="1" a="1"/>
  <c r="BA551" i="2" s="1"/>
  <c r="BB908" i="2" a="1"/>
  <c r="BB908" i="2" s="1"/>
  <c r="BB906" i="2" s="1"/>
  <c r="BB551" i="2" s="1" a="1"/>
  <c r="BB551" i="2" s="1"/>
  <c r="BC908" i="2" a="1"/>
  <c r="BC908" i="2" s="1"/>
  <c r="BC906" i="2" s="1"/>
  <c r="BC551" i="2" s="1" a="1"/>
  <c r="BC551" i="2" s="1"/>
  <c r="BD908" i="2" a="1"/>
  <c r="BD908" i="2" s="1"/>
  <c r="BD906" i="2" s="1"/>
  <c r="BD551" i="2" s="1" a="1"/>
  <c r="BD551" i="2" s="1"/>
  <c r="BE908" i="2" a="1"/>
  <c r="BE908" i="2" s="1"/>
  <c r="BE906" i="2" s="1"/>
  <c r="BE551" i="2" s="1" a="1"/>
  <c r="BE551" i="2" s="1"/>
  <c r="BF908" i="2" a="1"/>
  <c r="BF908" i="2" s="1"/>
  <c r="BF906" i="2" s="1"/>
  <c r="BF551" i="2" s="1" a="1"/>
  <c r="BF551" i="2" s="1"/>
  <c r="BG908" i="2" a="1"/>
  <c r="BG908" i="2" s="1"/>
  <c r="BG906" i="2" s="1"/>
  <c r="BG551" i="2" s="1" a="1"/>
  <c r="BG551" i="2" s="1"/>
  <c r="BH908" i="2" a="1"/>
  <c r="BH908" i="2" s="1"/>
  <c r="BH906" i="2" s="1"/>
  <c r="BH551" i="2" s="1" a="1"/>
  <c r="BH551" i="2" s="1"/>
  <c r="BI908" i="2" a="1"/>
  <c r="BI908" i="2" s="1"/>
  <c r="BI906" i="2" s="1"/>
  <c r="BI551" i="2" s="1" a="1"/>
  <c r="BI551" i="2" s="1"/>
  <c r="BJ908" i="2" a="1"/>
  <c r="BJ908" i="2" s="1"/>
  <c r="BJ906" i="2" s="1"/>
  <c r="BK908" i="2" a="1"/>
  <c r="BK908" i="2" s="1"/>
  <c r="BK906" i="2" s="1"/>
  <c r="BL908" i="2" a="1"/>
  <c r="BL908" i="2" s="1"/>
  <c r="BL906" i="2" s="1"/>
  <c r="BM908" i="2" a="1"/>
  <c r="BM908" i="2" s="1"/>
  <c r="BM906" i="2" s="1"/>
  <c r="BN908" i="2" a="1"/>
  <c r="BN908" i="2" s="1"/>
  <c r="BN906" i="2" s="1"/>
  <c r="BO908" i="2" a="1"/>
  <c r="BO908" i="2" s="1"/>
  <c r="BO906" i="2" s="1"/>
  <c r="BP908" i="2" a="1"/>
  <c r="BP908" i="2" s="1"/>
  <c r="BP906" i="2" s="1"/>
  <c r="BQ908" i="2" a="1"/>
  <c r="BQ908" i="2" s="1"/>
  <c r="BQ906" i="2" s="1"/>
  <c r="BR908" i="2" a="1"/>
  <c r="BR908" i="2" s="1"/>
  <c r="BR906" i="2" s="1"/>
  <c r="BS908" i="2" a="1"/>
  <c r="BS908" i="2" s="1"/>
  <c r="BS906" i="2" s="1"/>
  <c r="BT908" i="2" a="1"/>
  <c r="BT908" i="2" s="1"/>
  <c r="BT906" i="2" s="1"/>
  <c r="BU908" i="2" a="1"/>
  <c r="BU908" i="2" s="1"/>
  <c r="BU906" i="2" s="1"/>
  <c r="BV908" i="2" a="1"/>
  <c r="BV908" i="2" s="1"/>
  <c r="BV906" i="2" s="1"/>
  <c r="C910" i="2" a="1"/>
  <c r="C910" i="2" s="1"/>
  <c r="D910" i="2" a="1"/>
  <c r="D910" i="2" s="1"/>
  <c r="E910" i="2" a="1"/>
  <c r="E910" i="2" s="1"/>
  <c r="F910" i="2" a="1"/>
  <c r="F910" i="2" s="1"/>
  <c r="G910" i="2" a="1"/>
  <c r="G910" i="2" s="1"/>
  <c r="H910" i="2" a="1"/>
  <c r="H910" i="2" s="1"/>
  <c r="I910" i="2" a="1"/>
  <c r="I910" i="2" s="1"/>
  <c r="J910" i="2" a="1"/>
  <c r="J910" i="2" s="1"/>
  <c r="K910" i="2" a="1"/>
  <c r="K910" i="2" s="1"/>
  <c r="L910" i="2" a="1"/>
  <c r="L910" i="2" s="1"/>
  <c r="M910" i="2" a="1"/>
  <c r="M910" i="2" s="1"/>
  <c r="N910" i="2" a="1"/>
  <c r="N910" i="2" s="1"/>
  <c r="O910" i="2" a="1"/>
  <c r="O910" i="2" s="1"/>
  <c r="P910" i="2" a="1"/>
  <c r="P910" i="2" s="1"/>
  <c r="Q910" i="2" a="1"/>
  <c r="Q910" i="2" s="1"/>
  <c r="R910" i="2" a="1"/>
  <c r="R910" i="2" s="1"/>
  <c r="S910" i="2" a="1"/>
  <c r="S910" i="2" s="1"/>
  <c r="T910" i="2" a="1"/>
  <c r="T910" i="2" s="1"/>
  <c r="U910" i="2" a="1"/>
  <c r="U910" i="2" s="1"/>
  <c r="V910" i="2" a="1"/>
  <c r="V910" i="2" s="1"/>
  <c r="W910" i="2" a="1"/>
  <c r="W910" i="2" s="1"/>
  <c r="X910" i="2" a="1"/>
  <c r="X910" i="2" s="1"/>
  <c r="Y910" i="2" a="1"/>
  <c r="Y910" i="2" s="1"/>
  <c r="Z910" i="2" a="1"/>
  <c r="Z910" i="2" s="1"/>
  <c r="AA910" i="2" a="1"/>
  <c r="AA910" i="2" s="1"/>
  <c r="AB910" i="2" a="1"/>
  <c r="AB910" i="2" s="1"/>
  <c r="AC910" i="2" a="1"/>
  <c r="AC910" i="2" s="1"/>
  <c r="AD910" i="2" a="1"/>
  <c r="AD910" i="2" s="1"/>
  <c r="AE910" i="2" a="1"/>
  <c r="AE910" i="2" s="1"/>
  <c r="AF910" i="2" a="1"/>
  <c r="AF910" i="2" s="1"/>
  <c r="AG910" i="2" a="1"/>
  <c r="AG910" i="2" s="1"/>
  <c r="AH910" i="2" a="1"/>
  <c r="AH910" i="2" s="1"/>
  <c r="AI910" i="2" a="1"/>
  <c r="AI910" i="2" s="1"/>
  <c r="AJ910" i="2" a="1"/>
  <c r="AJ910" i="2" s="1"/>
  <c r="AK910" i="2" a="1"/>
  <c r="AK910" i="2" s="1"/>
  <c r="AL910" i="2" a="1"/>
  <c r="AL910" i="2" s="1"/>
  <c r="AM910" i="2" a="1"/>
  <c r="AM910" i="2" s="1"/>
  <c r="AN910" i="2" a="1"/>
  <c r="AN910" i="2" s="1"/>
  <c r="AO910" i="2" a="1"/>
  <c r="AO910" i="2" s="1"/>
  <c r="AP910" i="2" a="1"/>
  <c r="AP910" i="2" s="1"/>
  <c r="AQ910" i="2" a="1"/>
  <c r="AQ910" i="2" s="1"/>
  <c r="AR910" i="2" a="1"/>
  <c r="AR910" i="2" s="1"/>
  <c r="AS910" i="2" a="1"/>
  <c r="AS910" i="2" s="1"/>
  <c r="AT910" i="2" a="1"/>
  <c r="AT910" i="2" s="1"/>
  <c r="AU910" i="2" a="1"/>
  <c r="AU910" i="2" s="1"/>
  <c r="AV910" i="2" a="1"/>
  <c r="AV910" i="2" s="1"/>
  <c r="AW910" i="2" a="1"/>
  <c r="AW910" i="2" s="1"/>
  <c r="AX910" i="2" a="1"/>
  <c r="AX910" i="2" s="1"/>
  <c r="AY910" i="2" a="1"/>
  <c r="AY910" i="2" s="1"/>
  <c r="AZ910" i="2" a="1"/>
  <c r="AZ910" i="2" s="1"/>
  <c r="BA910" i="2" a="1"/>
  <c r="BA910" i="2" s="1"/>
  <c r="BB910" i="2" a="1"/>
  <c r="BB910" i="2" s="1"/>
  <c r="BC910" i="2" a="1"/>
  <c r="BC910" i="2" s="1"/>
  <c r="BD910" i="2" a="1"/>
  <c r="BD910" i="2" s="1"/>
  <c r="BE910" i="2" a="1"/>
  <c r="BE910" i="2" s="1"/>
  <c r="BF910" i="2" a="1"/>
  <c r="BF910" i="2" s="1"/>
  <c r="BG910" i="2" a="1"/>
  <c r="BG910" i="2" s="1"/>
  <c r="BH910" i="2" a="1"/>
  <c r="BH910" i="2" s="1"/>
  <c r="BI910" i="2" a="1"/>
  <c r="BI910" i="2" s="1"/>
  <c r="BJ910" i="2" a="1"/>
  <c r="BJ910" i="2" s="1"/>
  <c r="BK910" i="2" a="1"/>
  <c r="BK910" i="2" s="1"/>
  <c r="BL910" i="2" a="1"/>
  <c r="BL910" i="2" s="1"/>
  <c r="BM910" i="2" a="1"/>
  <c r="BM910" i="2" s="1"/>
  <c r="BN910" i="2" a="1"/>
  <c r="BN910" i="2" s="1"/>
  <c r="BO910" i="2" a="1"/>
  <c r="BO910" i="2" s="1"/>
  <c r="BP910" i="2" a="1"/>
  <c r="BP910" i="2" s="1"/>
  <c r="BQ910" i="2" a="1"/>
  <c r="BQ910" i="2" s="1"/>
  <c r="BR910" i="2" a="1"/>
  <c r="BR910" i="2" s="1"/>
  <c r="BS910" i="2" a="1"/>
  <c r="BS910" i="2" s="1"/>
  <c r="BT910" i="2" a="1"/>
  <c r="BT910" i="2" s="1"/>
  <c r="BU910" i="2" a="1"/>
  <c r="BU910" i="2" s="1"/>
  <c r="BV910" i="2" a="1"/>
  <c r="BV910" i="2" s="1"/>
  <c r="B929" i="2"/>
  <c r="B4" i="2" s="1"/>
  <c r="B3" i="2" s="1"/>
  <c r="B931" i="2"/>
  <c r="B934" i="2" s="1" a="1"/>
  <c r="B934" i="2" s="1"/>
  <c r="A892" i="2"/>
  <c r="C892" i="2"/>
  <c r="C549" i="2" s="1" a="1"/>
  <c r="C549" i="2" s="1"/>
  <c r="H895" i="2" a="1"/>
  <c r="P895" i="2" a="1"/>
  <c r="X895" i="2" a="1"/>
  <c r="AF895" i="2" a="1"/>
  <c r="AN895" i="2" a="1"/>
  <c r="AV895" i="2" a="1"/>
  <c r="BD895" i="2" a="1"/>
  <c r="BL895" i="2" a="1"/>
  <c r="BT895" i="2" a="1"/>
  <c r="H897" i="2" a="1"/>
  <c r="P897" i="2" a="1"/>
  <c r="X897" i="2" a="1"/>
  <c r="AF897" i="2" a="1"/>
  <c r="AN897" i="2" a="1"/>
  <c r="AV897" i="2" a="1"/>
  <c r="BD897" i="2" a="1"/>
  <c r="BL897" i="2" a="1"/>
  <c r="BT897" i="2" a="1"/>
  <c r="C902" i="2" a="1"/>
  <c r="K902" i="2" a="1"/>
  <c r="S902" i="2" a="1"/>
  <c r="AA902" i="2" a="1"/>
  <c r="AI902" i="2" a="1"/>
  <c r="AQ902" i="2" a="1"/>
  <c r="AY902" i="2" a="1"/>
  <c r="BG902" i="2" a="1"/>
  <c r="BO902" i="2" a="1"/>
  <c r="C904" i="2" a="1"/>
  <c r="K904" i="2" a="1"/>
  <c r="S904" i="2" a="1"/>
  <c r="AA904" i="2" a="1"/>
  <c r="AI904" i="2" a="1"/>
  <c r="AQ904" i="2" a="1"/>
  <c r="AY904" i="2" a="1"/>
  <c r="BG904" i="2" a="1"/>
  <c r="BO904" i="2" a="1"/>
  <c r="I895" i="2" a="1"/>
  <c r="Q895" i="2" a="1"/>
  <c r="Y895" i="2" a="1"/>
  <c r="AG895" i="2" a="1"/>
  <c r="AO895" i="2" a="1"/>
  <c r="AW895" i="2" a="1"/>
  <c r="BE895" i="2" a="1"/>
  <c r="BM895" i="2" a="1"/>
  <c r="BU895" i="2" a="1"/>
  <c r="I897" i="2" a="1"/>
  <c r="Q897" i="2" a="1"/>
  <c r="Y897" i="2" a="1"/>
  <c r="AG897" i="2" a="1"/>
  <c r="AO897" i="2" a="1"/>
  <c r="AW897" i="2" a="1"/>
  <c r="BE897" i="2" a="1"/>
  <c r="BM897" i="2" a="1"/>
  <c r="BU897" i="2" a="1"/>
  <c r="D902" i="2" a="1"/>
  <c r="L902" i="2" a="1"/>
  <c r="T902" i="2" a="1"/>
  <c r="AB902" i="2" a="1"/>
  <c r="AJ902" i="2" a="1"/>
  <c r="AR902" i="2" a="1"/>
  <c r="AZ902" i="2" a="1"/>
  <c r="BH902" i="2" a="1"/>
  <c r="BP902" i="2" a="1"/>
  <c r="D904" i="2" a="1"/>
  <c r="L904" i="2" a="1"/>
  <c r="T904" i="2" a="1"/>
  <c r="AB904" i="2" a="1"/>
  <c r="AJ904" i="2" a="1"/>
  <c r="AR904" i="2" a="1"/>
  <c r="AZ904" i="2" a="1"/>
  <c r="BH904" i="2" a="1"/>
  <c r="BP904" i="2" a="1"/>
  <c r="J895" i="2" a="1"/>
  <c r="R895" i="2" a="1"/>
  <c r="Z895" i="2" a="1"/>
  <c r="AH895" i="2" a="1"/>
  <c r="AP895" i="2" a="1"/>
  <c r="AX895" i="2" a="1"/>
  <c r="BF895" i="2" a="1"/>
  <c r="BN895" i="2" a="1"/>
  <c r="BV895" i="2" a="1"/>
  <c r="J897" i="2" a="1"/>
  <c r="R897" i="2" a="1"/>
  <c r="Z897" i="2" a="1"/>
  <c r="AH897" i="2" a="1"/>
  <c r="AP897" i="2" a="1"/>
  <c r="AX897" i="2" a="1"/>
  <c r="BF897" i="2" a="1"/>
  <c r="BN897" i="2" a="1"/>
  <c r="BV897" i="2" a="1"/>
  <c r="E902" i="2" a="1"/>
  <c r="M902" i="2" a="1"/>
  <c r="U902" i="2" a="1"/>
  <c r="AC902" i="2" a="1"/>
  <c r="AK902" i="2" a="1"/>
  <c r="AS902" i="2" a="1"/>
  <c r="BA902" i="2" a="1"/>
  <c r="BI902" i="2" a="1"/>
  <c r="BQ902" i="2" a="1"/>
  <c r="E904" i="2" a="1"/>
  <c r="M904" i="2" a="1"/>
  <c r="U904" i="2" a="1"/>
  <c r="AC904" i="2" a="1"/>
  <c r="AK904" i="2" a="1"/>
  <c r="AS904" i="2" a="1"/>
  <c r="BA904" i="2" a="1"/>
  <c r="BI904" i="2" a="1"/>
  <c r="BQ904" i="2" a="1"/>
  <c r="C895" i="2" a="1"/>
  <c r="K895" i="2" a="1"/>
  <c r="S895" i="2" a="1"/>
  <c r="AA895" i="2" a="1"/>
  <c r="AI895" i="2" a="1"/>
  <c r="AQ895" i="2" a="1"/>
  <c r="AY895" i="2" a="1"/>
  <c r="BG895" i="2" a="1"/>
  <c r="BO895" i="2" a="1"/>
  <c r="C897" i="2" a="1"/>
  <c r="K897" i="2" a="1"/>
  <c r="S897" i="2" a="1"/>
  <c r="AA897" i="2" a="1"/>
  <c r="AI897" i="2" a="1"/>
  <c r="AQ897" i="2" a="1"/>
  <c r="AY897" i="2" a="1"/>
  <c r="BG897" i="2" a="1"/>
  <c r="BO897" i="2" a="1"/>
  <c r="F902" i="2" a="1"/>
  <c r="N902" i="2" a="1"/>
  <c r="V902" i="2" a="1"/>
  <c r="AD902" i="2" a="1"/>
  <c r="AL902" i="2" a="1"/>
  <c r="AT902" i="2" a="1"/>
  <c r="BB902" i="2" a="1"/>
  <c r="BJ902" i="2" a="1"/>
  <c r="BR902" i="2" a="1"/>
  <c r="F904" i="2" a="1"/>
  <c r="N904" i="2" a="1"/>
  <c r="V904" i="2" a="1"/>
  <c r="AD904" i="2" a="1"/>
  <c r="AL904" i="2" a="1"/>
  <c r="AT904" i="2" a="1"/>
  <c r="BB904" i="2" a="1"/>
  <c r="BJ904" i="2" a="1"/>
  <c r="BR904" i="2" a="1"/>
  <c r="D895" i="2" a="1"/>
  <c r="L895" i="2" a="1"/>
  <c r="T895" i="2" a="1"/>
  <c r="AB895" i="2" a="1"/>
  <c r="AJ895" i="2" a="1"/>
  <c r="AR895" i="2" a="1"/>
  <c r="AZ895" i="2" a="1"/>
  <c r="BH895" i="2" a="1"/>
  <c r="BP895" i="2" a="1"/>
  <c r="D897" i="2" a="1"/>
  <c r="L897" i="2" a="1"/>
  <c r="T897" i="2" a="1"/>
  <c r="AB897" i="2" a="1"/>
  <c r="AJ897" i="2" a="1"/>
  <c r="AR897" i="2" a="1"/>
  <c r="AZ897" i="2" a="1"/>
  <c r="BH897" i="2" a="1"/>
  <c r="BP897" i="2" a="1"/>
  <c r="G902" i="2" a="1"/>
  <c r="O902" i="2" a="1"/>
  <c r="W902" i="2" a="1"/>
  <c r="AE902" i="2" a="1"/>
  <c r="AM902" i="2" a="1"/>
  <c r="AU902" i="2" a="1"/>
  <c r="BC902" i="2" a="1"/>
  <c r="BK902" i="2" a="1"/>
  <c r="BS902" i="2" a="1"/>
  <c r="G904" i="2" a="1"/>
  <c r="O904" i="2" a="1"/>
  <c r="W904" i="2" a="1"/>
  <c r="AE904" i="2" a="1"/>
  <c r="AM904" i="2" a="1"/>
  <c r="AU904" i="2" a="1"/>
  <c r="BC904" i="2" a="1"/>
  <c r="BK904" i="2" a="1"/>
  <c r="BS904" i="2" a="1"/>
  <c r="E895" i="2" a="1"/>
  <c r="M895" i="2" a="1"/>
  <c r="U895" i="2" a="1"/>
  <c r="AC895" i="2" a="1"/>
  <c r="AK895" i="2" a="1"/>
  <c r="AS895" i="2" a="1"/>
  <c r="BA895" i="2" a="1"/>
  <c r="BI895" i="2" a="1"/>
  <c r="BQ895" i="2" a="1"/>
  <c r="E897" i="2" a="1"/>
  <c r="M897" i="2" a="1"/>
  <c r="U897" i="2" a="1"/>
  <c r="AC897" i="2" a="1"/>
  <c r="AK897" i="2" a="1"/>
  <c r="AS897" i="2" a="1"/>
  <c r="BA897" i="2" a="1"/>
  <c r="BI897" i="2" a="1"/>
  <c r="BQ897" i="2" a="1"/>
  <c r="F895" i="2" a="1"/>
  <c r="N895" i="2" a="1"/>
  <c r="V895" i="2" a="1"/>
  <c r="AD895" i="2" a="1"/>
  <c r="AL895" i="2" a="1"/>
  <c r="AT895" i="2" a="1"/>
  <c r="BB895" i="2" a="1"/>
  <c r="BJ895" i="2" a="1"/>
  <c r="BR895" i="2" a="1"/>
  <c r="F897" i="2" a="1"/>
  <c r="N897" i="2" a="1"/>
  <c r="V897" i="2" a="1"/>
  <c r="AD897" i="2" a="1"/>
  <c r="AL897" i="2" a="1"/>
  <c r="AT897" i="2" a="1"/>
  <c r="BB897" i="2" a="1"/>
  <c r="BJ897" i="2" a="1"/>
  <c r="BR897" i="2" a="1"/>
  <c r="I902" i="2" a="1"/>
  <c r="Q902" i="2" a="1"/>
  <c r="Y902" i="2" a="1"/>
  <c r="AG902" i="2" a="1"/>
  <c r="AO902" i="2" a="1"/>
  <c r="AW902" i="2" a="1"/>
  <c r="BE902" i="2" a="1"/>
  <c r="BM902" i="2" a="1"/>
  <c r="BU902" i="2" a="1"/>
  <c r="I904" i="2" a="1"/>
  <c r="Q904" i="2" a="1"/>
  <c r="Y904" i="2" a="1"/>
  <c r="R902" i="2" a="1"/>
  <c r="BL902" i="2" a="1"/>
  <c r="R904" i="2" a="1"/>
  <c r="BD904" i="2" a="1"/>
  <c r="AM895" i="2" a="1"/>
  <c r="AU897" i="2" a="1"/>
  <c r="X902" i="2" a="1"/>
  <c r="X904" i="2" a="1"/>
  <c r="BE904" i="2" a="1"/>
  <c r="I909" i="2" a="1"/>
  <c r="Q909" i="2" a="1"/>
  <c r="Y909" i="2" a="1"/>
  <c r="AG909" i="2" a="1"/>
  <c r="AO909" i="2" a="1"/>
  <c r="AW909" i="2" a="1"/>
  <c r="BE909" i="2" a="1"/>
  <c r="BM909" i="2" a="1"/>
  <c r="BU909" i="2" a="1"/>
  <c r="I911" i="2" a="1"/>
  <c r="Q911" i="2" a="1"/>
  <c r="Y911" i="2" a="1"/>
  <c r="AG911" i="2" a="1"/>
  <c r="AO911" i="2" a="1"/>
  <c r="AW911" i="2" a="1"/>
  <c r="BE911" i="2" a="1"/>
  <c r="BM911" i="2" a="1"/>
  <c r="BU911" i="2" a="1"/>
  <c r="G897" i="2" a="1"/>
  <c r="BN902" i="2" a="1"/>
  <c r="Z902" i="2" a="1"/>
  <c r="BT902" i="2" a="1"/>
  <c r="Z904" i="2" a="1"/>
  <c r="BF904" i="2" a="1"/>
  <c r="J909" i="2" a="1"/>
  <c r="R909" i="2" a="1"/>
  <c r="Z909" i="2" a="1"/>
  <c r="AH909" i="2" a="1"/>
  <c r="AP909" i="2" a="1"/>
  <c r="AX909" i="2" a="1"/>
  <c r="BF909" i="2" a="1"/>
  <c r="BN909" i="2" a="1"/>
  <c r="BV909" i="2" a="1"/>
  <c r="J911" i="2" a="1"/>
  <c r="R911" i="2" a="1"/>
  <c r="Z911" i="2" a="1"/>
  <c r="AH911" i="2" a="1"/>
  <c r="AP911" i="2" a="1"/>
  <c r="AX911" i="2" a="1"/>
  <c r="BF911" i="2" a="1"/>
  <c r="BN911" i="2" a="1"/>
  <c r="BV911" i="2" a="1"/>
  <c r="AU895" i="2" a="1"/>
  <c r="BC897" i="2" a="1"/>
  <c r="AF902" i="2" a="1"/>
  <c r="AF904" i="2" a="1"/>
  <c r="BL904" i="2" a="1"/>
  <c r="G895" i="2" a="1"/>
  <c r="O897" i="2" a="1"/>
  <c r="BV902" i="2" a="1"/>
  <c r="AG904" i="2" a="1"/>
  <c r="BM904" i="2" a="1"/>
  <c r="C909" i="2" a="1"/>
  <c r="K909" i="2" a="1"/>
  <c r="S909" i="2" a="1"/>
  <c r="AA909" i="2" a="1"/>
  <c r="AI909" i="2" a="1"/>
  <c r="AQ909" i="2" a="1"/>
  <c r="AY909" i="2" a="1"/>
  <c r="BG909" i="2" a="1"/>
  <c r="BO909" i="2" a="1"/>
  <c r="C911" i="2" a="1"/>
  <c r="K911" i="2" a="1"/>
  <c r="S911" i="2" a="1"/>
  <c r="AA911" i="2" a="1"/>
  <c r="AI911" i="2" a="1"/>
  <c r="AQ911" i="2" a="1"/>
  <c r="AY911" i="2" a="1"/>
  <c r="BG911" i="2" a="1"/>
  <c r="BO911" i="2" a="1"/>
  <c r="AH902" i="2" a="1"/>
  <c r="BC895" i="2" a="1"/>
  <c r="BK897" i="2" a="1"/>
  <c r="AN902" i="2" a="1"/>
  <c r="AH904" i="2" a="1"/>
  <c r="BN904" i="2" a="1"/>
  <c r="D909" i="2" a="1"/>
  <c r="L909" i="2" a="1"/>
  <c r="T909" i="2" a="1"/>
  <c r="AB909" i="2" a="1"/>
  <c r="AJ909" i="2" a="1"/>
  <c r="AR909" i="2" a="1"/>
  <c r="AZ909" i="2" a="1"/>
  <c r="BH909" i="2" a="1"/>
  <c r="BP909" i="2" a="1"/>
  <c r="D911" i="2" a="1"/>
  <c r="L911" i="2" a="1"/>
  <c r="T911" i="2" a="1"/>
  <c r="AB911" i="2" a="1"/>
  <c r="AJ911" i="2" a="1"/>
  <c r="AR911" i="2" a="1"/>
  <c r="AZ911" i="2" a="1"/>
  <c r="BH911" i="2" a="1"/>
  <c r="BP911" i="2" a="1"/>
  <c r="O895" i="2" a="1"/>
  <c r="W897" i="2" a="1"/>
  <c r="AN904" i="2" a="1"/>
  <c r="BT904" i="2" a="1"/>
  <c r="AU916" i="2" a="1"/>
  <c r="AP902" i="2" a="1"/>
  <c r="AO904" i="2" a="1"/>
  <c r="BU904" i="2" a="1"/>
  <c r="E909" i="2" a="1"/>
  <c r="M909" i="2" a="1"/>
  <c r="U909" i="2" a="1"/>
  <c r="AC909" i="2" a="1"/>
  <c r="AK909" i="2" a="1"/>
  <c r="AS909" i="2" a="1"/>
  <c r="BA909" i="2" a="1"/>
  <c r="BI909" i="2" a="1"/>
  <c r="BQ909" i="2" a="1"/>
  <c r="E911" i="2" a="1"/>
  <c r="M911" i="2" a="1"/>
  <c r="U911" i="2" a="1"/>
  <c r="AC911" i="2" a="1"/>
  <c r="AK911" i="2" a="1"/>
  <c r="AS911" i="2" a="1"/>
  <c r="BA911" i="2" a="1"/>
  <c r="BI911" i="2" a="1"/>
  <c r="BQ911" i="2" a="1"/>
  <c r="AW916" i="2" a="1"/>
  <c r="BK895" i="2" a="1"/>
  <c r="BS897" i="2" a="1"/>
  <c r="AV902" i="2" a="1"/>
  <c r="W895" i="2" a="1"/>
  <c r="AE897" i="2" a="1"/>
  <c r="H902" i="2" a="1"/>
  <c r="H904" i="2" a="1"/>
  <c r="AP904" i="2" a="1"/>
  <c r="BV904" i="2" a="1"/>
  <c r="F909" i="2" a="1"/>
  <c r="N909" i="2" a="1"/>
  <c r="V909" i="2" a="1"/>
  <c r="AD909" i="2" a="1"/>
  <c r="AL909" i="2" a="1"/>
  <c r="AT909" i="2" a="1"/>
  <c r="BB909" i="2" a="1"/>
  <c r="BJ909" i="2" a="1"/>
  <c r="BR909" i="2" a="1"/>
  <c r="F911" i="2" a="1"/>
  <c r="N911" i="2" a="1"/>
  <c r="V911" i="2" a="1"/>
  <c r="AD911" i="2" a="1"/>
  <c r="AL911" i="2" a="1"/>
  <c r="AT911" i="2" a="1"/>
  <c r="BB911" i="2" a="1"/>
  <c r="BJ911" i="2" a="1"/>
  <c r="BR911" i="2" a="1"/>
  <c r="AX902" i="2" a="1"/>
  <c r="AV904" i="2" a="1"/>
  <c r="BS895" i="2" a="1"/>
  <c r="J902" i="2" a="1"/>
  <c r="BD902" i="2" a="1"/>
  <c r="J904" i="2" a="1"/>
  <c r="AW904" i="2" a="1"/>
  <c r="G909" i="2" a="1"/>
  <c r="O909" i="2" a="1"/>
  <c r="W909" i="2" a="1"/>
  <c r="AE909" i="2" a="1"/>
  <c r="AM909" i="2" a="1"/>
  <c r="AU909" i="2" a="1"/>
  <c r="BC909" i="2" a="1"/>
  <c r="BK909" i="2" a="1"/>
  <c r="BS909" i="2" a="1"/>
  <c r="G911" i="2" a="1"/>
  <c r="O911" i="2" a="1"/>
  <c r="W911" i="2" a="1"/>
  <c r="AE911" i="2" a="1"/>
  <c r="AM911" i="2" a="1"/>
  <c r="AU911" i="2" a="1"/>
  <c r="BC911" i="2" a="1"/>
  <c r="BK911" i="2" a="1"/>
  <c r="BS911" i="2" a="1"/>
  <c r="AE895" i="2" a="1"/>
  <c r="AM897" i="2" a="1"/>
  <c r="P902" i="2" a="1"/>
  <c r="P904" i="2" a="1"/>
  <c r="BT909" i="2" a="1"/>
  <c r="BL911" i="2" a="1"/>
  <c r="AB916" i="2" a="1"/>
  <c r="BT911" i="2" a="1"/>
  <c r="BF902" i="2" a="1"/>
  <c r="I916" i="2" a="1"/>
  <c r="K916" i="2" a="1"/>
  <c r="H909" i="2" a="1"/>
  <c r="P909" i="2" a="1"/>
  <c r="H911" i="2" a="1"/>
  <c r="AX904" i="2" a="1"/>
  <c r="X909" i="2" a="1"/>
  <c r="P911" i="2" a="1"/>
  <c r="AF909" i="2" a="1"/>
  <c r="X911" i="2" a="1"/>
  <c r="AN909" i="2" a="1"/>
  <c r="AF911" i="2" a="1"/>
  <c r="AV909" i="2" a="1"/>
  <c r="AN911" i="2" a="1"/>
  <c r="BD909" i="2" a="1"/>
  <c r="AV911" i="2" a="1"/>
  <c r="BK916" i="2" a="1"/>
  <c r="AL916" i="2" a="1"/>
  <c r="BD911" i="2" a="1"/>
  <c r="BL909" i="2" a="1"/>
  <c r="BR879" i="2"/>
  <c r="BV879" i="2"/>
  <c r="BJ879" i="2"/>
  <c r="BT879" i="2"/>
  <c r="BO879" i="2"/>
  <c r="BM879" i="2"/>
  <c r="BL879" i="2"/>
  <c r="BK879" i="2"/>
  <c r="BQ879" i="2"/>
  <c r="BP879" i="2"/>
  <c r="BS879" i="2"/>
  <c r="BU879" i="2"/>
  <c r="BN879" i="2"/>
  <c r="C899" i="2" l="1"/>
  <c r="C550" i="2" s="1" a="1"/>
  <c r="C550" i="2" s="1"/>
  <c r="AH916" i="2" a="1"/>
  <c r="BP916" i="2" a="1"/>
  <c r="R916" i="2" a="1"/>
  <c r="BE916" i="2" a="1"/>
  <c r="AP916" i="2" a="1"/>
  <c r="BJ916" i="2" a="1"/>
  <c r="F916" i="2" a="1"/>
  <c r="AR916" i="2" a="1"/>
  <c r="BD916" i="2" a="1"/>
  <c r="BV916" i="2" a="1"/>
  <c r="BN916" i="2" a="1"/>
  <c r="BR916" i="2" a="1"/>
  <c r="BC916" i="2" a="1"/>
  <c r="V916" i="2" a="1"/>
  <c r="N916" i="2" a="1"/>
  <c r="BS916" i="2" a="1"/>
  <c r="U916" i="2" a="1"/>
  <c r="D916" i="2" a="1"/>
  <c r="BQ916" i="2" a="1"/>
  <c r="AJ916" i="2" a="1"/>
  <c r="BM916" i="2" a="1"/>
  <c r="BT916" i="2" a="1"/>
  <c r="P916" i="2" a="1"/>
  <c r="AE916" i="2" a="1"/>
  <c r="Y916" i="2" a="1"/>
  <c r="M916" i="2" a="1"/>
  <c r="L916" i="2" a="1"/>
  <c r="BB916" i="2" a="1"/>
  <c r="BG916" i="2" a="1"/>
  <c r="BA916" i="2" a="1"/>
  <c r="G916" i="2" a="1"/>
  <c r="T916" i="2" a="1"/>
  <c r="AM916" i="2" a="1"/>
  <c r="AQ916" i="2" a="1"/>
  <c r="AI916" i="2" a="1"/>
  <c r="S916" i="2" a="1"/>
  <c r="AN916" i="2" a="1"/>
  <c r="BL916" i="2" a="1"/>
  <c r="AF916" i="2" a="1"/>
  <c r="BO916" i="2" a="1"/>
  <c r="AZ915" i="2" a="1"/>
  <c r="AZ915" i="2" s="1"/>
  <c r="AZ913" i="2" s="1"/>
  <c r="AZ553" i="2" s="1" a="1"/>
  <c r="AZ553" i="2" s="1"/>
  <c r="AO916" i="2" a="1"/>
  <c r="AX916" i="2" a="1"/>
  <c r="X916" i="2" a="1"/>
  <c r="J916" i="2" a="1"/>
  <c r="Q916" i="2" a="1"/>
  <c r="AV916" i="2" a="1"/>
  <c r="BU916" i="2" a="1"/>
  <c r="BF916" i="2" a="1"/>
  <c r="AT916" i="2" a="1"/>
  <c r="AA916" i="2" a="1"/>
  <c r="C916" i="2" a="1"/>
  <c r="BH916" i="2" a="1"/>
  <c r="E916" i="2" a="1"/>
  <c r="AG916" i="2" a="1"/>
  <c r="Z916" i="2" a="1"/>
  <c r="BI916" i="2" a="1"/>
  <c r="W916" i="2" a="1"/>
  <c r="O916" i="2" a="1"/>
  <c r="AS916" i="2" a="1"/>
  <c r="AD916" i="2" a="1"/>
  <c r="AZ916" i="2" a="1"/>
  <c r="AZ916" i="2" s="1"/>
  <c r="AC916" i="2" a="1"/>
  <c r="AY916" i="2" a="1"/>
  <c r="AK916" i="2" a="1"/>
  <c r="H916" i="2" a="1"/>
  <c r="AR915" i="2" a="1"/>
  <c r="AR915" i="2" s="1"/>
  <c r="AR913" i="2" s="1"/>
  <c r="AR553" i="2" s="1" a="1"/>
  <c r="AR553" i="2" s="1"/>
  <c r="BR552" i="2" a="1"/>
  <c r="BR552" i="2" s="1"/>
  <c r="BR430" i="2" s="1"/>
  <c r="BN552" i="2" a="1"/>
  <c r="BN552" i="2" s="1"/>
  <c r="BN430" i="2" s="1"/>
  <c r="BL552" i="2" a="1"/>
  <c r="BL552" i="2" s="1"/>
  <c r="BL430" i="2" s="1"/>
  <c r="AI915" i="2" a="1"/>
  <c r="AI915" i="2" s="1"/>
  <c r="AI913" i="2" s="1"/>
  <c r="AI553" i="2" s="1" a="1"/>
  <c r="AI553" i="2" s="1"/>
  <c r="AW917" i="2" a="1"/>
  <c r="AW917" i="2" s="1"/>
  <c r="V915" i="2" a="1"/>
  <c r="V915" i="2" s="1"/>
  <c r="BS552" i="2" a="1"/>
  <c r="BS552" i="2" s="1"/>
  <c r="BS430" i="2" s="1"/>
  <c r="BM552" i="2" a="1"/>
  <c r="BM552" i="2" s="1"/>
  <c r="BM430" i="2" s="1"/>
  <c r="E21" i="13"/>
  <c r="E7" i="13"/>
  <c r="E27" i="13"/>
  <c r="BN917" i="2" a="1"/>
  <c r="BN917" i="2" s="1"/>
  <c r="S917" i="2" a="1"/>
  <c r="S917" i="2" s="1"/>
  <c r="C917" i="2" a="1"/>
  <c r="C917" i="2" s="1"/>
  <c r="D917" i="2" a="1"/>
  <c r="D917" i="2" s="1"/>
  <c r="BQ552" i="2" a="1"/>
  <c r="BQ552" i="2" s="1"/>
  <c r="BQ430" i="2" s="1"/>
  <c r="M915" i="2" a="1"/>
  <c r="M915" i="2" s="1"/>
  <c r="BO552" i="2" a="1"/>
  <c r="BO552" i="2" s="1"/>
  <c r="BO430" i="2" s="1"/>
  <c r="E915" i="2" a="1"/>
  <c r="E915" i="2" s="1"/>
  <c r="E913" i="2" s="1"/>
  <c r="E553" i="2" s="1" a="1"/>
  <c r="E553" i="2" s="1"/>
  <c r="R915" i="2" a="1"/>
  <c r="R915" i="2" s="1"/>
  <c r="R913" i="2" s="1"/>
  <c r="R553" i="2" s="1" a="1"/>
  <c r="R553" i="2" s="1"/>
  <c r="AV915" i="2" a="1"/>
  <c r="AV915" i="2" s="1"/>
  <c r="AV913" i="2" s="1"/>
  <c r="AV553" i="2" s="1" a="1"/>
  <c r="AV553" i="2" s="1"/>
  <c r="BK555" i="2" a="1"/>
  <c r="BK555" i="2" s="1"/>
  <c r="AT915" i="2" a="1"/>
  <c r="AT915" i="2" s="1"/>
  <c r="AT913" i="2" s="1"/>
  <c r="AT553" i="2" s="1" a="1"/>
  <c r="AT553" i="2" s="1"/>
  <c r="BH915" i="2" a="1"/>
  <c r="BH915" i="2" s="1"/>
  <c r="BH913" i="2" s="1"/>
  <c r="BH553" i="2" s="1" a="1"/>
  <c r="BH553" i="2" s="1"/>
  <c r="AQ915" i="2" a="1"/>
  <c r="AQ915" i="2" s="1"/>
  <c r="AQ913" i="2" s="1"/>
  <c r="AQ553" i="2" s="1" a="1"/>
  <c r="AQ553" i="2" s="1"/>
  <c r="BU917" i="2" a="1"/>
  <c r="BU917" i="2" s="1"/>
  <c r="W917" i="2" a="1"/>
  <c r="W917" i="2" s="1"/>
  <c r="AV917" i="2" a="1"/>
  <c r="AV917" i="2" s="1"/>
  <c r="AL915" i="2" a="1"/>
  <c r="AL915" i="2" s="1"/>
  <c r="AL913" i="2" s="1"/>
  <c r="AL553" i="2" s="1" a="1"/>
  <c r="AL553" i="2" s="1"/>
  <c r="K915" i="2" a="1"/>
  <c r="K915" i="2" s="1"/>
  <c r="K913" i="2" s="1"/>
  <c r="K553" i="2" s="1" a="1"/>
  <c r="K553" i="2" s="1"/>
  <c r="AO917" i="2" a="1"/>
  <c r="AO917" i="2" s="1"/>
  <c r="BS915" i="2" a="1"/>
  <c r="BS915" i="2" s="1"/>
  <c r="BS913" i="2" s="1"/>
  <c r="BS553" i="2" s="1" a="1"/>
  <c r="BS553" i="2" s="1"/>
  <c r="AE915" i="2" a="1"/>
  <c r="AE915" i="2" s="1"/>
  <c r="AE913" i="2" s="1"/>
  <c r="AE553" i="2" s="1" a="1"/>
  <c r="AE553" i="2" s="1"/>
  <c r="A906" i="2"/>
  <c r="L915" i="2" a="1"/>
  <c r="L915" i="2" s="1"/>
  <c r="L913" i="2" s="1"/>
  <c r="L553" i="2" s="1" a="1"/>
  <c r="L553" i="2" s="1"/>
  <c r="G915" i="2" a="1"/>
  <c r="G915" i="2" s="1"/>
  <c r="G913" i="2" s="1"/>
  <c r="G553" i="2" s="1" a="1"/>
  <c r="G553" i="2" s="1"/>
  <c r="BU555" i="2" a="1"/>
  <c r="BU555" i="2" s="1"/>
  <c r="F915" i="2" a="1"/>
  <c r="F915" i="2" s="1"/>
  <c r="F913" i="2" s="1"/>
  <c r="F553" i="2" s="1" a="1"/>
  <c r="F553" i="2" s="1"/>
  <c r="AX917" i="2" a="1"/>
  <c r="AX917" i="2" s="1"/>
  <c r="I917" i="2" a="1"/>
  <c r="I917" i="2" s="1"/>
  <c r="AF915" i="2" a="1"/>
  <c r="AF915" i="2" s="1"/>
  <c r="AF913" i="2" s="1"/>
  <c r="AF553" i="2" s="1" a="1"/>
  <c r="AF553" i="2" s="1"/>
  <c r="BS555" i="2" a="1"/>
  <c r="BS555" i="2" s="1"/>
  <c r="BI917" i="2" a="1"/>
  <c r="BI917" i="2" s="1"/>
  <c r="AH917" i="2" a="1"/>
  <c r="AH917" i="2" s="1"/>
  <c r="BM915" i="2" a="1"/>
  <c r="BM915" i="2" s="1"/>
  <c r="BM913" i="2" s="1"/>
  <c r="BM553" i="2" s="1" a="1"/>
  <c r="BM553" i="2" s="1"/>
  <c r="A554" i="2"/>
  <c r="BT552" i="2" a="1"/>
  <c r="BT552" i="2" s="1"/>
  <c r="BT430" i="2" s="1"/>
  <c r="AZ917" i="2" a="1"/>
  <c r="AZ917" i="2" s="1"/>
  <c r="D915" i="2" a="1"/>
  <c r="D915" i="2" s="1"/>
  <c r="D913" i="2" s="1"/>
  <c r="D553" i="2" s="1" a="1"/>
  <c r="D553" i="2" s="1"/>
  <c r="Z917" i="2" a="1"/>
  <c r="Z917" i="2" s="1"/>
  <c r="AW915" i="2" a="1"/>
  <c r="AW915" i="2" s="1"/>
  <c r="AW913" i="2" s="1"/>
  <c r="AW553" i="2" s="1" a="1"/>
  <c r="AW553" i="2" s="1"/>
  <c r="A555" i="2"/>
  <c r="BG917" i="2" a="1"/>
  <c r="BG917" i="2" s="1"/>
  <c r="Q917" i="2" a="1"/>
  <c r="Q917" i="2" s="1"/>
  <c r="BR917" i="2" a="1"/>
  <c r="BR917" i="2" s="1"/>
  <c r="AO915" i="2" a="1"/>
  <c r="AO915" i="2" s="1"/>
  <c r="AO913" i="2" s="1"/>
  <c r="AO553" i="2" s="1" a="1"/>
  <c r="AO553" i="2" s="1"/>
  <c r="A549" i="2"/>
  <c r="T915" i="2" a="1"/>
  <c r="T915" i="2" s="1"/>
  <c r="T913" i="2" s="1"/>
  <c r="T553" i="2" s="1" a="1"/>
  <c r="T553" i="2" s="1"/>
  <c r="BQ555" i="2" a="1"/>
  <c r="BQ555" i="2" s="1"/>
  <c r="BA917" i="2" a="1"/>
  <c r="BA917" i="2" s="1"/>
  <c r="R917" i="2" a="1"/>
  <c r="R917" i="2" s="1"/>
  <c r="M917" i="2" a="1"/>
  <c r="M917" i="2" s="1"/>
  <c r="P915" i="2" a="1"/>
  <c r="P915" i="2" s="1"/>
  <c r="P913" i="2" s="1"/>
  <c r="P553" i="2" s="1" a="1"/>
  <c r="P553" i="2" s="1"/>
  <c r="AG917" i="2" a="1"/>
  <c r="AG917" i="2" s="1"/>
  <c r="AY917" i="2" a="1"/>
  <c r="AY917" i="2" s="1"/>
  <c r="J917" i="2" a="1"/>
  <c r="J917" i="2" s="1"/>
  <c r="AG915" i="2" a="1"/>
  <c r="AG915" i="2" s="1"/>
  <c r="AG913" i="2" s="1"/>
  <c r="AG553" i="2" s="1" a="1"/>
  <c r="AG553" i="2" s="1"/>
  <c r="BP555" i="2" a="1"/>
  <c r="BP555" i="2" s="1"/>
  <c r="BB917" i="2" a="1"/>
  <c r="BB917" i="2" s="1"/>
  <c r="E917" i="2" a="1"/>
  <c r="E917" i="2" s="1"/>
  <c r="BN915" i="2" a="1"/>
  <c r="BN915" i="2" s="1"/>
  <c r="BN913" i="2" s="1"/>
  <c r="BN553" i="2" s="1" a="1"/>
  <c r="BN553" i="2" s="1"/>
  <c r="Y915" i="2" a="1"/>
  <c r="Y915" i="2" s="1"/>
  <c r="Y913" i="2" s="1"/>
  <c r="Y553" i="2" s="1" a="1"/>
  <c r="Y553" i="2" s="1"/>
  <c r="BT917" i="2" a="1"/>
  <c r="BT917" i="2" s="1"/>
  <c r="AT917" i="2" a="1"/>
  <c r="AT917" i="2" s="1"/>
  <c r="BA915" i="2" a="1"/>
  <c r="BA915" i="2" s="1"/>
  <c r="BA913" i="2" s="1"/>
  <c r="BA553" i="2" s="1" a="1"/>
  <c r="BA553" i="2" s="1"/>
  <c r="AQ917" i="2" a="1"/>
  <c r="AQ917" i="2" s="1"/>
  <c r="AX915" i="2" a="1"/>
  <c r="AX915" i="2" s="1"/>
  <c r="AX913" i="2" s="1"/>
  <c r="AX553" i="2" s="1" a="1"/>
  <c r="AX553" i="2" s="1"/>
  <c r="AN915" i="2" a="1"/>
  <c r="AN915" i="2" s="1"/>
  <c r="AN913" i="2" s="1"/>
  <c r="AN553" i="2" s="1" a="1"/>
  <c r="AN553" i="2" s="1"/>
  <c r="AS915" i="2" a="1"/>
  <c r="AS915" i="2" s="1"/>
  <c r="AS913" i="2" s="1"/>
  <c r="AS553" i="2" s="1" a="1"/>
  <c r="AS553" i="2" s="1"/>
  <c r="V917" i="2" a="1"/>
  <c r="V917" i="2" s="1"/>
  <c r="AP915" i="2" a="1"/>
  <c r="AP915" i="2" s="1"/>
  <c r="AP913" i="2" s="1"/>
  <c r="AP553" i="2" s="1" a="1"/>
  <c r="AP553" i="2" s="1"/>
  <c r="BS917" i="2" a="1"/>
  <c r="BS917" i="2" s="1"/>
  <c r="BO915" i="2" a="1"/>
  <c r="BO915" i="2" s="1"/>
  <c r="BO913" i="2" s="1"/>
  <c r="BO553" i="2" s="1" a="1"/>
  <c r="BO553" i="2" s="1"/>
  <c r="AM915" i="2" a="1"/>
  <c r="AM915" i="2" s="1"/>
  <c r="AM913" i="2" s="1"/>
  <c r="AM553" i="2" s="1" a="1"/>
  <c r="AM553" i="2" s="1"/>
  <c r="BF917" i="2" a="1"/>
  <c r="BF917" i="2" s="1"/>
  <c r="BN555" i="2" a="1"/>
  <c r="BN555" i="2" s="1"/>
  <c r="I915" i="2" a="1"/>
  <c r="I915" i="2" s="1"/>
  <c r="BD917" i="2" a="1"/>
  <c r="BD917" i="2" s="1"/>
  <c r="AK915" i="2" a="1"/>
  <c r="AK915" i="2" s="1"/>
  <c r="AK913" i="2" s="1"/>
  <c r="AK553" i="2" s="1" a="1"/>
  <c r="AK553" i="2" s="1"/>
  <c r="BR915" i="2" a="1"/>
  <c r="BR915" i="2" s="1"/>
  <c r="BR913" i="2" s="1"/>
  <c r="BR553" i="2" s="1" a="1"/>
  <c r="BR553" i="2" s="1"/>
  <c r="AM917" i="2" a="1"/>
  <c r="AM917" i="2" s="1"/>
  <c r="X917" i="2" a="1"/>
  <c r="X917" i="2" s="1"/>
  <c r="BO555" i="2" a="1"/>
  <c r="BO555" i="2" s="1"/>
  <c r="BB915" i="2" a="1"/>
  <c r="BB915" i="2" s="1"/>
  <c r="BB913" i="2" s="1"/>
  <c r="BB553" i="2" s="1" a="1"/>
  <c r="BB553" i="2" s="1"/>
  <c r="BG915" i="2" a="1"/>
  <c r="BG915" i="2" s="1"/>
  <c r="BG913" i="2" s="1"/>
  <c r="BG553" i="2" s="1" a="1"/>
  <c r="BG553" i="2" s="1"/>
  <c r="AE917" i="2" a="1"/>
  <c r="AE917" i="2" s="1"/>
  <c r="BO554" i="2" a="1"/>
  <c r="BO554" i="2" s="1"/>
  <c r="BR554" i="2" a="1"/>
  <c r="BR554" i="2" s="1"/>
  <c r="BJ554" i="2" a="1"/>
  <c r="BJ554" i="2" s="1"/>
  <c r="BP554" i="2" a="1"/>
  <c r="BP554" i="2" s="1"/>
  <c r="BP539" i="2" s="1" a="1"/>
  <c r="BP539" i="2" s="1"/>
  <c r="BT554" i="2" a="1"/>
  <c r="BT554" i="2" s="1"/>
  <c r="BV554" i="2" a="1"/>
  <c r="BV554" i="2" s="1"/>
  <c r="BQ554" i="2" a="1"/>
  <c r="BQ554" i="2" s="1"/>
  <c r="BM554" i="2" a="1"/>
  <c r="BM554" i="2" s="1"/>
  <c r="BK554" i="2" a="1"/>
  <c r="BK554" i="2" s="1"/>
  <c r="BK539" i="2" s="1" a="1"/>
  <c r="BK539" i="2" s="1"/>
  <c r="BN554" i="2" a="1"/>
  <c r="BN554" i="2" s="1"/>
  <c r="BU554" i="2" a="1"/>
  <c r="BU554" i="2" s="1"/>
  <c r="BL554" i="2" a="1"/>
  <c r="BL554" i="2" s="1"/>
  <c r="BS554" i="2" a="1"/>
  <c r="BS554" i="2" s="1"/>
  <c r="BS539" i="2" s="1" a="1"/>
  <c r="BS539" i="2" s="1"/>
  <c r="BH917" i="2" a="1"/>
  <c r="BH917" i="2" s="1"/>
  <c r="BL917" i="2" a="1"/>
  <c r="BL917" i="2" s="1"/>
  <c r="BP552" i="2" a="1"/>
  <c r="BP552" i="2" s="1"/>
  <c r="BP430" i="2" s="1"/>
  <c r="BJ915" i="2" a="1"/>
  <c r="BJ915" i="2" s="1"/>
  <c r="BJ913" i="2" s="1"/>
  <c r="BJ553" i="2" s="1" a="1"/>
  <c r="BJ553" i="2" s="1"/>
  <c r="BQ917" i="2" a="1"/>
  <c r="BQ917" i="2" s="1"/>
  <c r="BQ915" i="2" a="1"/>
  <c r="BQ915" i="2" s="1"/>
  <c r="BQ913" i="2" s="1"/>
  <c r="BQ553" i="2" s="1" a="1"/>
  <c r="BQ553" i="2" s="1"/>
  <c r="BO917" i="2" a="1"/>
  <c r="BO917" i="2" s="1"/>
  <c r="AP917" i="2" a="1"/>
  <c r="AP917" i="2" s="1"/>
  <c r="Q915" i="2" a="1"/>
  <c r="Q915" i="2" s="1"/>
  <c r="Q913" i="2" s="1"/>
  <c r="Q553" i="2" s="1" a="1"/>
  <c r="Q553" i="2" s="1"/>
  <c r="W915" i="2" a="1"/>
  <c r="W915" i="2" s="1"/>
  <c r="W913" i="2" s="1"/>
  <c r="W553" i="2" s="1" a="1"/>
  <c r="W553" i="2" s="1"/>
  <c r="AJ917" i="2" a="1"/>
  <c r="AJ917" i="2" s="1"/>
  <c r="H917" i="2" a="1"/>
  <c r="H917" i="2" s="1"/>
  <c r="BR555" i="2" a="1"/>
  <c r="BR555" i="2" s="1"/>
  <c r="BV552" i="2" a="1"/>
  <c r="BV552" i="2" s="1"/>
  <c r="BV430" i="2" s="1"/>
  <c r="BJ917" i="2" a="1"/>
  <c r="BJ917" i="2" s="1"/>
  <c r="BI915" i="2" a="1"/>
  <c r="BI915" i="2" s="1"/>
  <c r="BI913" i="2" s="1"/>
  <c r="BI553" i="2" s="1" a="1"/>
  <c r="BI553" i="2" s="1"/>
  <c r="BP915" i="2" a="1"/>
  <c r="BP915" i="2" s="1"/>
  <c r="BP913" i="2" s="1"/>
  <c r="BP553" i="2" s="1" a="1"/>
  <c r="BP553" i="2" s="1"/>
  <c r="AY915" i="2" a="1"/>
  <c r="AY915" i="2" s="1"/>
  <c r="AY913" i="2" s="1"/>
  <c r="AY553" i="2" s="1" a="1"/>
  <c r="AY553" i="2" s="1"/>
  <c r="AH915" i="2" a="1"/>
  <c r="AH915" i="2" s="1"/>
  <c r="AH913" i="2" s="1"/>
  <c r="AH553" i="2" s="1" a="1"/>
  <c r="AH553" i="2" s="1"/>
  <c r="Y917" i="2" a="1"/>
  <c r="Y917" i="2" s="1"/>
  <c r="O917" i="2" a="1"/>
  <c r="O917" i="2" s="1"/>
  <c r="O915" i="2" a="1"/>
  <c r="O915" i="2" s="1"/>
  <c r="O913" i="2" s="1"/>
  <c r="O553" i="2" s="1" a="1"/>
  <c r="O553" i="2" s="1"/>
  <c r="AR917" i="2" a="1"/>
  <c r="AR917" i="2" s="1"/>
  <c r="H915" i="2" a="1"/>
  <c r="H915" i="2" s="1"/>
  <c r="H913" i="2" s="1"/>
  <c r="H553" i="2" s="1" a="1"/>
  <c r="H553" i="2" s="1"/>
  <c r="Z915" i="2" a="1"/>
  <c r="Z915" i="2" s="1"/>
  <c r="Z913" i="2" s="1"/>
  <c r="Z553" i="2" s="1" a="1"/>
  <c r="Z553" i="2" s="1"/>
  <c r="I913" i="2"/>
  <c r="I553" i="2" s="1" a="1"/>
  <c r="I553" i="2" s="1"/>
  <c r="G917" i="2" a="1"/>
  <c r="G917" i="2" s="1"/>
  <c r="T917" i="2" a="1"/>
  <c r="T917" i="2" s="1"/>
  <c r="X915" i="2" a="1"/>
  <c r="X915" i="2" s="1"/>
  <c r="X913" i="2" s="1"/>
  <c r="X553" i="2" s="1" a="1"/>
  <c r="X553" i="2" s="1"/>
  <c r="BT915" i="2" a="1"/>
  <c r="BT915" i="2" s="1"/>
  <c r="BT913" i="2" s="1"/>
  <c r="BT553" i="2" s="1" a="1"/>
  <c r="BT553" i="2" s="1"/>
  <c r="AL917" i="2" a="1"/>
  <c r="AL917" i="2" s="1"/>
  <c r="AD915" i="2" a="1"/>
  <c r="AD915" i="2" s="1"/>
  <c r="AD913" i="2" s="1"/>
  <c r="AD553" i="2" s="1" a="1"/>
  <c r="AD553" i="2" s="1"/>
  <c r="AS917" i="2" a="1"/>
  <c r="AS917" i="2" s="1"/>
  <c r="AJ915" i="2" a="1"/>
  <c r="AJ915" i="2" s="1"/>
  <c r="AJ913" i="2" s="1"/>
  <c r="AJ553" i="2" s="1" a="1"/>
  <c r="AJ553" i="2" s="1"/>
  <c r="AI917" i="2" a="1"/>
  <c r="AI917" i="2" s="1"/>
  <c r="AA915" i="2" a="1"/>
  <c r="AA915" i="2" s="1"/>
  <c r="AA913" i="2" s="1"/>
  <c r="AA553" i="2" s="1" a="1"/>
  <c r="AA553" i="2" s="1"/>
  <c r="A552" i="2"/>
  <c r="BP917" i="2" a="1"/>
  <c r="BP917" i="2" s="1"/>
  <c r="BV555" i="2" a="1"/>
  <c r="BV555" i="2" s="1"/>
  <c r="V913" i="2"/>
  <c r="V553" i="2" s="1" a="1"/>
  <c r="V553" i="2" s="1"/>
  <c r="AC915" i="2" a="1"/>
  <c r="AC915" i="2" s="1"/>
  <c r="AC913" i="2" s="1"/>
  <c r="AC553" i="2" s="1" a="1"/>
  <c r="AC553" i="2" s="1"/>
  <c r="AB915" i="2" a="1"/>
  <c r="AB915" i="2" s="1"/>
  <c r="AB913" i="2" s="1"/>
  <c r="AB553" i="2" s="1" a="1"/>
  <c r="AB553" i="2" s="1"/>
  <c r="AA917" i="2" a="1"/>
  <c r="AA917" i="2" s="1"/>
  <c r="S915" i="2" a="1"/>
  <c r="S915" i="2" s="1"/>
  <c r="S913" i="2" s="1"/>
  <c r="S553" i="2" s="1" a="1"/>
  <c r="S553" i="2" s="1"/>
  <c r="BV915" i="2" a="1"/>
  <c r="BV915" i="2" s="1"/>
  <c r="BV913" i="2" s="1"/>
  <c r="BV553" i="2" s="1" a="1"/>
  <c r="BV553" i="2" s="1"/>
  <c r="J915" i="2" a="1"/>
  <c r="J915" i="2" s="1"/>
  <c r="J913" i="2" s="1"/>
  <c r="J553" i="2" s="1" a="1"/>
  <c r="J553" i="2" s="1"/>
  <c r="BU915" i="2" a="1"/>
  <c r="BU915" i="2" s="1"/>
  <c r="BU913" i="2" s="1"/>
  <c r="BU553" i="2" s="1" a="1"/>
  <c r="BU553" i="2" s="1"/>
  <c r="BK917" i="2" a="1"/>
  <c r="BK917" i="2" s="1"/>
  <c r="BK915" i="2" a="1"/>
  <c r="BK915" i="2" s="1"/>
  <c r="BK913" i="2" s="1"/>
  <c r="BK553" i="2" s="1" a="1"/>
  <c r="BK553" i="2" s="1"/>
  <c r="A550" i="2"/>
  <c r="AN917" i="2" a="1"/>
  <c r="AN917" i="2" s="1"/>
  <c r="L917" i="2" a="1"/>
  <c r="L917" i="2" s="1"/>
  <c r="BL915" i="2" a="1"/>
  <c r="BL915" i="2" s="1"/>
  <c r="BL913" i="2" s="1"/>
  <c r="BL553" i="2" s="1" a="1"/>
  <c r="BL553" i="2" s="1"/>
  <c r="BK552" i="2" a="1"/>
  <c r="BK552" i="2" s="1"/>
  <c r="BK430" i="2" s="1"/>
  <c r="BL555" i="2" a="1"/>
  <c r="BL555" i="2" s="1"/>
  <c r="AD917" i="2" a="1"/>
  <c r="AD917" i="2" s="1"/>
  <c r="AK917" i="2" a="1"/>
  <c r="AK917" i="2" s="1"/>
  <c r="U915" i="2" a="1"/>
  <c r="U915" i="2" s="1"/>
  <c r="U913" i="2" s="1"/>
  <c r="U553" i="2" s="1" a="1"/>
  <c r="U553" i="2" s="1"/>
  <c r="BC917" i="2" a="1"/>
  <c r="BC917" i="2" s="1"/>
  <c r="BC915" i="2" a="1"/>
  <c r="BC915" i="2" s="1"/>
  <c r="BC913" i="2" s="1"/>
  <c r="BC553" i="2" s="1" a="1"/>
  <c r="BC553" i="2" s="1"/>
  <c r="A553" i="2"/>
  <c r="AB917" i="2" a="1"/>
  <c r="AB917" i="2" s="1"/>
  <c r="BM555" i="2" a="1"/>
  <c r="BM555" i="2" s="1"/>
  <c r="BT555" i="2" a="1"/>
  <c r="BT555" i="2" s="1"/>
  <c r="BT539" i="2" s="1" a="1"/>
  <c r="BT539" i="2" s="1"/>
  <c r="BJ555" i="2" a="1"/>
  <c r="BJ555" i="2" s="1"/>
  <c r="BD915" i="2" a="1"/>
  <c r="BD915" i="2" s="1"/>
  <c r="BD913" i="2" s="1"/>
  <c r="BD553" i="2" s="1" a="1"/>
  <c r="BD553" i="2" s="1"/>
  <c r="N917" i="2" a="1"/>
  <c r="N917" i="2" s="1"/>
  <c r="AC917" i="2" a="1"/>
  <c r="AC917" i="2" s="1"/>
  <c r="K917" i="2" a="1"/>
  <c r="K917" i="2" s="1"/>
  <c r="C915" i="2" a="1"/>
  <c r="C915" i="2" s="1"/>
  <c r="A913" i="2" s="1"/>
  <c r="BM917" i="2" a="1"/>
  <c r="BM917" i="2" s="1"/>
  <c r="BE915" i="2" a="1"/>
  <c r="BE915" i="2" s="1"/>
  <c r="BE913" i="2" s="1"/>
  <c r="BE553" i="2" s="1" a="1"/>
  <c r="BE553" i="2" s="1"/>
  <c r="AU917" i="2" a="1"/>
  <c r="AU917" i="2" s="1"/>
  <c r="A551" i="2"/>
  <c r="AF917" i="2" a="1"/>
  <c r="AF917" i="2" s="1"/>
  <c r="BU552" i="2" a="1"/>
  <c r="BU552" i="2" s="1"/>
  <c r="BU430" i="2" s="1"/>
  <c r="BJ552" i="2" a="1"/>
  <c r="BJ552" i="2" s="1"/>
  <c r="BJ430" i="2" s="1"/>
  <c r="P917" i="2" a="1"/>
  <c r="P917" i="2" s="1"/>
  <c r="F917" i="2" a="1"/>
  <c r="F917" i="2" s="1"/>
  <c r="N915" i="2" a="1"/>
  <c r="N915" i="2" s="1"/>
  <c r="N913" i="2" s="1"/>
  <c r="N553" i="2" s="1" a="1"/>
  <c r="N553" i="2" s="1"/>
  <c r="U917" i="2" a="1"/>
  <c r="U917" i="2" s="1"/>
  <c r="M913" i="2"/>
  <c r="M553" i="2" s="1" a="1"/>
  <c r="M553" i="2" s="1"/>
  <c r="BV917" i="2" a="1"/>
  <c r="BV917" i="2" s="1"/>
  <c r="BF915" i="2" a="1"/>
  <c r="BF915" i="2" s="1"/>
  <c r="BF913" i="2" s="1"/>
  <c r="BF553" i="2" s="1" a="1"/>
  <c r="BF553" i="2" s="1"/>
  <c r="BE917" i="2" a="1"/>
  <c r="BE917" i="2" s="1"/>
  <c r="AU915" i="2" a="1"/>
  <c r="AU915" i="2" s="1"/>
  <c r="AU913" i="2" s="1"/>
  <c r="AU553" i="2" s="1" a="1"/>
  <c r="AU553" i="2" s="1"/>
  <c r="A3" i="2"/>
  <c r="BL909" i="2"/>
  <c r="BR916" i="2"/>
  <c r="BJ916" i="2"/>
  <c r="BD911" i="2"/>
  <c r="AS916" i="2"/>
  <c r="U916" i="2"/>
  <c r="T916" i="2"/>
  <c r="AV916" i="2"/>
  <c r="AL916" i="2"/>
  <c r="BK916" i="2"/>
  <c r="AV911" i="2"/>
  <c r="BD909" i="2"/>
  <c r="AD916" i="2"/>
  <c r="L916" i="2"/>
  <c r="BG916" i="2"/>
  <c r="AM916" i="2"/>
  <c r="AN911" i="2"/>
  <c r="AV909" i="2"/>
  <c r="BP916" i="2"/>
  <c r="E916" i="2"/>
  <c r="AF911" i="2"/>
  <c r="AN909" i="2"/>
  <c r="V916" i="2"/>
  <c r="D916" i="2"/>
  <c r="AQ916" i="2"/>
  <c r="X911" i="2"/>
  <c r="AF909" i="2"/>
  <c r="P911" i="2"/>
  <c r="X909" i="2"/>
  <c r="AX904" i="2"/>
  <c r="N916" i="2"/>
  <c r="BQ916" i="2"/>
  <c r="AI916" i="2"/>
  <c r="BU916" i="2"/>
  <c r="H911" i="2"/>
  <c r="P909" i="2"/>
  <c r="H909" i="2"/>
  <c r="F916" i="2"/>
  <c r="AO916" i="2"/>
  <c r="BA916" i="2"/>
  <c r="S916" i="2"/>
  <c r="BN880" i="2" a="1"/>
  <c r="BN880" i="2" s="1"/>
  <c r="BF916" i="2"/>
  <c r="AG916" i="2"/>
  <c r="K916" i="2"/>
  <c r="I916" i="2"/>
  <c r="AP916" i="2"/>
  <c r="BF902" i="2"/>
  <c r="BB916" i="2"/>
  <c r="AJ916" i="2"/>
  <c r="Z916" i="2"/>
  <c r="AC916" i="2"/>
  <c r="BT911" i="2"/>
  <c r="AT916" i="2"/>
  <c r="AB916" i="2"/>
  <c r="R916" i="2"/>
  <c r="BL911" i="2"/>
  <c r="BT909" i="2"/>
  <c r="BI916" i="2"/>
  <c r="AY916" i="2"/>
  <c r="BS916" i="2"/>
  <c r="G916" i="2"/>
  <c r="AN916" i="2"/>
  <c r="BM880" i="2" a="1"/>
  <c r="BM880" i="2" s="1"/>
  <c r="P904" i="2"/>
  <c r="P902" i="2"/>
  <c r="AM897" i="2"/>
  <c r="AE895" i="2"/>
  <c r="AR916" i="2"/>
  <c r="AX916" i="2"/>
  <c r="BM916" i="2"/>
  <c r="BL880" i="2" a="1"/>
  <c r="BL880" i="2" s="1"/>
  <c r="BS911" i="2"/>
  <c r="BK911" i="2"/>
  <c r="BC911" i="2"/>
  <c r="AU911" i="2"/>
  <c r="AM911" i="2"/>
  <c r="AE911" i="2"/>
  <c r="W911" i="2"/>
  <c r="O911" i="2"/>
  <c r="G911" i="2"/>
  <c r="BS909" i="2"/>
  <c r="BK909" i="2"/>
  <c r="BC909" i="2"/>
  <c r="AU909" i="2"/>
  <c r="AM909" i="2"/>
  <c r="AE909" i="2"/>
  <c r="W909" i="2"/>
  <c r="O909" i="2"/>
  <c r="G909" i="2"/>
  <c r="AW904" i="2"/>
  <c r="J904" i="2"/>
  <c r="BD902" i="2"/>
  <c r="J902" i="2"/>
  <c r="BS895" i="2"/>
  <c r="BT916" i="2"/>
  <c r="BL916" i="2"/>
  <c r="BJ880" i="2" a="1"/>
  <c r="BJ880" i="2" s="1"/>
  <c r="AV904" i="2"/>
  <c r="AX902" i="2"/>
  <c r="BE916" i="2"/>
  <c r="BK880" i="2" a="1"/>
  <c r="BK880" i="2" s="1"/>
  <c r="BR911" i="2"/>
  <c r="BJ911" i="2"/>
  <c r="BB911" i="2"/>
  <c r="AT911" i="2"/>
  <c r="AL911" i="2"/>
  <c r="AD911" i="2"/>
  <c r="V911" i="2"/>
  <c r="N911" i="2"/>
  <c r="F911" i="2"/>
  <c r="BR909" i="2"/>
  <c r="BJ909" i="2"/>
  <c r="BB909" i="2"/>
  <c r="AT909" i="2"/>
  <c r="AL909" i="2"/>
  <c r="AD909" i="2"/>
  <c r="V909" i="2"/>
  <c r="N909" i="2"/>
  <c r="F909" i="2"/>
  <c r="BV904" i="2"/>
  <c r="AP904" i="2"/>
  <c r="H904" i="2"/>
  <c r="H902" i="2"/>
  <c r="AE897" i="2"/>
  <c r="W895" i="2"/>
  <c r="BC916" i="2"/>
  <c r="BD916" i="2"/>
  <c r="X916" i="2"/>
  <c r="AV902" i="2"/>
  <c r="BS897" i="2"/>
  <c r="BK895" i="2"/>
  <c r="AH916" i="2"/>
  <c r="AW916" i="2"/>
  <c r="BQ911" i="2"/>
  <c r="BI911" i="2"/>
  <c r="BA911" i="2"/>
  <c r="AS911" i="2"/>
  <c r="AK911" i="2"/>
  <c r="AC911" i="2"/>
  <c r="U911" i="2"/>
  <c r="M911" i="2"/>
  <c r="E911" i="2"/>
  <c r="BQ909" i="2"/>
  <c r="BI909" i="2"/>
  <c r="BA909" i="2"/>
  <c r="AS909" i="2"/>
  <c r="AK909" i="2"/>
  <c r="AC909" i="2"/>
  <c r="U909" i="2"/>
  <c r="M909" i="2"/>
  <c r="E909" i="2"/>
  <c r="BU904" i="2"/>
  <c r="AO904" i="2"/>
  <c r="AP902" i="2"/>
  <c r="AK916" i="2"/>
  <c r="AA916" i="2"/>
  <c r="AU916" i="2"/>
  <c r="BT904" i="2"/>
  <c r="AN904" i="2"/>
  <c r="W897" i="2"/>
  <c r="O895" i="2"/>
  <c r="BV880" i="2" a="1"/>
  <c r="BV880" i="2" s="1"/>
  <c r="BP911" i="2"/>
  <c r="BH911" i="2"/>
  <c r="AZ911" i="2"/>
  <c r="AR911" i="2"/>
  <c r="AJ911" i="2"/>
  <c r="AB911" i="2"/>
  <c r="T911" i="2"/>
  <c r="L911" i="2"/>
  <c r="D911" i="2"/>
  <c r="BP909" i="2"/>
  <c r="BH909" i="2"/>
  <c r="AZ909" i="2"/>
  <c r="AR909" i="2"/>
  <c r="AJ909" i="2"/>
  <c r="AB909" i="2"/>
  <c r="T909" i="2"/>
  <c r="L909" i="2"/>
  <c r="D909" i="2"/>
  <c r="BN904" i="2"/>
  <c r="AH904" i="2"/>
  <c r="AN902" i="2"/>
  <c r="BK897" i="2"/>
  <c r="BC895" i="2"/>
  <c r="BU880" i="2" a="1"/>
  <c r="BU880" i="2" s="1"/>
  <c r="AH902" i="2"/>
  <c r="P916" i="2"/>
  <c r="BT880" i="2" a="1"/>
  <c r="BT880" i="2" s="1"/>
  <c r="BO911" i="2"/>
  <c r="BG911" i="2"/>
  <c r="AY911" i="2"/>
  <c r="AQ911" i="2"/>
  <c r="AI911" i="2"/>
  <c r="AA911" i="2"/>
  <c r="S911" i="2"/>
  <c r="K911" i="2"/>
  <c r="C911" i="2"/>
  <c r="BO909" i="2"/>
  <c r="BG909" i="2"/>
  <c r="AY909" i="2"/>
  <c r="AQ909" i="2"/>
  <c r="AI909" i="2"/>
  <c r="AA909" i="2"/>
  <c r="S909" i="2"/>
  <c r="K909" i="2"/>
  <c r="C909" i="2"/>
  <c r="BM904" i="2"/>
  <c r="AG904" i="2"/>
  <c r="BV902" i="2"/>
  <c r="O897" i="2"/>
  <c r="G895" i="2"/>
  <c r="AE916" i="2"/>
  <c r="BS880" i="2" a="1"/>
  <c r="BS880" i="2" s="1"/>
  <c r="BL904" i="2"/>
  <c r="AF904" i="2"/>
  <c r="AF902" i="2"/>
  <c r="BC897" i="2"/>
  <c r="AU895" i="2"/>
  <c r="BV916" i="2"/>
  <c r="J916" i="2"/>
  <c r="Y916" i="2"/>
  <c r="AF916" i="2"/>
  <c r="BR880" i="2" a="1"/>
  <c r="BR880" i="2" s="1"/>
  <c r="BV911" i="2"/>
  <c r="BN911" i="2"/>
  <c r="BF911" i="2"/>
  <c r="AX911" i="2"/>
  <c r="AP911" i="2"/>
  <c r="AH911" i="2"/>
  <c r="Z911" i="2"/>
  <c r="R911" i="2"/>
  <c r="J911" i="2"/>
  <c r="BV909" i="2"/>
  <c r="BN909" i="2"/>
  <c r="BF909" i="2"/>
  <c r="AX909" i="2"/>
  <c r="AP909" i="2"/>
  <c r="AH909" i="2"/>
  <c r="Z909" i="2"/>
  <c r="R909" i="2"/>
  <c r="J909" i="2"/>
  <c r="BF904" i="2"/>
  <c r="Z904" i="2"/>
  <c r="BT902" i="2"/>
  <c r="Z902" i="2"/>
  <c r="M916" i="2"/>
  <c r="BO916" i="2"/>
  <c r="C916" i="2"/>
  <c r="W916" i="2"/>
  <c r="H916" i="2"/>
  <c r="BQ880" i="2" a="1"/>
  <c r="BQ880" i="2" s="1"/>
  <c r="BN902" i="2"/>
  <c r="G897" i="2"/>
  <c r="BH916" i="2"/>
  <c r="BN916" i="2"/>
  <c r="Q916" i="2"/>
  <c r="BP880" i="2" a="1"/>
  <c r="BP880" i="2" s="1"/>
  <c r="BU911" i="2"/>
  <c r="BM911" i="2"/>
  <c r="BE911" i="2"/>
  <c r="AW911" i="2"/>
  <c r="AO911" i="2"/>
  <c r="AG911" i="2"/>
  <c r="Y911" i="2"/>
  <c r="Q911" i="2"/>
  <c r="I911" i="2"/>
  <c r="BU909" i="2"/>
  <c r="BM909" i="2"/>
  <c r="BE909" i="2"/>
  <c r="AW909" i="2"/>
  <c r="AO909" i="2"/>
  <c r="AG909" i="2"/>
  <c r="Y909" i="2"/>
  <c r="Q909" i="2"/>
  <c r="I909" i="2"/>
  <c r="BE904" i="2"/>
  <c r="X904" i="2"/>
  <c r="X902" i="2"/>
  <c r="AU897" i="2"/>
  <c r="AM895" i="2"/>
  <c r="O916" i="2"/>
  <c r="BO880" i="2" a="1"/>
  <c r="BO880" i="2" s="1"/>
  <c r="BD904" i="2"/>
  <c r="R904" i="2"/>
  <c r="BL902" i="2"/>
  <c r="R902" i="2"/>
  <c r="Y904" i="2"/>
  <c r="Q904" i="2"/>
  <c r="I904" i="2"/>
  <c r="BU902" i="2"/>
  <c r="BM902" i="2"/>
  <c r="BE902" i="2"/>
  <c r="AW902" i="2"/>
  <c r="AO902" i="2"/>
  <c r="AG902" i="2"/>
  <c r="Y902" i="2"/>
  <c r="Q902" i="2"/>
  <c r="I902" i="2"/>
  <c r="BR897" i="2"/>
  <c r="BJ897" i="2"/>
  <c r="BB897" i="2"/>
  <c r="AT897" i="2"/>
  <c r="AL897" i="2"/>
  <c r="AD897" i="2"/>
  <c r="V897" i="2"/>
  <c r="N897" i="2"/>
  <c r="F897" i="2"/>
  <c r="BR895" i="2"/>
  <c r="BJ895" i="2"/>
  <c r="BB895" i="2"/>
  <c r="AT895" i="2"/>
  <c r="AL895" i="2"/>
  <c r="AD895" i="2"/>
  <c r="V895" i="2"/>
  <c r="N895" i="2"/>
  <c r="F895" i="2"/>
  <c r="BQ897" i="2"/>
  <c r="BI897" i="2"/>
  <c r="BA897" i="2"/>
  <c r="AS897" i="2"/>
  <c r="AK897" i="2"/>
  <c r="AC897" i="2"/>
  <c r="U897" i="2"/>
  <c r="M897" i="2"/>
  <c r="E897" i="2"/>
  <c r="BQ895" i="2"/>
  <c r="BI895" i="2"/>
  <c r="BA895" i="2"/>
  <c r="AS895" i="2"/>
  <c r="AK895" i="2"/>
  <c r="AC895" i="2"/>
  <c r="U895" i="2"/>
  <c r="M895" i="2"/>
  <c r="E895" i="2"/>
  <c r="BS904" i="2"/>
  <c r="BK904" i="2"/>
  <c r="BC904" i="2"/>
  <c r="AU904" i="2"/>
  <c r="AM904" i="2"/>
  <c r="AE904" i="2"/>
  <c r="W904" i="2"/>
  <c r="O904" i="2"/>
  <c r="G904" i="2"/>
  <c r="BS902" i="2"/>
  <c r="BK902" i="2"/>
  <c r="BC902" i="2"/>
  <c r="AU902" i="2"/>
  <c r="AM902" i="2"/>
  <c r="AE902" i="2"/>
  <c r="W902" i="2"/>
  <c r="O902" i="2"/>
  <c r="G902" i="2"/>
  <c r="BP897" i="2"/>
  <c r="BH897" i="2"/>
  <c r="AZ897" i="2"/>
  <c r="AR897" i="2"/>
  <c r="AJ897" i="2"/>
  <c r="AB897" i="2"/>
  <c r="T897" i="2"/>
  <c r="L897" i="2"/>
  <c r="D897" i="2"/>
  <c r="BP895" i="2"/>
  <c r="BH895" i="2"/>
  <c r="AZ895" i="2"/>
  <c r="AR895" i="2"/>
  <c r="AJ895" i="2"/>
  <c r="AB895" i="2"/>
  <c r="T895" i="2"/>
  <c r="L895" i="2"/>
  <c r="D895" i="2"/>
  <c r="BR904" i="2"/>
  <c r="BJ904" i="2"/>
  <c r="BB904" i="2"/>
  <c r="AT904" i="2"/>
  <c r="AL904" i="2"/>
  <c r="AD904" i="2"/>
  <c r="V904" i="2"/>
  <c r="N904" i="2"/>
  <c r="F904" i="2"/>
  <c r="BR902" i="2"/>
  <c r="BJ902" i="2"/>
  <c r="BB902" i="2"/>
  <c r="AT902" i="2"/>
  <c r="AL902" i="2"/>
  <c r="AD902" i="2"/>
  <c r="V902" i="2"/>
  <c r="N902" i="2"/>
  <c r="F902" i="2"/>
  <c r="BO897" i="2"/>
  <c r="BG897" i="2"/>
  <c r="AY897" i="2"/>
  <c r="AQ897" i="2"/>
  <c r="AI897" i="2"/>
  <c r="AA897" i="2"/>
  <c r="S897" i="2"/>
  <c r="K897" i="2"/>
  <c r="C897" i="2"/>
  <c r="BO895" i="2"/>
  <c r="BG895" i="2"/>
  <c r="AY895" i="2"/>
  <c r="AQ895" i="2"/>
  <c r="AI895" i="2"/>
  <c r="AA895" i="2"/>
  <c r="S895" i="2"/>
  <c r="K895" i="2"/>
  <c r="C895" i="2"/>
  <c r="BQ904" i="2"/>
  <c r="BI904" i="2"/>
  <c r="BA904" i="2"/>
  <c r="AS904" i="2"/>
  <c r="AK904" i="2"/>
  <c r="AC904" i="2"/>
  <c r="U904" i="2"/>
  <c r="M904" i="2"/>
  <c r="E904" i="2"/>
  <c r="BQ902" i="2"/>
  <c r="BI902" i="2"/>
  <c r="BA902" i="2"/>
  <c r="AS902" i="2"/>
  <c r="AK902" i="2"/>
  <c r="AC902" i="2"/>
  <c r="U902" i="2"/>
  <c r="M902" i="2"/>
  <c r="E902" i="2"/>
  <c r="BV897" i="2"/>
  <c r="BN897" i="2"/>
  <c r="BF897" i="2"/>
  <c r="AX897" i="2"/>
  <c r="AP897" i="2"/>
  <c r="AH897" i="2"/>
  <c r="Z897" i="2"/>
  <c r="R897" i="2"/>
  <c r="J897" i="2"/>
  <c r="BV895" i="2"/>
  <c r="BN895" i="2"/>
  <c r="BF895" i="2"/>
  <c r="AX895" i="2"/>
  <c r="AP895" i="2"/>
  <c r="AH895" i="2"/>
  <c r="Z895" i="2"/>
  <c r="R895" i="2"/>
  <c r="J895" i="2"/>
  <c r="BP904" i="2"/>
  <c r="BH904" i="2"/>
  <c r="AZ904" i="2"/>
  <c r="AR904" i="2"/>
  <c r="AJ904" i="2"/>
  <c r="AB904" i="2"/>
  <c r="T904" i="2"/>
  <c r="L904" i="2"/>
  <c r="D904" i="2"/>
  <c r="BP902" i="2"/>
  <c r="BH902" i="2"/>
  <c r="AZ902" i="2"/>
  <c r="AR902" i="2"/>
  <c r="AJ902" i="2"/>
  <c r="AB902" i="2"/>
  <c r="T902" i="2"/>
  <c r="L902" i="2"/>
  <c r="D902" i="2"/>
  <c r="BU897" i="2"/>
  <c r="BM897" i="2"/>
  <c r="BE897" i="2"/>
  <c r="AW897" i="2"/>
  <c r="AO897" i="2"/>
  <c r="AG897" i="2"/>
  <c r="Y897" i="2"/>
  <c r="Q897" i="2"/>
  <c r="I897" i="2"/>
  <c r="BU895" i="2"/>
  <c r="BM895" i="2"/>
  <c r="BE895" i="2"/>
  <c r="AW895" i="2"/>
  <c r="AO895" i="2"/>
  <c r="AG895" i="2"/>
  <c r="Y895" i="2"/>
  <c r="Q895" i="2"/>
  <c r="I895" i="2"/>
  <c r="BO904" i="2"/>
  <c r="BG904" i="2"/>
  <c r="AY904" i="2"/>
  <c r="AQ904" i="2"/>
  <c r="AI904" i="2"/>
  <c r="AA904" i="2"/>
  <c r="S904" i="2"/>
  <c r="K904" i="2"/>
  <c r="C904" i="2"/>
  <c r="BO902" i="2"/>
  <c r="BG902" i="2"/>
  <c r="AY902" i="2"/>
  <c r="AQ902" i="2"/>
  <c r="AI902" i="2"/>
  <c r="AA902" i="2"/>
  <c r="S902" i="2"/>
  <c r="K902" i="2"/>
  <c r="C902" i="2"/>
  <c r="BT897" i="2"/>
  <c r="BL897" i="2"/>
  <c r="BD897" i="2"/>
  <c r="AV897" i="2"/>
  <c r="AN897" i="2"/>
  <c r="AF897" i="2"/>
  <c r="X897" i="2"/>
  <c r="P897" i="2"/>
  <c r="H897" i="2"/>
  <c r="BT895" i="2"/>
  <c r="BL895" i="2"/>
  <c r="BD895" i="2"/>
  <c r="AV895" i="2"/>
  <c r="AN895" i="2"/>
  <c r="AF895" i="2"/>
  <c r="X895" i="2"/>
  <c r="P895" i="2"/>
  <c r="H895" i="2"/>
  <c r="D17" i="15"/>
  <c r="BI26" i="16"/>
  <c r="BJ26" i="16"/>
  <c r="F17" i="15" s="1"/>
  <c r="BK26" i="16"/>
  <c r="G17" i="15" s="1"/>
  <c r="BQ539" i="2" l="1" a="1"/>
  <c r="BQ539" i="2" s="1"/>
  <c r="BR539" i="2" a="1"/>
  <c r="BR539" i="2" s="1"/>
  <c r="BM539" i="2" a="1"/>
  <c r="BM539" i="2" s="1"/>
  <c r="BJ539" i="2" a="1"/>
  <c r="BJ539" i="2" s="1"/>
  <c r="BU539" i="2" a="1"/>
  <c r="BU539" i="2" s="1"/>
  <c r="BL539" i="2" a="1"/>
  <c r="BL539" i="2" s="1"/>
  <c r="BV539" i="2" a="1"/>
  <c r="BV539" i="2" s="1"/>
  <c r="BO539" i="2" a="1"/>
  <c r="BO539" i="2" s="1"/>
  <c r="BN539" i="2" a="1"/>
  <c r="BN539" i="2" s="1"/>
  <c r="C913" i="2"/>
  <c r="C553" i="2" s="1" a="1"/>
  <c r="C553" i="2" s="1"/>
  <c r="G27" i="13"/>
  <c r="E11" i="13"/>
  <c r="E6" i="13"/>
  <c r="G21" i="13"/>
  <c r="BJ436" i="2"/>
  <c r="BJ439" i="2"/>
  <c r="BQ886" i="2" a="1"/>
  <c r="BQ886" i="2" s="1"/>
  <c r="BQ500" i="2" s="1"/>
  <c r="BQ882" i="2" a="1"/>
  <c r="BQ882" i="2" s="1"/>
  <c r="BQ396" i="2" s="1"/>
  <c r="BQ884" i="2" a="1"/>
  <c r="BQ884" i="2" s="1"/>
  <c r="BQ422" i="2" s="1"/>
  <c r="BQ885" i="2" a="1"/>
  <c r="BQ885" i="2" s="1"/>
  <c r="BQ498" i="2" s="1"/>
  <c r="BQ881" i="2" a="1"/>
  <c r="BQ881" i="2" s="1"/>
  <c r="BQ383" i="2" s="1"/>
  <c r="BQ883" i="2" a="1"/>
  <c r="BQ883" i="2" s="1"/>
  <c r="BQ390" i="2" s="1"/>
  <c r="BT883" i="2" a="1"/>
  <c r="BT883" i="2" s="1"/>
  <c r="BT390" i="2" s="1"/>
  <c r="BT886" i="2" a="1"/>
  <c r="BT886" i="2" s="1"/>
  <c r="BT500" i="2" s="1"/>
  <c r="BT882" i="2" a="1"/>
  <c r="BT882" i="2" s="1"/>
  <c r="BT396" i="2" s="1"/>
  <c r="BT884" i="2" a="1"/>
  <c r="BT884" i="2" s="1"/>
  <c r="BT422" i="2" s="1"/>
  <c r="BT881" i="2" a="1"/>
  <c r="BT881" i="2" s="1"/>
  <c r="BT383" i="2" s="1"/>
  <c r="BT885" i="2" a="1"/>
  <c r="BT885" i="2" s="1"/>
  <c r="BT498" i="2" s="1"/>
  <c r="BO883" i="2" a="1"/>
  <c r="BO883" i="2" s="1"/>
  <c r="BO390" i="2" s="1"/>
  <c r="BO882" i="2" a="1"/>
  <c r="BO882" i="2" s="1"/>
  <c r="BO396" i="2" s="1"/>
  <c r="BO884" i="2" a="1"/>
  <c r="BO884" i="2" s="1"/>
  <c r="BO422" i="2" s="1"/>
  <c r="BO881" i="2" a="1"/>
  <c r="BO881" i="2" s="1"/>
  <c r="BO383" i="2" s="1"/>
  <c r="BO886" i="2" a="1"/>
  <c r="BO886" i="2" s="1"/>
  <c r="BO500" i="2" s="1"/>
  <c r="BO885" i="2" a="1"/>
  <c r="BO885" i="2" s="1"/>
  <c r="BO498" i="2" s="1"/>
  <c r="BU883" i="2" a="1"/>
  <c r="BU883" i="2" s="1"/>
  <c r="BU390" i="2" s="1"/>
  <c r="BU882" i="2" a="1"/>
  <c r="BU882" i="2" s="1"/>
  <c r="BU396" i="2" s="1"/>
  <c r="BU884" i="2" a="1"/>
  <c r="BU884" i="2" s="1"/>
  <c r="BU422" i="2" s="1"/>
  <c r="BU881" i="2" a="1"/>
  <c r="BU881" i="2" s="1"/>
  <c r="BU383" i="2" s="1"/>
  <c r="BU886" i="2" a="1"/>
  <c r="BU886" i="2" s="1"/>
  <c r="BU500" i="2" s="1"/>
  <c r="BU885" i="2" a="1"/>
  <c r="BU885" i="2" s="1"/>
  <c r="BU498" i="2" s="1"/>
  <c r="BN886" i="2" a="1"/>
  <c r="BN886" i="2" s="1"/>
  <c r="BN500" i="2" s="1"/>
  <c r="BN885" i="2" a="1"/>
  <c r="BN885" i="2" s="1"/>
  <c r="BN498" i="2" s="1"/>
  <c r="BN884" i="2" a="1"/>
  <c r="BN884" i="2" s="1"/>
  <c r="BN422" i="2" s="1"/>
  <c r="BN881" i="2" a="1"/>
  <c r="BN881" i="2" s="1"/>
  <c r="BN383" i="2" s="1"/>
  <c r="BN883" i="2" a="1"/>
  <c r="BN883" i="2" s="1"/>
  <c r="BN390" i="2" s="1"/>
  <c r="BN882" i="2" a="1"/>
  <c r="BN882" i="2" s="1"/>
  <c r="BN396" i="2" s="1"/>
  <c r="BL883" i="2" a="1"/>
  <c r="BL883" i="2" s="1"/>
  <c r="BL390" i="2" s="1"/>
  <c r="BL882" i="2" a="1"/>
  <c r="BL882" i="2" s="1"/>
  <c r="BL396" i="2" s="1"/>
  <c r="BL884" i="2" a="1"/>
  <c r="BL884" i="2" s="1"/>
  <c r="BL422" i="2" s="1"/>
  <c r="BL886" i="2" a="1"/>
  <c r="BL886" i="2" s="1"/>
  <c r="BL500" i="2" s="1"/>
  <c r="BL885" i="2" a="1"/>
  <c r="BL885" i="2" s="1"/>
  <c r="BL498" i="2" s="1"/>
  <c r="BL881" i="2" a="1"/>
  <c r="BL881" i="2" s="1"/>
  <c r="BL383" i="2" s="1"/>
  <c r="BS885" i="2" a="1"/>
  <c r="BS885" i="2" s="1"/>
  <c r="BS498" i="2" s="1"/>
  <c r="BS884" i="2" a="1"/>
  <c r="BS884" i="2" s="1"/>
  <c r="BS422" i="2" s="1"/>
  <c r="BS881" i="2" a="1"/>
  <c r="BS881" i="2" s="1"/>
  <c r="BS383" i="2" s="1"/>
  <c r="BS886" i="2" a="1"/>
  <c r="BS886" i="2" s="1"/>
  <c r="BS500" i="2" s="1"/>
  <c r="BS883" i="2" a="1"/>
  <c r="BS883" i="2" s="1"/>
  <c r="BS390" i="2" s="1"/>
  <c r="BS882" i="2" a="1"/>
  <c r="BS882" i="2" s="1"/>
  <c r="BS396" i="2" s="1"/>
  <c r="BK883" i="2" a="1"/>
  <c r="BK883" i="2" s="1"/>
  <c r="BK390" i="2" s="1"/>
  <c r="BK882" i="2" a="1"/>
  <c r="BK882" i="2" s="1"/>
  <c r="BK396" i="2" s="1"/>
  <c r="BK881" i="2" a="1"/>
  <c r="BK881" i="2" s="1"/>
  <c r="BK383" i="2" s="1"/>
  <c r="BK886" i="2" a="1"/>
  <c r="BK886" i="2" s="1"/>
  <c r="BK500" i="2" s="1"/>
  <c r="BK885" i="2" a="1"/>
  <c r="BK885" i="2" s="1"/>
  <c r="BK498" i="2" s="1"/>
  <c r="BK884" i="2" a="1"/>
  <c r="BK884" i="2" s="1"/>
  <c r="BK422" i="2" s="1"/>
  <c r="BV884" i="2" a="1"/>
  <c r="BV884" i="2" s="1"/>
  <c r="BV422" i="2" s="1"/>
  <c r="BV883" i="2" a="1"/>
  <c r="BV883" i="2" s="1"/>
  <c r="BV390" i="2" s="1"/>
  <c r="BV882" i="2" a="1"/>
  <c r="BV882" i="2" s="1"/>
  <c r="BV396" i="2" s="1"/>
  <c r="BV881" i="2" a="1"/>
  <c r="BV881" i="2" s="1"/>
  <c r="BV383" i="2" s="1"/>
  <c r="BV886" i="2" a="1"/>
  <c r="BV886" i="2" s="1"/>
  <c r="BV500" i="2" s="1"/>
  <c r="BV885" i="2" a="1"/>
  <c r="BV885" i="2" s="1"/>
  <c r="BV498" i="2" s="1"/>
  <c r="BJ883" i="2" a="1"/>
  <c r="BJ883" i="2" s="1"/>
  <c r="BJ390" i="2" s="1"/>
  <c r="BJ885" i="2" a="1"/>
  <c r="BJ885" i="2" s="1"/>
  <c r="BJ498" i="2" s="1"/>
  <c r="BJ884" i="2" a="1"/>
  <c r="BJ884" i="2" s="1"/>
  <c r="BJ422" i="2" s="1"/>
  <c r="BJ881" i="2" a="1"/>
  <c r="BJ881" i="2" s="1"/>
  <c r="BJ383" i="2" s="1"/>
  <c r="BJ882" i="2" a="1"/>
  <c r="BJ882" i="2" s="1"/>
  <c r="BJ396" i="2" s="1"/>
  <c r="BJ886" i="2" a="1"/>
  <c r="BJ886" i="2" s="1"/>
  <c r="BJ500" i="2" s="1"/>
  <c r="BP883" i="2" a="1"/>
  <c r="BP883" i="2" s="1"/>
  <c r="BP390" i="2" s="1"/>
  <c r="BP882" i="2" a="1"/>
  <c r="BP882" i="2" s="1"/>
  <c r="BP396" i="2" s="1"/>
  <c r="BP881" i="2" a="1"/>
  <c r="BP881" i="2" s="1"/>
  <c r="BP383" i="2" s="1"/>
  <c r="BP884" i="2" a="1"/>
  <c r="BP884" i="2" s="1"/>
  <c r="BP422" i="2" s="1"/>
  <c r="BP886" i="2" a="1"/>
  <c r="BP886" i="2" s="1"/>
  <c r="BP500" i="2" s="1"/>
  <c r="BP885" i="2" a="1"/>
  <c r="BP885" i="2" s="1"/>
  <c r="BP498" i="2" s="1"/>
  <c r="BR883" i="2" a="1"/>
  <c r="BR883" i="2" s="1"/>
  <c r="BR390" i="2" s="1"/>
  <c r="BR885" i="2" a="1"/>
  <c r="BR885" i="2" s="1"/>
  <c r="BR498" i="2" s="1"/>
  <c r="BR884" i="2" a="1"/>
  <c r="BR884" i="2" s="1"/>
  <c r="BR422" i="2" s="1"/>
  <c r="BR881" i="2" a="1"/>
  <c r="BR881" i="2" s="1"/>
  <c r="BR383" i="2" s="1"/>
  <c r="BR882" i="2" a="1"/>
  <c r="BR882" i="2" s="1"/>
  <c r="BR396" i="2" s="1"/>
  <c r="BR886" i="2" a="1"/>
  <c r="BR886" i="2" s="1"/>
  <c r="BR500" i="2" s="1"/>
  <c r="BM883" i="2" a="1"/>
  <c r="BM883" i="2" s="1"/>
  <c r="BM390" i="2" s="1"/>
  <c r="BM882" i="2" a="1"/>
  <c r="BM882" i="2" s="1"/>
  <c r="BM396" i="2" s="1"/>
  <c r="BM884" i="2" a="1"/>
  <c r="BM884" i="2" s="1"/>
  <c r="BM422" i="2" s="1"/>
  <c r="BM881" i="2" a="1"/>
  <c r="BM881" i="2" s="1"/>
  <c r="BM383" i="2" s="1"/>
  <c r="BM886" i="2" a="1"/>
  <c r="BM886" i="2" s="1"/>
  <c r="BM500" i="2" s="1"/>
  <c r="BM885" i="2" a="1"/>
  <c r="BM885" i="2" s="1"/>
  <c r="BM498" i="2" s="1"/>
  <c r="E17" i="15"/>
  <c r="BL26" i="16"/>
  <c r="H17" i="15" s="1"/>
  <c r="BK333" i="2" l="1"/>
  <c r="BS327" i="2"/>
  <c r="BJ333" i="2"/>
  <c r="BU333" i="2"/>
  <c r="BS333" i="2"/>
  <c r="F45" i="13"/>
  <c r="C34" i="13"/>
  <c r="F37" i="13" s="1"/>
  <c r="E28" i="13"/>
  <c r="F38" i="13"/>
  <c r="BV327" i="2"/>
  <c r="BO333" i="2"/>
  <c r="BN327" i="2"/>
  <c r="BK439" i="2"/>
  <c r="BJ434" i="2"/>
  <c r="BJ442" i="2"/>
  <c r="BJ424" i="2"/>
  <c r="BJ444" i="2"/>
  <c r="BJ447" i="2" s="1"/>
  <c r="BJ441" i="2"/>
  <c r="BK436" i="2"/>
  <c r="BQ327" i="2"/>
  <c r="BP327" i="2"/>
  <c r="BU327" i="2"/>
  <c r="BM333" i="2"/>
  <c r="BQ333" i="2"/>
  <c r="BL333" i="2"/>
  <c r="BL327" i="2"/>
  <c r="BM327" i="2"/>
  <c r="BN333" i="2"/>
  <c r="BR333" i="2"/>
  <c r="BJ327" i="2"/>
  <c r="BK327" i="2"/>
  <c r="BO327" i="2"/>
  <c r="BR327" i="2"/>
  <c r="BV333" i="2"/>
  <c r="BT333" i="2"/>
  <c r="BP333" i="2"/>
  <c r="BT327" i="2"/>
  <c r="H38" i="13" l="1"/>
  <c r="F53" i="13"/>
  <c r="G28" i="13"/>
  <c r="E29" i="13"/>
  <c r="H36" i="13"/>
  <c r="F50" i="13" s="1"/>
  <c r="H45" i="13"/>
  <c r="H37" i="13" s="1"/>
  <c r="F51" i="13" s="1"/>
  <c r="BJ540" i="2" a="1"/>
  <c r="BJ540" i="2" s="1"/>
  <c r="BJ425" i="2"/>
  <c r="BJ426" i="2"/>
  <c r="BJ421" i="2" s="1"/>
  <c r="BK434" i="2"/>
  <c r="BK444" i="2"/>
  <c r="BK447" i="2" s="1"/>
  <c r="BK540" i="2" s="1" a="1"/>
  <c r="BK540" i="2" s="1"/>
  <c r="BK442" i="2"/>
  <c r="BK441" i="2"/>
  <c r="BL436" i="2"/>
  <c r="BL424" i="2" s="1"/>
  <c r="BL503" i="2" s="1"/>
  <c r="BK424" i="2"/>
  <c r="BK503" i="2" s="1"/>
  <c r="BL439" i="2"/>
  <c r="BJ503" i="2"/>
  <c r="BJ419" i="2"/>
  <c r="E23" i="13" l="1"/>
  <c r="H29" i="13" s="1"/>
  <c r="G29" i="13"/>
  <c r="BK683" i="2"/>
  <c r="BK693" i="2" s="1"/>
  <c r="BK809" i="2" a="1"/>
  <c r="BK809" i="2" s="1"/>
  <c r="BL442" i="2"/>
  <c r="BM439" i="2"/>
  <c r="BL444" i="2"/>
  <c r="BL447" i="2" s="1"/>
  <c r="BL540" i="2" s="1" a="1"/>
  <c r="BL540" i="2" s="1"/>
  <c r="BM436" i="2"/>
  <c r="BM424" i="2" s="1"/>
  <c r="BM503" i="2" s="1"/>
  <c r="BL441" i="2"/>
  <c r="BL434" i="2"/>
  <c r="BJ511" i="2"/>
  <c r="BJ512" i="2" s="1"/>
  <c r="BJ513" i="2" s="1"/>
  <c r="BJ809" i="2" a="1"/>
  <c r="BJ809" i="2" s="1"/>
  <c r="BJ515" i="2"/>
  <c r="BJ516" i="2" s="1"/>
  <c r="BJ517" i="2" s="1"/>
  <c r="BJ683" i="2"/>
  <c r="BJ420" i="2"/>
  <c r="BJ496" i="2"/>
  <c r="BJ497" i="2"/>
  <c r="BL683" i="2"/>
  <c r="BL809" i="2" a="1"/>
  <c r="BL809" i="2" s="1"/>
  <c r="E19" i="13" l="1"/>
  <c r="E22" i="13" s="1"/>
  <c r="H18" i="13"/>
  <c r="H23" i="13"/>
  <c r="H17" i="13"/>
  <c r="H26" i="13"/>
  <c r="H20" i="13"/>
  <c r="G23" i="13"/>
  <c r="H27" i="13"/>
  <c r="H21" i="13"/>
  <c r="H28" i="13"/>
  <c r="BJ786" i="2"/>
  <c r="BJ789" i="2" s="1"/>
  <c r="BJ791" i="2" s="1"/>
  <c r="BJ693" i="2"/>
  <c r="BJ696" i="2" s="1"/>
  <c r="BJ699" i="2" s="1"/>
  <c r="BM444" i="2"/>
  <c r="BM434" i="2"/>
  <c r="BN434" i="2" s="1"/>
  <c r="BO439" i="2"/>
  <c r="BN436" i="2"/>
  <c r="BM442" i="2"/>
  <c r="BM441" i="2"/>
  <c r="BO436" i="2"/>
  <c r="BO424" i="2" s="1"/>
  <c r="BO503" i="2" s="1"/>
  <c r="BN424" i="2"/>
  <c r="BM683" i="2"/>
  <c r="BM693" i="2" s="1"/>
  <c r="BM809" i="2" a="1"/>
  <c r="BM809" i="2" s="1"/>
  <c r="BL693" i="2"/>
  <c r="BN683" i="2" l="1"/>
  <c r="BN693" i="2" s="1"/>
  <c r="BJ743" i="2"/>
  <c r="BJ751" i="2" s="1"/>
  <c r="BJ761" i="2" s="1"/>
  <c r="BJ793" i="2" s="1"/>
  <c r="G22" i="13"/>
  <c r="H22" i="13"/>
  <c r="C41" i="13"/>
  <c r="F40" i="13" s="1"/>
  <c r="H35" i="13"/>
  <c r="F39" i="13"/>
  <c r="I35" i="14"/>
  <c r="J31" i="14" s="1"/>
  <c r="G19" i="13"/>
  <c r="H19" i="13"/>
  <c r="BO683" i="2"/>
  <c r="BO693" i="2" s="1"/>
  <c r="BO809" i="2" a="1"/>
  <c r="BO809" i="2" s="1"/>
  <c r="BN444" i="2"/>
  <c r="BN445" i="2" s="1"/>
  <c r="BM447" i="2"/>
  <c r="BM540" i="2" s="1" a="1"/>
  <c r="BM540" i="2" s="1"/>
  <c r="BO442" i="2"/>
  <c r="BO441" i="2"/>
  <c r="BO434" i="2"/>
  <c r="BP439" i="2"/>
  <c r="BO444" i="2"/>
  <c r="BO447" i="2" s="1"/>
  <c r="BO540" i="2" s="1" a="1"/>
  <c r="BO540" i="2" s="1"/>
  <c r="BP436" i="2"/>
  <c r="BP424" i="2" s="1"/>
  <c r="BP503" i="2" s="1"/>
  <c r="BN442" i="2"/>
  <c r="BS440" i="2"/>
  <c r="BK698" i="2"/>
  <c r="BN815" i="2" l="1" a="1"/>
  <c r="BN815" i="2" s="1"/>
  <c r="BN503" i="2"/>
  <c r="BN816" i="2" s="1" a="1"/>
  <c r="BN816" i="2" s="1"/>
  <c r="BJ704" i="2"/>
  <c r="BJ520" i="2"/>
  <c r="BJ798" i="2" s="1"/>
  <c r="J42" i="14"/>
  <c r="J33" i="14"/>
  <c r="J44" i="14" s="1"/>
  <c r="BN447" i="2"/>
  <c r="BN540" i="2" s="1" a="1"/>
  <c r="BN540" i="2" s="1"/>
  <c r="BQ436" i="2"/>
  <c r="BP441" i="2"/>
  <c r="BP444" i="2"/>
  <c r="BP447" i="2" s="1"/>
  <c r="BP540" i="2" s="1" a="1"/>
  <c r="BP540" i="2" s="1"/>
  <c r="BP442" i="2"/>
  <c r="BQ439" i="2"/>
  <c r="BP434" i="2"/>
  <c r="BP809" i="2" a="1"/>
  <c r="BP809" i="2" s="1"/>
  <c r="BP683" i="2"/>
  <c r="BN809" i="2" l="1" a="1"/>
  <c r="BN809" i="2" s="1"/>
  <c r="BK529" i="2"/>
  <c r="BK531" i="2" s="1"/>
  <c r="BJ525" i="2"/>
  <c r="BJ541" i="2" s="1"/>
  <c r="D6" i="15"/>
  <c r="D8" i="15" s="1"/>
  <c r="J47" i="14"/>
  <c r="J46" i="14"/>
  <c r="J43" i="14"/>
  <c r="BQ434" i="2"/>
  <c r="BQ442" i="2"/>
  <c r="BQ441" i="2"/>
  <c r="BQ444" i="2"/>
  <c r="BQ447" i="2" s="1"/>
  <c r="BQ540" i="2" s="1" a="1"/>
  <c r="BQ540" i="2" s="1"/>
  <c r="BR436" i="2"/>
  <c r="BR439" i="2"/>
  <c r="BQ424" i="2"/>
  <c r="BQ503" i="2" s="1"/>
  <c r="BP693" i="2"/>
  <c r="D10" i="15" l="1"/>
  <c r="D11" i="15" s="1"/>
  <c r="D15" i="15" s="1"/>
  <c r="D19" i="15" s="1"/>
  <c r="D22" i="15" s="1"/>
  <c r="J5" i="14" s="1"/>
  <c r="J7" i="14" s="1"/>
  <c r="BQ809" i="2" a="1"/>
  <c r="BQ809" i="2" s="1"/>
  <c r="BQ683" i="2"/>
  <c r="BQ693" i="2" s="1"/>
  <c r="BS436" i="2"/>
  <c r="BR441" i="2"/>
  <c r="BR442" i="2"/>
  <c r="BR434" i="2"/>
  <c r="BS434" i="2" s="1"/>
  <c r="BR444" i="2"/>
  <c r="BS444" i="2" s="1"/>
  <c r="BR424" i="2"/>
  <c r="BK534" i="2"/>
  <c r="BK398" i="2"/>
  <c r="BK532" i="2"/>
  <c r="BS445" i="2" l="1"/>
  <c r="J13" i="14"/>
  <c r="J24" i="14" s="1"/>
  <c r="J32" i="14" s="1"/>
  <c r="BR503" i="2"/>
  <c r="BS424" i="2"/>
  <c r="BT440" i="2"/>
  <c r="BS447" i="2"/>
  <c r="BS540" i="2" s="1" a="1"/>
  <c r="BS540" i="2" s="1"/>
  <c r="BS442" i="2"/>
  <c r="BT436" i="2"/>
  <c r="BT424" i="2" s="1"/>
  <c r="BT503" i="2" s="1"/>
  <c r="BR447" i="2"/>
  <c r="BR540" i="2" s="1" a="1"/>
  <c r="BR540" i="2" s="1"/>
  <c r="BK401" i="2"/>
  <c r="D26" i="15" l="1"/>
  <c r="J35" i="14"/>
  <c r="K31" i="14" s="1"/>
  <c r="D25" i="15"/>
  <c r="J27" i="14"/>
  <c r="K23" i="14" s="1"/>
  <c r="D24" i="15"/>
  <c r="J16" i="14"/>
  <c r="K12" i="14" s="1"/>
  <c r="BT809" i="2" a="1"/>
  <c r="BT809" i="2" s="1"/>
  <c r="BT683" i="2"/>
  <c r="BT693" i="2" s="1"/>
  <c r="BU436" i="2"/>
  <c r="BT434" i="2"/>
  <c r="BT444" i="2"/>
  <c r="BT447" i="2" s="1"/>
  <c r="BT540" i="2" s="1" a="1"/>
  <c r="BT540" i="2" s="1"/>
  <c r="BT442" i="2"/>
  <c r="BU440" i="2"/>
  <c r="BR683" i="2"/>
  <c r="BR809" i="2" a="1"/>
  <c r="BR809" i="2" s="1"/>
  <c r="BK403" i="2"/>
  <c r="BK404" i="2"/>
  <c r="BK405" i="2" l="1"/>
  <c r="K14" i="14"/>
  <c r="K42" i="14"/>
  <c r="K25" i="14"/>
  <c r="K33" i="14"/>
  <c r="D27" i="15"/>
  <c r="D30" i="15" s="1"/>
  <c r="D31" i="15" s="1"/>
  <c r="E29" i="15" s="1"/>
  <c r="K4" i="14" s="1"/>
  <c r="BR693" i="2"/>
  <c r="BS683" i="2"/>
  <c r="BU424" i="2"/>
  <c r="BU503" i="2" s="1"/>
  <c r="BV440" i="2"/>
  <c r="BU442" i="2"/>
  <c r="BU444" i="2"/>
  <c r="BU447" i="2" s="1"/>
  <c r="BU540" i="2" s="1" a="1"/>
  <c r="BU540" i="2" s="1"/>
  <c r="BV436" i="2"/>
  <c r="BU434" i="2"/>
  <c r="BK409" i="2"/>
  <c r="BK635" i="2"/>
  <c r="BK638" i="2"/>
  <c r="BS815" i="2" l="1" a="1"/>
  <c r="BS815" i="2" s="1"/>
  <c r="K44" i="14"/>
  <c r="K47" i="14" s="1"/>
  <c r="K43" i="14"/>
  <c r="K46" i="14"/>
  <c r="BV424" i="2"/>
  <c r="BV503" i="2" s="1"/>
  <c r="BV442" i="2"/>
  <c r="BV434" i="2"/>
  <c r="BV444" i="2"/>
  <c r="BV447" i="2" s="1"/>
  <c r="BV540" i="2" s="1" a="1"/>
  <c r="BV540" i="2" s="1"/>
  <c r="BU683" i="2"/>
  <c r="BU693" i="2" s="1"/>
  <c r="BU809" i="2" a="1"/>
  <c r="BU809" i="2" s="1"/>
  <c r="BS503" i="2"/>
  <c r="BS693" i="2"/>
  <c r="BK644" i="2"/>
  <c r="BK786" i="2"/>
  <c r="BK773" i="2"/>
  <c r="BK411" i="2"/>
  <c r="BK419" i="2"/>
  <c r="BK414" i="2"/>
  <c r="E6" i="15" l="1"/>
  <c r="E8" i="15" s="1"/>
  <c r="E10" i="15" s="1"/>
  <c r="E11" i="15" s="1"/>
  <c r="E15" i="15" s="1"/>
  <c r="E19" i="15" s="1"/>
  <c r="E22" i="15" s="1"/>
  <c r="K5" i="14" s="1"/>
  <c r="K7" i="14" s="1"/>
  <c r="K13" i="14" s="1"/>
  <c r="BS816" i="2" a="1"/>
  <c r="BS816" i="2" s="1"/>
  <c r="BS809" i="2" a="1"/>
  <c r="BS809" i="2" s="1"/>
  <c r="BV683" i="2"/>
  <c r="BV693" i="2" s="1"/>
  <c r="BV809" i="2" a="1"/>
  <c r="BV809" i="2" s="1"/>
  <c r="BK425" i="2"/>
  <c r="BK420" i="2" s="1"/>
  <c r="BK789" i="2"/>
  <c r="BK426" i="2"/>
  <c r="BK421" i="2" s="1"/>
  <c r="BK658" i="2"/>
  <c r="BK493" i="2"/>
  <c r="BK780" i="2"/>
  <c r="BK781" i="2" s="1"/>
  <c r="K24" i="14" l="1"/>
  <c r="E24" i="15"/>
  <c r="K16" i="14"/>
  <c r="L12" i="14" s="1"/>
  <c r="BK495" i="2"/>
  <c r="BK696" i="2"/>
  <c r="BK496" i="2"/>
  <c r="BK510" i="2"/>
  <c r="BK511" i="2" s="1"/>
  <c r="BK512" i="2" s="1"/>
  <c r="BK513" i="2" s="1"/>
  <c r="BK791" i="2"/>
  <c r="L14" i="14" l="1"/>
  <c r="K32" i="14"/>
  <c r="E25" i="15"/>
  <c r="K27" i="14"/>
  <c r="L23" i="14" s="1"/>
  <c r="BK497" i="2"/>
  <c r="BK514" i="2"/>
  <c r="BK515" i="2" s="1"/>
  <c r="BK516" i="2" s="1"/>
  <c r="BK517" i="2" s="1"/>
  <c r="BK494" i="2"/>
  <c r="BK743" i="2"/>
  <c r="BK699" i="2"/>
  <c r="E26" i="15" l="1"/>
  <c r="E27" i="15" s="1"/>
  <c r="E30" i="15" s="1"/>
  <c r="E31" i="15" s="1"/>
  <c r="F29" i="15" s="1"/>
  <c r="L4" i="14" s="1"/>
  <c r="K35" i="14"/>
  <c r="L31" i="14" s="1"/>
  <c r="L42" i="14" s="1"/>
  <c r="L25" i="14"/>
  <c r="BL698" i="2"/>
  <c r="BK704" i="2"/>
  <c r="BK751" i="2"/>
  <c r="BK761" i="2" s="1"/>
  <c r="BK793" i="2" s="1"/>
  <c r="BK520" i="2"/>
  <c r="L43" i="14" l="1"/>
  <c r="L46" i="14"/>
  <c r="L33" i="14"/>
  <c r="L44" i="14" s="1"/>
  <c r="BK525" i="2"/>
  <c r="BK541" i="2" s="1"/>
  <c r="BL529" i="2"/>
  <c r="BK798" i="2"/>
  <c r="F6" i="15" l="1"/>
  <c r="F8" i="15" s="1"/>
  <c r="F10" i="15" s="1"/>
  <c r="F11" i="15" s="1"/>
  <c r="F15" i="15" s="1"/>
  <c r="F19" i="15" s="1"/>
  <c r="F22" i="15" s="1"/>
  <c r="L47" i="14"/>
  <c r="BL531" i="2"/>
  <c r="L5" i="14" l="1"/>
  <c r="L7" i="14" s="1"/>
  <c r="BL532" i="2"/>
  <c r="BL398" i="2"/>
  <c r="BL534" i="2"/>
  <c r="L13" i="14" l="1"/>
  <c r="L24" i="14" s="1"/>
  <c r="BL401" i="2"/>
  <c r="L32" i="14" l="1"/>
  <c r="F25" i="15"/>
  <c r="L27" i="14"/>
  <c r="M23" i="14" s="1"/>
  <c r="F24" i="15"/>
  <c r="L16" i="14"/>
  <c r="M12" i="14" s="1"/>
  <c r="BL404" i="2"/>
  <c r="BL403" i="2"/>
  <c r="M25" i="14" l="1"/>
  <c r="M14" i="14"/>
  <c r="F26" i="15"/>
  <c r="F27" i="15" s="1"/>
  <c r="F30" i="15" s="1"/>
  <c r="F31" i="15" s="1"/>
  <c r="G29" i="15" s="1"/>
  <c r="M4" i="14" s="1"/>
  <c r="L35" i="14"/>
  <c r="M31" i="14" s="1"/>
  <c r="M42" i="14" s="1"/>
  <c r="BL405" i="2"/>
  <c r="BL638" i="2"/>
  <c r="M43" i="14" l="1"/>
  <c r="M46" i="14"/>
  <c r="M33" i="14"/>
  <c r="M44" i="14" s="1"/>
  <c r="BL773" i="2"/>
  <c r="BL409" i="2"/>
  <c r="BL635" i="2"/>
  <c r="M47" i="14" l="1"/>
  <c r="G6" i="15"/>
  <c r="G8" i="15" s="1"/>
  <c r="BL780" i="2"/>
  <c r="BL781" i="2" s="1"/>
  <c r="BL644" i="2"/>
  <c r="BL786" i="2"/>
  <c r="BL414" i="2"/>
  <c r="BL411" i="2"/>
  <c r="BL419" i="2"/>
  <c r="G10" i="15" l="1"/>
  <c r="G11" i="15" s="1"/>
  <c r="G15" i="15" s="1"/>
  <c r="G19" i="15" s="1"/>
  <c r="G22" i="15" s="1"/>
  <c r="BL789" i="2"/>
  <c r="BL791" i="2" s="1"/>
  <c r="BL426" i="2"/>
  <c r="BL421" i="2" s="1"/>
  <c r="BL493" i="2"/>
  <c r="BL658" i="2"/>
  <c r="BL425" i="2"/>
  <c r="BL420" i="2" s="1"/>
  <c r="M5" i="14" l="1"/>
  <c r="M7" i="14" s="1"/>
  <c r="BL496" i="2"/>
  <c r="BL510" i="2"/>
  <c r="BL511" i="2" s="1"/>
  <c r="BL512" i="2" s="1"/>
  <c r="BL513" i="2" s="1"/>
  <c r="BL495" i="2"/>
  <c r="BL696" i="2"/>
  <c r="M13" i="14" l="1"/>
  <c r="M24" i="14" s="1"/>
  <c r="BL743" i="2"/>
  <c r="BL699" i="2"/>
  <c r="BL514" i="2"/>
  <c r="BL515" i="2" s="1"/>
  <c r="BL516" i="2" s="1"/>
  <c r="BL517" i="2" s="1"/>
  <c r="BL497" i="2"/>
  <c r="BL494" i="2"/>
  <c r="M32" i="14" l="1"/>
  <c r="G25" i="15"/>
  <c r="M27" i="14"/>
  <c r="N23" i="14" s="1"/>
  <c r="G24" i="15"/>
  <c r="M16" i="14"/>
  <c r="N12" i="14" s="1"/>
  <c r="BL704" i="2"/>
  <c r="BM698" i="2"/>
  <c r="BL520" i="2"/>
  <c r="BL751" i="2"/>
  <c r="BL761" i="2" s="1"/>
  <c r="BL793" i="2" s="1"/>
  <c r="N14" i="14" l="1"/>
  <c r="N25" i="14"/>
  <c r="G26" i="15"/>
  <c r="G27" i="15" s="1"/>
  <c r="G30" i="15" s="1"/>
  <c r="G31" i="15" s="1"/>
  <c r="H29" i="15" s="1"/>
  <c r="N4" i="14" s="1"/>
  <c r="M35" i="14"/>
  <c r="N31" i="14" s="1"/>
  <c r="BM529" i="2"/>
  <c r="BL525" i="2"/>
  <c r="BL541" i="2" s="1"/>
  <c r="BL798" i="2"/>
  <c r="N33" i="14" l="1"/>
  <c r="N44" i="14" s="1"/>
  <c r="N42" i="14"/>
  <c r="BM531" i="2"/>
  <c r="BN529" i="2"/>
  <c r="N46" i="14" l="1"/>
  <c r="N43" i="14"/>
  <c r="G39" i="13" s="1"/>
  <c r="C37" i="13"/>
  <c r="H6" i="15"/>
  <c r="H8" i="15" s="1"/>
  <c r="H10" i="15" s="1"/>
  <c r="H11" i="15" s="1"/>
  <c r="H15" i="15" s="1"/>
  <c r="H19" i="15" s="1"/>
  <c r="H22" i="15" s="1"/>
  <c r="N47" i="14"/>
  <c r="BM398" i="2"/>
  <c r="BM534" i="2"/>
  <c r="BM532" i="2"/>
  <c r="BN531" i="2"/>
  <c r="N5" i="14" l="1"/>
  <c r="N7" i="14" s="1"/>
  <c r="BN532" i="2"/>
  <c r="BN534" i="2"/>
  <c r="BM401" i="2"/>
  <c r="BN398" i="2"/>
  <c r="BN401" i="2" s="1"/>
  <c r="N13" i="14" l="1"/>
  <c r="N24" i="14"/>
  <c r="BM404" i="2"/>
  <c r="BM403" i="2"/>
  <c r="BN403" i="2" s="1"/>
  <c r="BN416" i="2" s="1"/>
  <c r="N32" i="14" l="1"/>
  <c r="H25" i="15"/>
  <c r="N27" i="14"/>
  <c r="H24" i="15"/>
  <c r="N16" i="14"/>
  <c r="BM405" i="2"/>
  <c r="BM638" i="2"/>
  <c r="BN404" i="2"/>
  <c r="BN417" i="2" s="1"/>
  <c r="BN405" i="2" l="1"/>
  <c r="BN810" i="2" s="1"/>
  <c r="H26" i="15"/>
  <c r="H27" i="15" s="1"/>
  <c r="H30" i="15" s="1"/>
  <c r="H31" i="15" s="1"/>
  <c r="C38" i="13" s="1"/>
  <c r="C39" i="13" s="1"/>
  <c r="N35" i="14"/>
  <c r="BN638" i="2"/>
  <c r="BM773" i="2"/>
  <c r="BM409" i="2"/>
  <c r="BM635" i="2"/>
  <c r="BN409" i="2" l="1"/>
  <c r="BN411" i="2" s="1"/>
  <c r="G40" i="13"/>
  <c r="H40" i="13" s="1"/>
  <c r="H39" i="13" s="1"/>
  <c r="F52" i="13" s="1"/>
  <c r="F54" i="13" s="1"/>
  <c r="C42" i="13"/>
  <c r="C45" i="13" s="1"/>
  <c r="BM780" i="2"/>
  <c r="BM781" i="2" s="1"/>
  <c r="BN773" i="2"/>
  <c r="BM644" i="2"/>
  <c r="BN635" i="2"/>
  <c r="BN644" i="2" s="1"/>
  <c r="BM786" i="2"/>
  <c r="BM411" i="2"/>
  <c r="BM414" i="2"/>
  <c r="BM419" i="2"/>
  <c r="BN414" i="2" l="1"/>
  <c r="BN811" i="2" s="1" a="1"/>
  <c r="BN811" i="2" s="1"/>
  <c r="BN419" i="2"/>
  <c r="J56" i="13"/>
  <c r="G52" i="13"/>
  <c r="G53" i="13"/>
  <c r="G51" i="13"/>
  <c r="G50" i="13"/>
  <c r="BM426" i="2"/>
  <c r="BM421" i="2" s="1"/>
  <c r="BN425" i="2"/>
  <c r="BN420" i="2" s="1"/>
  <c r="BM493" i="2"/>
  <c r="BM658" i="2"/>
  <c r="BN812" i="2" a="1"/>
  <c r="BN812" i="2" s="1"/>
  <c r="BM425" i="2"/>
  <c r="BM420" i="2" s="1"/>
  <c r="BM789" i="2"/>
  <c r="BM791" i="2" s="1"/>
  <c r="BN786" i="2"/>
  <c r="BN780" i="2"/>
  <c r="BN781" i="2" s="1"/>
  <c r="BN658" i="2"/>
  <c r="BN493" i="2"/>
  <c r="BN426" i="2" l="1"/>
  <c r="BN421" i="2" s="1"/>
  <c r="BN543" i="2" s="1"/>
  <c r="G54" i="13"/>
  <c r="BN789" i="2"/>
  <c r="BN791" i="2" s="1"/>
  <c r="BN496" i="2"/>
  <c r="BN510" i="2"/>
  <c r="BN511" i="2" s="1"/>
  <c r="BN512" i="2" s="1"/>
  <c r="BN513" i="2" s="1"/>
  <c r="BM495" i="2"/>
  <c r="BM696" i="2"/>
  <c r="BN813" i="2" a="1"/>
  <c r="BN813" i="2" s="1"/>
  <c r="BM496" i="2"/>
  <c r="BM510" i="2"/>
  <c r="BM511" i="2" s="1"/>
  <c r="BM512" i="2" s="1"/>
  <c r="BM513" i="2" s="1"/>
  <c r="BN495" i="2"/>
  <c r="BN696" i="2"/>
  <c r="BN699" i="2" s="1"/>
  <c r="BO698" i="2" l="1"/>
  <c r="BS698" i="2"/>
  <c r="BM743" i="2"/>
  <c r="BM699" i="2"/>
  <c r="BM704" i="2" s="1"/>
  <c r="BM514" i="2"/>
  <c r="BM515" i="2" s="1"/>
  <c r="BM516" i="2" s="1"/>
  <c r="BM517" i="2" s="1"/>
  <c r="BM494" i="2"/>
  <c r="BM497" i="2"/>
  <c r="BN514" i="2"/>
  <c r="BN494" i="2"/>
  <c r="BN497" i="2"/>
  <c r="BN545" i="2" s="1"/>
  <c r="BN546" i="2" l="1"/>
  <c r="BN515" i="2"/>
  <c r="BN516" i="2" s="1"/>
  <c r="BN517" i="2" s="1"/>
  <c r="BM520" i="2"/>
  <c r="BN743" i="2"/>
  <c r="BM751" i="2"/>
  <c r="BM761" i="2" s="1"/>
  <c r="BM793" i="2" s="1"/>
  <c r="BN751" i="2" l="1"/>
  <c r="BN761" i="2" s="1"/>
  <c r="BN793" i="2" s="1"/>
  <c r="BN520" i="2"/>
  <c r="BN704" i="2"/>
  <c r="BM798" i="2"/>
  <c r="BM525" i="2"/>
  <c r="BM541" i="2" s="1"/>
  <c r="BN530" i="2"/>
  <c r="BO529" i="2" l="1"/>
  <c r="BN798" i="2"/>
  <c r="BN525" i="2"/>
  <c r="BN535" i="2" l="1"/>
  <c r="BN541" i="2"/>
  <c r="BN536" i="2"/>
  <c r="BO531" i="2"/>
  <c r="BO534" i="2" l="1"/>
  <c r="BO398" i="2"/>
  <c r="BO532" i="2"/>
  <c r="BN544" i="2"/>
  <c r="BN547" i="2"/>
  <c r="BO401" i="2" l="1"/>
  <c r="BO404" i="2" l="1"/>
  <c r="BO403" i="2"/>
  <c r="BO405" i="2" l="1"/>
  <c r="BO638" i="2"/>
  <c r="BO773" i="2" l="1"/>
  <c r="BO409" i="2"/>
  <c r="BO635" i="2"/>
  <c r="BO644" i="2" l="1"/>
  <c r="BO786" i="2"/>
  <c r="BO419" i="2"/>
  <c r="BO411" i="2"/>
  <c r="BO414" i="2"/>
  <c r="BO780" i="2"/>
  <c r="BO781" i="2" s="1"/>
  <c r="BO426" i="2" l="1"/>
  <c r="BO421" i="2" s="1"/>
  <c r="BO425" i="2"/>
  <c r="BO420" i="2" s="1"/>
  <c r="BO789" i="2"/>
  <c r="BO791" i="2" s="1"/>
  <c r="BO658" i="2"/>
  <c r="BO493" i="2"/>
  <c r="BO495" i="2" l="1"/>
  <c r="BO696" i="2"/>
  <c r="BO496" i="2"/>
  <c r="BO510" i="2"/>
  <c r="BO511" i="2" s="1"/>
  <c r="BO512" i="2" s="1"/>
  <c r="BO513" i="2" s="1"/>
  <c r="BO699" i="2" l="1"/>
  <c r="BO743" i="2"/>
  <c r="BO514" i="2"/>
  <c r="BO515" i="2" s="1"/>
  <c r="BO516" i="2" s="1"/>
  <c r="BO517" i="2" s="1"/>
  <c r="BO497" i="2"/>
  <c r="BO494" i="2"/>
  <c r="BO751" i="2" l="1"/>
  <c r="BO761" i="2" s="1"/>
  <c r="BO793" i="2" s="1"/>
  <c r="BO520" i="2"/>
  <c r="BO704" i="2"/>
  <c r="BP698" i="2"/>
  <c r="BP529" i="2" l="1"/>
  <c r="BO525" i="2"/>
  <c r="BO541" i="2" s="1"/>
  <c r="BO798" i="2"/>
  <c r="BP531" i="2" l="1"/>
  <c r="BP532" i="2" l="1"/>
  <c r="BP534" i="2"/>
  <c r="BP398" i="2"/>
  <c r="BP401" i="2" l="1"/>
  <c r="BP403" i="2" l="1"/>
  <c r="BP404" i="2"/>
  <c r="BP405" i="2" s="1"/>
  <c r="BP409" i="2" l="1"/>
  <c r="BP635" i="2"/>
  <c r="BP638" i="2"/>
  <c r="BP644" i="2" l="1"/>
  <c r="BP786" i="2"/>
  <c r="BP773" i="2"/>
  <c r="BP419" i="2"/>
  <c r="BP411" i="2"/>
  <c r="BP414" i="2"/>
  <c r="BP426" i="2" l="1"/>
  <c r="BP421" i="2" s="1"/>
  <c r="BP780" i="2"/>
  <c r="BP781" i="2" s="1"/>
  <c r="BP425" i="2"/>
  <c r="BP420" i="2" s="1"/>
  <c r="BP789" i="2"/>
  <c r="BP791" i="2" s="1"/>
  <c r="BP493" i="2"/>
  <c r="BP658" i="2"/>
  <c r="BP495" i="2" l="1"/>
  <c r="BP696" i="2"/>
  <c r="BP496" i="2"/>
  <c r="BP510" i="2"/>
  <c r="BP511" i="2" s="1"/>
  <c r="BP512" i="2" s="1"/>
  <c r="BP513" i="2" s="1"/>
  <c r="BP743" i="2" l="1"/>
  <c r="BP699" i="2"/>
  <c r="BP494" i="2"/>
  <c r="BP497" i="2"/>
  <c r="BP514" i="2"/>
  <c r="BP515" i="2" s="1"/>
  <c r="BP516" i="2" s="1"/>
  <c r="BP517" i="2" s="1"/>
  <c r="BQ698" i="2" l="1"/>
  <c r="BP704" i="2"/>
  <c r="BP520" i="2"/>
  <c r="BP751" i="2"/>
  <c r="BP761" i="2" s="1"/>
  <c r="BP793" i="2" s="1"/>
  <c r="BP798" i="2" l="1"/>
  <c r="BQ529" i="2"/>
  <c r="BP525" i="2"/>
  <c r="BP541" i="2" s="1"/>
  <c r="BQ531" i="2" l="1"/>
  <c r="BQ534" i="2" l="1"/>
  <c r="BQ398" i="2"/>
  <c r="BQ532" i="2"/>
  <c r="BQ401" i="2" l="1"/>
  <c r="BQ404" i="2" l="1"/>
  <c r="BQ403" i="2"/>
  <c r="BQ405" i="2" s="1"/>
  <c r="BQ409" i="2" l="1"/>
  <c r="BQ635" i="2"/>
  <c r="BQ638" i="2"/>
  <c r="BQ644" i="2" l="1"/>
  <c r="BQ786" i="2"/>
  <c r="BQ773" i="2"/>
  <c r="BQ411" i="2"/>
  <c r="BQ414" i="2"/>
  <c r="BQ419" i="2"/>
  <c r="BQ425" i="2" l="1"/>
  <c r="BQ420" i="2" s="1"/>
  <c r="BQ426" i="2"/>
  <c r="BQ421" i="2" s="1"/>
  <c r="BQ780" i="2"/>
  <c r="BQ781" i="2" s="1"/>
  <c r="BQ789" i="2"/>
  <c r="BQ493" i="2"/>
  <c r="BQ658" i="2"/>
  <c r="BQ791" i="2" l="1"/>
  <c r="BQ495" i="2"/>
  <c r="BQ696" i="2"/>
  <c r="BQ496" i="2"/>
  <c r="BQ510" i="2"/>
  <c r="BQ511" i="2" s="1"/>
  <c r="BQ512" i="2" s="1"/>
  <c r="BQ513" i="2" s="1"/>
  <c r="BQ743" i="2" l="1"/>
  <c r="BQ699" i="2"/>
  <c r="BQ514" i="2"/>
  <c r="BQ515" i="2" s="1"/>
  <c r="BQ516" i="2" s="1"/>
  <c r="BQ517" i="2" s="1"/>
  <c r="BQ497" i="2"/>
  <c r="BQ494" i="2"/>
  <c r="BQ704" i="2" l="1"/>
  <c r="BR698" i="2"/>
  <c r="BQ520" i="2"/>
  <c r="BQ751" i="2"/>
  <c r="BQ761" i="2" s="1"/>
  <c r="BQ793" i="2" s="1"/>
  <c r="BR529" i="2" l="1"/>
  <c r="BQ798" i="2"/>
  <c r="BQ525" i="2"/>
  <c r="BQ541" i="2" s="1"/>
  <c r="BR531" i="2" l="1"/>
  <c r="BS529" i="2"/>
  <c r="BR534" i="2" l="1"/>
  <c r="BR398" i="2"/>
  <c r="BR532" i="2"/>
  <c r="BS531" i="2"/>
  <c r="BR401" i="2" l="1"/>
  <c r="BS398" i="2"/>
  <c r="BS401" i="2" s="1"/>
  <c r="BS534" i="2"/>
  <c r="BS532" i="2"/>
  <c r="BR404" i="2" l="1"/>
  <c r="BR403" i="2"/>
  <c r="BS403" i="2" s="1"/>
  <c r="BS416" i="2" s="1"/>
  <c r="BR405" i="2" l="1"/>
  <c r="BR635" i="2" s="1"/>
  <c r="BR638" i="2"/>
  <c r="BS404" i="2"/>
  <c r="BS417" i="2" s="1"/>
  <c r="BR409" i="2" l="1"/>
  <c r="BS405" i="2"/>
  <c r="BR414" i="2"/>
  <c r="BR411" i="2"/>
  <c r="BR419" i="2"/>
  <c r="BS638" i="2"/>
  <c r="BR773" i="2"/>
  <c r="BR644" i="2"/>
  <c r="BS635" i="2"/>
  <c r="BR786" i="2"/>
  <c r="BS644" i="2" l="1"/>
  <c r="BR493" i="2"/>
  <c r="BR658" i="2"/>
  <c r="BS812" i="2" a="1"/>
  <c r="BS812" i="2" s="1"/>
  <c r="BR789" i="2"/>
  <c r="BS786" i="2"/>
  <c r="BR426" i="2"/>
  <c r="BR421" i="2" s="1"/>
  <c r="BS493" i="2"/>
  <c r="BS658" i="2"/>
  <c r="BS773" i="2"/>
  <c r="BR780" i="2"/>
  <c r="BR781" i="2" s="1"/>
  <c r="BR425" i="2"/>
  <c r="BR420" i="2" s="1"/>
  <c r="BS810" i="2"/>
  <c r="BS409" i="2"/>
  <c r="BS495" i="2" l="1"/>
  <c r="BS696" i="2"/>
  <c r="BS699" i="2" s="1"/>
  <c r="BS510" i="2"/>
  <c r="BS511" i="2" s="1"/>
  <c r="BS512" i="2" s="1"/>
  <c r="BS513" i="2" s="1"/>
  <c r="BR495" i="2"/>
  <c r="BR696" i="2"/>
  <c r="BS813" i="2" a="1"/>
  <c r="BS813" i="2" s="1"/>
  <c r="BS414" i="2"/>
  <c r="BS419" i="2"/>
  <c r="BS411" i="2"/>
  <c r="BS780" i="2"/>
  <c r="BS781" i="2" s="1"/>
  <c r="BS789" i="2"/>
  <c r="BR791" i="2"/>
  <c r="BR496" i="2"/>
  <c r="BR510" i="2"/>
  <c r="BR511" i="2" s="1"/>
  <c r="BR512" i="2" s="1"/>
  <c r="BR513" i="2" s="1"/>
  <c r="BS791" i="2" l="1"/>
  <c r="BS425" i="2"/>
  <c r="BS496" i="2" s="1"/>
  <c r="BR497" i="2"/>
  <c r="BR514" i="2"/>
  <c r="BR515" i="2" s="1"/>
  <c r="BR516" i="2" s="1"/>
  <c r="BR517" i="2" s="1"/>
  <c r="BR494" i="2"/>
  <c r="BT698" i="2"/>
  <c r="BS426" i="2"/>
  <c r="BS421" i="2" s="1"/>
  <c r="BS543" i="2" s="1"/>
  <c r="BS811" i="2" a="1"/>
  <c r="BS811" i="2" s="1"/>
  <c r="BR743" i="2"/>
  <c r="BR699" i="2"/>
  <c r="BR704" i="2" s="1"/>
  <c r="BS514" i="2"/>
  <c r="BS497" i="2"/>
  <c r="BS545" i="2" s="1"/>
  <c r="BS494" i="2"/>
  <c r="BS420" i="2" l="1"/>
  <c r="BS515" i="2"/>
  <c r="BS516" i="2" s="1"/>
  <c r="BS517" i="2" s="1"/>
  <c r="BS546" i="2"/>
  <c r="BS743" i="2"/>
  <c r="BR751" i="2"/>
  <c r="BR761" i="2" s="1"/>
  <c r="BR793" i="2" s="1"/>
  <c r="BR520" i="2"/>
  <c r="BR525" i="2" l="1"/>
  <c r="BR541" i="2" s="1"/>
  <c r="BR798" i="2"/>
  <c r="BS530" i="2"/>
  <c r="BS751" i="2"/>
  <c r="BS761" i="2" s="1"/>
  <c r="BS793" i="2" s="1"/>
  <c r="BS520" i="2"/>
  <c r="BS704" i="2"/>
  <c r="BS798" i="2" l="1"/>
  <c r="BS525" i="2"/>
  <c r="BT529" i="2"/>
  <c r="BT531" i="2" s="1"/>
  <c r="BS535" i="2" l="1"/>
  <c r="BS541" i="2"/>
  <c r="BS536" i="2"/>
  <c r="BT534" i="2"/>
  <c r="BT532" i="2"/>
  <c r="BT398" i="2"/>
  <c r="BT401" i="2" s="1"/>
  <c r="BT404" i="2" l="1"/>
  <c r="BT638" i="2" s="1"/>
  <c r="BT773" i="2" s="1"/>
  <c r="BT403" i="2"/>
  <c r="BS544" i="2"/>
  <c r="BS547" i="2"/>
  <c r="BT405" i="2" l="1"/>
  <c r="BT409" i="2"/>
  <c r="BT635" i="2"/>
  <c r="BT780" i="2"/>
  <c r="BT781" i="2" s="1"/>
  <c r="BT644" i="2" l="1"/>
  <c r="BT786" i="2"/>
  <c r="BT414" i="2"/>
  <c r="BT419" i="2"/>
  <c r="BT411" i="2"/>
  <c r="BT426" i="2" l="1"/>
  <c r="BT421" i="2" s="1"/>
  <c r="BT543" i="2" s="1"/>
  <c r="BT425" i="2"/>
  <c r="BT420" i="2" s="1"/>
  <c r="BT789" i="2"/>
  <c r="BT791" i="2" s="1"/>
  <c r="BT493" i="2"/>
  <c r="BT658" i="2"/>
  <c r="BT496" i="2" l="1"/>
  <c r="BT510" i="2"/>
  <c r="BT511" i="2" s="1"/>
  <c r="BT512" i="2" s="1"/>
  <c r="BT513" i="2" s="1"/>
  <c r="BT495" i="2"/>
  <c r="BT696" i="2"/>
  <c r="BT699" i="2" l="1"/>
  <c r="BT743" i="2"/>
  <c r="BT497" i="2"/>
  <c r="BT545" i="2" s="1"/>
  <c r="BT514" i="2"/>
  <c r="BT494" i="2"/>
  <c r="BT515" i="2" l="1"/>
  <c r="BT516" i="2" s="1"/>
  <c r="BT517" i="2" s="1"/>
  <c r="BT546" i="2"/>
  <c r="BT751" i="2"/>
  <c r="BT761" i="2" s="1"/>
  <c r="BT793" i="2" s="1"/>
  <c r="BT520" i="2"/>
  <c r="BT704" i="2"/>
  <c r="BU698" i="2"/>
  <c r="BU529" i="2" l="1"/>
  <c r="BU531" i="2" s="1"/>
  <c r="BT525" i="2"/>
  <c r="BT798" i="2"/>
  <c r="BT535" i="2" l="1"/>
  <c r="BT536" i="2"/>
  <c r="BT541" i="2"/>
  <c r="BU398" i="2"/>
  <c r="BU401" i="2" s="1"/>
  <c r="BU532" i="2"/>
  <c r="BU534" i="2"/>
  <c r="BT544" i="2" l="1"/>
  <c r="BT547" i="2"/>
  <c r="BU404" i="2"/>
  <c r="BU638" i="2" s="1"/>
  <c r="BU773" i="2" s="1"/>
  <c r="BU403" i="2"/>
  <c r="BU405" i="2" s="1"/>
  <c r="BU409" i="2" l="1"/>
  <c r="BU635" i="2"/>
  <c r="BU780" i="2"/>
  <c r="BU781" i="2" s="1"/>
  <c r="BU644" i="2" l="1"/>
  <c r="BU786" i="2"/>
  <c r="BU411" i="2"/>
  <c r="BU419" i="2"/>
  <c r="BU414" i="2"/>
  <c r="BU426" i="2" l="1"/>
  <c r="BU421" i="2" s="1"/>
  <c r="BU543" i="2" s="1"/>
  <c r="BU425" i="2"/>
  <c r="BU420" i="2" s="1"/>
  <c r="BU789" i="2"/>
  <c r="BU791" i="2" s="1"/>
  <c r="BU658" i="2"/>
  <c r="BU493" i="2"/>
  <c r="BU496" i="2" l="1"/>
  <c r="BU510" i="2"/>
  <c r="BU511" i="2" s="1"/>
  <c r="BU512" i="2" s="1"/>
  <c r="BU513" i="2" s="1"/>
  <c r="BU495" i="2"/>
  <c r="BU696" i="2"/>
  <c r="BU743" i="2" l="1"/>
  <c r="BU699" i="2"/>
  <c r="BU497" i="2"/>
  <c r="BU545" i="2" s="1"/>
  <c r="BU514" i="2"/>
  <c r="BU494" i="2"/>
  <c r="BU515" i="2" l="1"/>
  <c r="BU516" i="2" s="1"/>
  <c r="BU517" i="2" s="1"/>
  <c r="BU546" i="2"/>
  <c r="BU704" i="2"/>
  <c r="BV698" i="2"/>
  <c r="BU751" i="2"/>
  <c r="BU761" i="2" s="1"/>
  <c r="BU793" i="2" s="1"/>
  <c r="BU520" i="2"/>
  <c r="BU525" i="2" l="1"/>
  <c r="BV529" i="2"/>
  <c r="BV531" i="2" s="1"/>
  <c r="BU798" i="2"/>
  <c r="BV398" i="2" l="1"/>
  <c r="BV401" i="2" s="1"/>
  <c r="BV532" i="2"/>
  <c r="BV534" i="2"/>
  <c r="BU536" i="2"/>
  <c r="BU535" i="2"/>
  <c r="BU541" i="2"/>
  <c r="BU544" i="2" l="1"/>
  <c r="BU547" i="2"/>
  <c r="BV404" i="2"/>
  <c r="BV638" i="2" s="1"/>
  <c r="BV773" i="2" s="1"/>
  <c r="BV780" i="2" s="1"/>
  <c r="BV781" i="2" s="1"/>
  <c r="BV403" i="2"/>
  <c r="BV405" i="2" l="1"/>
  <c r="BV635" i="2"/>
  <c r="BV409" i="2"/>
  <c r="BV414" i="2" l="1"/>
  <c r="BV419" i="2"/>
  <c r="BV411" i="2"/>
  <c r="BV644" i="2"/>
  <c r="BV786" i="2"/>
  <c r="BV789" i="2" s="1"/>
  <c r="BV791" i="2" s="1"/>
  <c r="BV493" i="2" l="1"/>
  <c r="BV658" i="2"/>
  <c r="BV425" i="2"/>
  <c r="BV420" i="2" s="1"/>
  <c r="BV426" i="2"/>
  <c r="BV421" i="2" s="1"/>
  <c r="BV543" i="2" s="1"/>
  <c r="BV495" i="2" l="1"/>
  <c r="BV696" i="2"/>
  <c r="BV496" i="2"/>
  <c r="BV510" i="2"/>
  <c r="BV511" i="2" s="1"/>
  <c r="BV512" i="2" s="1"/>
  <c r="BV513" i="2" s="1"/>
  <c r="BV743" i="2" l="1"/>
  <c r="BV699" i="2"/>
  <c r="BV704" i="2" s="1"/>
  <c r="BV494" i="2"/>
  <c r="BV514" i="2"/>
  <c r="BV497" i="2"/>
  <c r="BV545" i="2" s="1"/>
  <c r="BV546" i="2" l="1"/>
  <c r="BV515" i="2"/>
  <c r="BV516" i="2" s="1"/>
  <c r="BV517" i="2" s="1"/>
  <c r="BV520" i="2"/>
  <c r="BV751" i="2"/>
  <c r="BV761" i="2" s="1"/>
  <c r="BV793" i="2" s="1"/>
  <c r="BV798" i="2" l="1"/>
  <c r="BV525" i="2"/>
  <c r="BV536" i="2" l="1"/>
  <c r="BV541" i="2"/>
  <c r="BV535" i="2"/>
  <c r="BV544" i="2" l="1"/>
  <c r="BV54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31" authorId="0" shapeId="0" xr:uid="{E7285657-0A94-4945-A672-3AF726B7EBE5}">
      <text>
        <r>
          <rPr>
            <sz val="11"/>
            <color rgb="FF000000"/>
            <rFont val="Aptos Narrow"/>
            <family val="2"/>
            <scheme val="minor"/>
          </rPr>
          <t>======
ID#AAABMFKNC4E
Canalyst (RE)    (2024-04-17 02:07:42)
For the quarter, 17% was total off-premise, 35% of that was delivery; 13%, online ordering; and phone-in, walk-in about -- right around 50%</t>
        </r>
      </text>
    </comment>
    <comment ref="AN31" authorId="0" shapeId="0" xr:uid="{CCD43EB7-E789-4732-A87D-3FDB29FD7368}">
      <text>
        <r>
          <rPr>
            <sz val="11"/>
            <color rgb="FF000000"/>
            <rFont val="Aptos Narrow"/>
            <family val="2"/>
            <scheme val="minor"/>
          </rPr>
          <t>======
ID#AAABMFKNDL0
Canalyst (RZ)    (2024-04-17 02:07:42)
reflecting the acceleration that began from the social distancing and shelter-in-place orders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Z18" authorId="0" shapeId="0" xr:uid="{E0A8202D-E383-4253-B49F-E853747B10EE}">
      <text>
        <r>
          <rPr>
            <sz val="11"/>
            <color rgb="FF000000"/>
            <rFont val="Aptos Narrow"/>
            <family val="2"/>
            <scheme val="minor"/>
          </rPr>
          <t>======
ID#AAABMFKNDKI
Canalyst (SA)    (2024-04-17 02:07:42)
Reported as 8 in the FY-2023 10-K as it includes one restaurant opened in Mexico subsequent to quarter-end</t>
        </r>
      </text>
    </comment>
    <comment ref="AZ30" authorId="0" shapeId="0" xr:uid="{6064DD6A-05C0-4A4B-9F59-4DBAC8C1CB92}">
      <text>
        <r>
          <rPr>
            <sz val="11"/>
            <color rgb="FF000000"/>
            <rFont val="Aptos Narrow"/>
            <family val="2"/>
            <scheme val="minor"/>
          </rPr>
          <t>======
ID#AAABMFKNC5A
Canalyst (SA)    (2024-04-17 02:07:42)
Reported as 33 in the F-2023 10-K as it includes one restaurant opened in Mexico subsequent to quarter-end</t>
        </r>
      </text>
    </comment>
    <comment ref="AY31" authorId="0" shapeId="0" xr:uid="{8F1827BD-46D9-419C-A0AA-0D953FA2D762}">
      <text>
        <r>
          <rPr>
            <sz val="11"/>
            <color rgb="FF000000"/>
            <rFont val="Aptos Narrow"/>
            <family val="2"/>
            <scheme val="minor"/>
          </rPr>
          <t>======
ID#AAABMFKNC5M
Canalyst (JD)    (2024-04-17 02:07:42)
Two Cheesecake Factory restaurants opened internationally under licensing agreements in China and Thailand.</t>
        </r>
      </text>
    </comment>
    <comment ref="AZ31" authorId="0" shapeId="0" xr:uid="{0B50138E-E3D5-40BF-AE56-4088B3B0B0E0}">
      <text>
        <r>
          <rPr>
            <sz val="11"/>
            <color rgb="FF000000"/>
            <rFont val="Aptos Narrow"/>
            <family val="2"/>
            <scheme val="minor"/>
          </rPr>
          <t>======
ID#AAABMFKNC7Q
Canalyst (JD)    (2024-04-17 02:07:42)
Two Cheesecake Factory restaurants opened internationally under licensing agreements in China and Thailand.</t>
        </r>
      </text>
    </comment>
    <comment ref="B34" authorId="0" shapeId="0" xr:uid="{EA97A9EE-08A1-456E-B135-F37D62FD6A17}">
      <text>
        <r>
          <rPr>
            <sz val="11"/>
            <color rgb="FF000000"/>
            <rFont val="Aptos Narrow"/>
            <family val="2"/>
            <scheme val="minor"/>
          </rPr>
          <t>======
ID#AAABMFKNDHE
Canalyst (RE)    (2024-04-17 02:07:42)
Consolidated estimate of royalty and franchise fee as a % of system sales</t>
        </r>
      </text>
    </comment>
    <comment ref="H34" authorId="0" shapeId="0" xr:uid="{9EBCBF6F-889A-4A9F-92B4-F54ED7251EF1}">
      <text>
        <r>
          <rPr>
            <sz val="11"/>
            <color rgb="FF000000"/>
            <rFont val="Aptos Narrow"/>
            <family val="2"/>
            <scheme val="minor"/>
          </rPr>
          <t>======
ID#AAABMFKNDPY
Canalyst    (2024-04-17 02:07:42)
Assumption by Canalyst</t>
        </r>
      </text>
    </comment>
    <comment ref="I34" authorId="0" shapeId="0" xr:uid="{51365209-AC32-4079-8E2F-54598461FCDA}">
      <text>
        <r>
          <rPr>
            <sz val="11"/>
            <color rgb="FF000000"/>
            <rFont val="Aptos Narrow"/>
            <family val="2"/>
            <scheme val="minor"/>
          </rPr>
          <t>======
ID#AAABMFKNDUw
Canalyst    (2024-04-17 02:07:42)
Assumption by Canalyst</t>
        </r>
      </text>
    </comment>
    <comment ref="J34" authorId="0" shapeId="0" xr:uid="{164709FB-DBC1-431B-A8F9-70C7F0FB35DA}">
      <text>
        <r>
          <rPr>
            <sz val="11"/>
            <color rgb="FF000000"/>
            <rFont val="Aptos Narrow"/>
            <family val="2"/>
            <scheme val="minor"/>
          </rPr>
          <t>======
ID#AAABMFKNDWA
Canalyst    (2024-04-17 02:07:42)
Assumption by Canalyst</t>
        </r>
      </text>
    </comment>
    <comment ref="K34" authorId="0" shapeId="0" xr:uid="{D52B3A5B-D128-4D21-9D30-20B809D28FB0}">
      <text>
        <r>
          <rPr>
            <sz val="11"/>
            <color rgb="FF000000"/>
            <rFont val="Aptos Narrow"/>
            <family val="2"/>
            <scheme val="minor"/>
          </rPr>
          <t>======
ID#AAABMFKNDQM
Canalyst    (2024-04-17 02:07:42)
Assumption by Canalyst</t>
        </r>
      </text>
    </comment>
    <comment ref="M34" authorId="0" shapeId="0" xr:uid="{5A6FAD8E-CD75-43C8-883F-2B5F3376B214}">
      <text>
        <r>
          <rPr>
            <sz val="11"/>
            <color rgb="FF000000"/>
            <rFont val="Aptos Narrow"/>
            <family val="2"/>
            <scheme val="minor"/>
          </rPr>
          <t>======
ID#AAABMFKNDZQ
Canalyst    (2024-04-17 02:07:42)
Assumption by Canalyst</t>
        </r>
      </text>
    </comment>
    <comment ref="N34" authorId="0" shapeId="0" xr:uid="{D110702C-04AA-44AF-B2ED-54604F2BC063}">
      <text>
        <r>
          <rPr>
            <sz val="11"/>
            <color rgb="FF000000"/>
            <rFont val="Aptos Narrow"/>
            <family val="2"/>
            <scheme val="minor"/>
          </rPr>
          <t>======
ID#AAABMFKNDZs
Canalyst    (2024-04-17 02:07:43)
Assumption by Canalyst</t>
        </r>
      </text>
    </comment>
    <comment ref="O34" authorId="0" shapeId="0" xr:uid="{322601B1-138E-477C-8EED-EC1221FD33B8}">
      <text>
        <r>
          <rPr>
            <sz val="11"/>
            <color rgb="FF000000"/>
            <rFont val="Aptos Narrow"/>
            <family val="2"/>
            <scheme val="minor"/>
          </rPr>
          <t>======
ID#AAABMFKNDWc
Canalyst    (2024-04-17 02:07:42)
Assumption by Canalyst</t>
        </r>
      </text>
    </comment>
    <comment ref="P34" authorId="0" shapeId="0" xr:uid="{A179C3D2-01DB-49F5-8E3C-C79039D27467}">
      <text>
        <r>
          <rPr>
            <sz val="11"/>
            <color rgb="FF000000"/>
            <rFont val="Aptos Narrow"/>
            <family val="2"/>
            <scheme val="minor"/>
          </rPr>
          <t>======
ID#AAABMFKNDJo
Canalyst    (2024-04-17 02:07:42)
Assumption by Canalyst</t>
        </r>
      </text>
    </comment>
    <comment ref="R34" authorId="0" shapeId="0" xr:uid="{81EB8294-EFF0-4DC2-8D3C-8ECE7B6EB326}">
      <text>
        <r>
          <rPr>
            <sz val="11"/>
            <color rgb="FF000000"/>
            <rFont val="Aptos Narrow"/>
            <family val="2"/>
            <scheme val="minor"/>
          </rPr>
          <t>======
ID#AAABMFKNDIU
Canalyst    (2024-04-17 02:07:42)
Assumption by Canalyst</t>
        </r>
      </text>
    </comment>
    <comment ref="S34" authorId="0" shapeId="0" xr:uid="{7606C4E5-4493-4248-9328-45EF277663E1}">
      <text>
        <r>
          <rPr>
            <sz val="11"/>
            <color rgb="FF000000"/>
            <rFont val="Aptos Narrow"/>
            <family val="2"/>
            <scheme val="minor"/>
          </rPr>
          <t>======
ID#AAABMFKNDVg
Canalyst    (2024-04-17 02:07:42)
Assumption by Canalyst</t>
        </r>
      </text>
    </comment>
    <comment ref="T34" authorId="0" shapeId="0" xr:uid="{F2151EA3-ED95-4393-923A-3C176BAABBCB}">
      <text>
        <r>
          <rPr>
            <sz val="11"/>
            <color rgb="FF000000"/>
            <rFont val="Aptos Narrow"/>
            <family val="2"/>
            <scheme val="minor"/>
          </rPr>
          <t>======
ID#AAABMFKNDPA
Canalyst    (2024-04-17 02:07:42)
Assumption by Canalyst</t>
        </r>
      </text>
    </comment>
    <comment ref="U34" authorId="0" shapeId="0" xr:uid="{D0F02A7D-599B-4913-BDB6-83433501359F}">
      <text>
        <r>
          <rPr>
            <sz val="11"/>
            <color rgb="FF000000"/>
            <rFont val="Aptos Narrow"/>
            <family val="2"/>
            <scheme val="minor"/>
          </rPr>
          <t>======
ID#AAABMFKNDA4
Canalyst    (2024-04-17 02:07:42)
Assumption by Canalyst</t>
        </r>
      </text>
    </comment>
    <comment ref="W34" authorId="0" shapeId="0" xr:uid="{E5BABC53-1433-4BBE-926E-9D3CFEBBCFDE}">
      <text>
        <r>
          <rPr>
            <sz val="11"/>
            <color rgb="FF000000"/>
            <rFont val="Aptos Narrow"/>
            <family val="2"/>
            <scheme val="minor"/>
          </rPr>
          <t>======
ID#AAABMEc8ZH4
Canalyst    (2024-04-17 02:07:42)
Assumption by Canalyst</t>
        </r>
      </text>
    </comment>
    <comment ref="X34" authorId="0" shapeId="0" xr:uid="{567B8B36-6DDE-499E-93DE-7C9AD27F4836}">
      <text>
        <r>
          <rPr>
            <sz val="11"/>
            <color rgb="FF000000"/>
            <rFont val="Aptos Narrow"/>
            <family val="2"/>
            <scheme val="minor"/>
          </rPr>
          <t>======
ID#AAABMFKNC88
Canalyst    (2024-04-17 02:07:42)
Assumption by Canalyst</t>
        </r>
      </text>
    </comment>
    <comment ref="Y34" authorId="0" shapeId="0" xr:uid="{AB464388-09F9-4244-BFDA-80ADEDF778BE}">
      <text>
        <r>
          <rPr>
            <sz val="11"/>
            <color rgb="FF000000"/>
            <rFont val="Aptos Narrow"/>
            <family val="2"/>
            <scheme val="minor"/>
          </rPr>
          <t>======
ID#AAABMFKNDEE
Canalyst    (2024-04-17 02:07:42)
Assumption by Canalyst</t>
        </r>
      </text>
    </comment>
    <comment ref="Z34" authorId="0" shapeId="0" xr:uid="{E200A320-5450-42AE-928D-B2A60EAEFCDD}">
      <text>
        <r>
          <rPr>
            <sz val="11"/>
            <color rgb="FF000000"/>
            <rFont val="Aptos Narrow"/>
            <family val="2"/>
            <scheme val="minor"/>
          </rPr>
          <t>======
ID#AAABMFKNDRg
Canalyst    (2024-04-17 02:07:42)
Assumption by Canalyst</t>
        </r>
      </text>
    </comment>
    <comment ref="AB34" authorId="0" shapeId="0" xr:uid="{F27B6977-BDA0-418C-A644-16372D9C4AC0}">
      <text>
        <r>
          <rPr>
            <sz val="11"/>
            <color rgb="FF000000"/>
            <rFont val="Aptos Narrow"/>
            <family val="2"/>
            <scheme val="minor"/>
          </rPr>
          <t>======
ID#AAABMFKNDB4
Canalyst    (2024-04-17 02:07:42)
Assumption by Canalyst</t>
        </r>
      </text>
    </comment>
    <comment ref="AC34" authorId="0" shapeId="0" xr:uid="{BB550E80-F680-42B2-A27A-DFF0A7D89D39}">
      <text>
        <r>
          <rPr>
            <sz val="11"/>
            <color rgb="FF000000"/>
            <rFont val="Aptos Narrow"/>
            <family val="2"/>
            <scheme val="minor"/>
          </rPr>
          <t>======
ID#AAABMFKNDK8
Canalyst    (2024-04-17 02:07:42)
Assumption by Canalyst</t>
        </r>
      </text>
    </comment>
    <comment ref="AD34" authorId="0" shapeId="0" xr:uid="{9F8F5885-22CF-475B-A8E3-BA904A2031E1}">
      <text>
        <r>
          <rPr>
            <sz val="11"/>
            <color rgb="FF000000"/>
            <rFont val="Aptos Narrow"/>
            <family val="2"/>
            <scheme val="minor"/>
          </rPr>
          <t>======
ID#AAABMFKNDH8
Canalyst    (2024-04-17 02:07:42)
Assumption by Canalyst</t>
        </r>
      </text>
    </comment>
    <comment ref="AE34" authorId="0" shapeId="0" xr:uid="{95F4B1D8-7346-40BB-915A-AE1CAD394DCF}">
      <text>
        <r>
          <rPr>
            <sz val="11"/>
            <color rgb="FF000000"/>
            <rFont val="Aptos Narrow"/>
            <family val="2"/>
            <scheme val="minor"/>
          </rPr>
          <t>======
ID#AAABMFKNDXs
Canalyst    (2024-04-17 02:07:42)
Assumption by Canalyst</t>
        </r>
      </text>
    </comment>
    <comment ref="AG34" authorId="0" shapeId="0" xr:uid="{51650AB7-7088-4156-B122-94F5C23DDBF8}">
      <text>
        <r>
          <rPr>
            <sz val="11"/>
            <color rgb="FF000000"/>
            <rFont val="Aptos Narrow"/>
            <family val="2"/>
            <scheme val="minor"/>
          </rPr>
          <t>======
ID#AAABMFKNDQg
Canalyst    (2024-04-17 02:07:42)
Assumption by Canalyst</t>
        </r>
      </text>
    </comment>
    <comment ref="AH34" authorId="0" shapeId="0" xr:uid="{617A34CC-74DB-4D4A-B291-D602E0C7AC0F}">
      <text>
        <r>
          <rPr>
            <sz val="11"/>
            <color rgb="FF000000"/>
            <rFont val="Aptos Narrow"/>
            <family val="2"/>
            <scheme val="minor"/>
          </rPr>
          <t>======
ID#AAABMFKNDBs
Canalyst    (2024-04-17 02:07:42)
Assumption by Canalyst</t>
        </r>
      </text>
    </comment>
    <comment ref="AI34" authorId="0" shapeId="0" xr:uid="{C6FF17CA-1980-430A-9BDA-3AC851E1F321}">
      <text>
        <r>
          <rPr>
            <sz val="11"/>
            <color rgb="FF000000"/>
            <rFont val="Aptos Narrow"/>
            <family val="2"/>
            <scheme val="minor"/>
          </rPr>
          <t>======
ID#AAABMFKNC-0
Canalyst    (2024-04-17 02:07:42)
Assumption by Canalyst</t>
        </r>
      </text>
    </comment>
    <comment ref="AJ34" authorId="0" shapeId="0" xr:uid="{25930202-093F-482F-A4FE-A4EF25600E8B}">
      <text>
        <r>
          <rPr>
            <sz val="11"/>
            <color rgb="FF000000"/>
            <rFont val="Aptos Narrow"/>
            <family val="2"/>
            <scheme val="minor"/>
          </rPr>
          <t>======
ID#AAABMFKNDD0
Canalyst    (2024-04-17 02:07:42)
Assumption by Canalyst</t>
        </r>
      </text>
    </comment>
    <comment ref="AL34" authorId="0" shapeId="0" xr:uid="{E2BEEFE6-E666-4319-A694-9CBC2CE4FC9D}">
      <text>
        <r>
          <rPr>
            <sz val="11"/>
            <color rgb="FF000000"/>
            <rFont val="Aptos Narrow"/>
            <family val="2"/>
            <scheme val="minor"/>
          </rPr>
          <t>======
ID#AAABMFKNDIA
Canalyst    (2024-04-17 02:07:42)
Assumption by Canalyst</t>
        </r>
      </text>
    </comment>
    <comment ref="AM34" authorId="0" shapeId="0" xr:uid="{A424BB6E-312A-44B3-9DBE-F81B26C5034B}">
      <text>
        <r>
          <rPr>
            <sz val="11"/>
            <color rgb="FF000000"/>
            <rFont val="Aptos Narrow"/>
            <family val="2"/>
            <scheme val="minor"/>
          </rPr>
          <t>======
ID#AAABMFKNDTk
Canalyst    (2024-04-17 02:07:42)
Assumption by Canalyst</t>
        </r>
      </text>
    </comment>
    <comment ref="AN34" authorId="0" shapeId="0" xr:uid="{5EEB93D2-F20B-481A-A015-B9E7B8F5F244}">
      <text>
        <r>
          <rPr>
            <sz val="11"/>
            <color rgb="FF000000"/>
            <rFont val="Aptos Narrow"/>
            <family val="2"/>
            <scheme val="minor"/>
          </rPr>
          <t>======
ID#AAABMEc8ZIk
Canalyst    (2024-04-17 02:07:42)
Assumption by Canalyst</t>
        </r>
      </text>
    </comment>
    <comment ref="AO34" authorId="0" shapeId="0" xr:uid="{7E5CBC76-19B0-4BF5-8BC0-E3ADA793012D}">
      <text>
        <r>
          <rPr>
            <sz val="11"/>
            <color rgb="FF000000"/>
            <rFont val="Aptos Narrow"/>
            <family val="2"/>
            <scheme val="minor"/>
          </rPr>
          <t>======
ID#AAABMFKNDDs
Canalyst    (2024-04-17 02:07:42)
Assumption by Canalyst</t>
        </r>
      </text>
    </comment>
    <comment ref="AQ34" authorId="0" shapeId="0" xr:uid="{538EB5BA-DFC9-45FA-BBFA-D1F1077CB7C8}">
      <text>
        <r>
          <rPr>
            <sz val="11"/>
            <color rgb="FF000000"/>
            <rFont val="Aptos Narrow"/>
            <family val="2"/>
            <scheme val="minor"/>
          </rPr>
          <t>======
ID#AAABMFKNDKU
Canalyst    (2024-04-17 02:07:42)
Assumption by Canalyst</t>
        </r>
      </text>
    </comment>
    <comment ref="AR34" authorId="0" shapeId="0" xr:uid="{A8A7B99C-B5ED-4A98-B685-EA32B988F9C9}">
      <text>
        <r>
          <rPr>
            <sz val="11"/>
            <color rgb="FF000000"/>
            <rFont val="Aptos Narrow"/>
            <family val="2"/>
            <scheme val="minor"/>
          </rPr>
          <t>======
ID#AAABMEc8ZJE
Canalyst    (2024-04-17 02:07:42)
Assumption by Canalyst</t>
        </r>
      </text>
    </comment>
    <comment ref="AS34" authorId="0" shapeId="0" xr:uid="{5D1FB535-03FA-4976-9729-FA3E979088C1}">
      <text>
        <r>
          <rPr>
            <sz val="11"/>
            <color rgb="FF000000"/>
            <rFont val="Aptos Narrow"/>
            <family val="2"/>
            <scheme val="minor"/>
          </rPr>
          <t>======
ID#AAABMFKNDMw
Canalyst    (2024-04-17 02:07:42)
Assumption by Canalyst</t>
        </r>
      </text>
    </comment>
    <comment ref="AT34" authorId="0" shapeId="0" xr:uid="{20D634F2-3455-4AAA-9C20-BFFA65B6A6A5}">
      <text>
        <r>
          <rPr>
            <sz val="11"/>
            <color rgb="FF000000"/>
            <rFont val="Aptos Narrow"/>
            <family val="2"/>
            <scheme val="minor"/>
          </rPr>
          <t>======
ID#AAABMFKNDZM
Canalyst    (2024-04-17 02:07:42)
Assumption by Canalyst</t>
        </r>
      </text>
    </comment>
    <comment ref="AV34" authorId="0" shapeId="0" xr:uid="{9BE71DA9-F2DF-4617-8765-EC8EE141E593}">
      <text>
        <r>
          <rPr>
            <sz val="11"/>
            <color rgb="FF000000"/>
            <rFont val="Aptos Narrow"/>
            <family val="2"/>
            <scheme val="minor"/>
          </rPr>
          <t>======
ID#AAABMFKNC5Q
Canalyst    (2024-04-17 02:07:42)
Assumption by Canalyst</t>
        </r>
      </text>
    </comment>
    <comment ref="AW34" authorId="0" shapeId="0" xr:uid="{388C3B92-366F-47C1-B118-BBFCA1D4C8FE}">
      <text>
        <r>
          <rPr>
            <sz val="11"/>
            <color rgb="FF000000"/>
            <rFont val="Aptos Narrow"/>
            <family val="2"/>
            <scheme val="minor"/>
          </rPr>
          <t>======
ID#AAABMFKNDWQ
Canalyst    (2024-04-17 02:07:42)
Assumption by Canalyst</t>
        </r>
      </text>
    </comment>
    <comment ref="AX34" authorId="0" shapeId="0" xr:uid="{40D9A298-AB85-4B2E-A605-8B37F2681B13}">
      <text>
        <r>
          <rPr>
            <sz val="11"/>
            <color rgb="FF000000"/>
            <rFont val="Aptos Narrow"/>
            <family val="2"/>
            <scheme val="minor"/>
          </rPr>
          <t>======
ID#AAABMFKNDPQ
Canalyst    (2024-04-17 02:07:42)
Assumption by Canalyst</t>
        </r>
      </text>
    </comment>
    <comment ref="AY34" authorId="0" shapeId="0" xr:uid="{4C00D28E-0F84-4823-93B5-2EC90BA21446}">
      <text>
        <r>
          <rPr>
            <sz val="11"/>
            <color rgb="FF000000"/>
            <rFont val="Aptos Narrow"/>
            <family val="2"/>
            <scheme val="minor"/>
          </rPr>
          <t>======
ID#AAABMFKNDXk
Canalyst    (2024-04-17 02:07:42)
Assumption by Canalyst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L23" authorId="0" shapeId="0" xr:uid="{27B65FFD-4B69-4963-873C-B27B4A91E293}">
      <text>
        <r>
          <rPr>
            <sz val="11"/>
            <color rgb="FF000000"/>
            <rFont val="Aptos Narrow"/>
            <family val="2"/>
            <scheme val="minor"/>
          </rPr>
          <t>======
ID#AAABMFKNC7U
Canalyst (RE)    (2024-04-17 02:07:42)
Hardcoded as reported</t>
        </r>
      </text>
    </comment>
    <comment ref="AL26" authorId="0" shapeId="0" xr:uid="{284B207F-1ABF-49DA-9E1F-19EFAAF6A0DF}">
      <text>
        <r>
          <rPr>
            <sz val="11"/>
            <color rgb="FF000000"/>
            <rFont val="Aptos Narrow"/>
            <family val="2"/>
            <scheme val="minor"/>
          </rPr>
          <t>======
ID#AAABMFKNDMc
Canalyst (RE)    (2024-04-17 02:07:42)
Hardcoded as reported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DF3B5065-5EB3-4B45-B679-3815EF2D1A4D}">
      <text>
        <r>
          <rPr>
            <sz val="11"/>
            <color rgb="FF000000"/>
            <rFont val="Aptos Narrow"/>
            <family val="2"/>
            <scheme val="minor"/>
          </rPr>
          <t>======
ID#AAABMFKNDHA
Canalyst (CHC)    (2024-04-17 02:07:42)
53 week FY due to calendar shift</t>
        </r>
      </text>
    </comment>
    <comment ref="Z3" authorId="0" shapeId="0" xr:uid="{F71916E5-5618-4890-91DE-67495E1930CA}">
      <text>
        <r>
          <rPr>
            <sz val="11"/>
            <color rgb="FF000000"/>
            <rFont val="Aptos Narrow"/>
            <family val="2"/>
            <scheme val="minor"/>
          </rPr>
          <t>======
ID#AAABMFKNDAM
Canalyst (MB)    (2024-04-17 02:07:42)
53 week FY due to calendar shift</t>
        </r>
      </text>
    </comment>
    <comment ref="BN4" authorId="0" shapeId="0" xr:uid="{4B878E82-EF5B-4EAB-A4DC-740A80B0FF31}">
      <text>
        <r>
          <rPr>
            <sz val="11"/>
            <color rgb="FF000000"/>
            <rFont val="Aptos Narrow"/>
            <family val="2"/>
            <scheme val="minor"/>
          </rPr>
          <t>======
ID#AAABMFKNDJw
Canalyst (EAY)    (2024-04-17 02:07:42)
We utilize a 52/53-week fiscal year ending on the Tuesday closest to December 31 for financial reporting purposes.</t>
        </r>
      </text>
    </comment>
    <comment ref="BS4" authorId="0" shapeId="0" xr:uid="{C8727EE8-BE3E-4758-AB95-A3C3B88C9570}">
      <text>
        <r>
          <rPr>
            <sz val="11"/>
            <color rgb="FF000000"/>
            <rFont val="Aptos Narrow"/>
            <family val="2"/>
            <scheme val="minor"/>
          </rPr>
          <t>======
ID#AAABMFKNDKo
Canalyst (EAY)    (2024-04-17 02:07:42)
We utilize a 52/53-week fiscal year ending on the Tuesday closest to December 31 for financial reporting purposes.</t>
        </r>
      </text>
    </comment>
    <comment ref="BT4" authorId="0" shapeId="0" xr:uid="{0B7FED80-0C08-41EA-9E8E-6BB8645B70A8}">
      <text>
        <r>
          <rPr>
            <sz val="11"/>
            <color rgb="FF000000"/>
            <rFont val="Aptos Narrow"/>
            <family val="2"/>
            <scheme val="minor"/>
          </rPr>
          <t>======
ID#AAABMFKNDOo
Canalyst (EAY)    (2024-04-17 02:07:42)
We utilize a 52/53-week fiscal year ending on the Tuesday closest to December 31 for financial reporting purposes.</t>
        </r>
      </text>
    </comment>
    <comment ref="BU4" authorId="0" shapeId="0" xr:uid="{5683B8DD-D699-492B-8673-BCF5A08E3CEE}">
      <text>
        <r>
          <rPr>
            <sz val="11"/>
            <color rgb="FF000000"/>
            <rFont val="Aptos Narrow"/>
            <family val="2"/>
            <scheme val="minor"/>
          </rPr>
          <t>======
ID#AAABMFKNDUU
Canalyst (EAY)    (2024-04-17 02:07:42)
We utilize a 52/53-week fiscal year ending on the Tuesday closest to December 31 for financial reporting purposes.</t>
        </r>
      </text>
    </comment>
    <comment ref="BV4" authorId="0" shapeId="0" xr:uid="{77557902-0485-4BE6-836F-FE6F67DBC56D}">
      <text>
        <r>
          <rPr>
            <sz val="11"/>
            <color rgb="FF000000"/>
            <rFont val="Aptos Narrow"/>
            <family val="2"/>
            <scheme val="minor"/>
          </rPr>
          <t>======
ID#AAABMFKNC5w
Canalyst (EAY)    (2024-04-17 02:07:42)
We utilize a 52/53-week fiscal year ending on the Tuesday closest to December 31 for financial reporting purposes.</t>
        </r>
      </text>
    </comment>
    <comment ref="AT8" authorId="0" shapeId="0" xr:uid="{9DA3451A-1C0D-4F13-8D82-962E10267869}">
      <text>
        <r>
          <rPr>
            <sz val="11"/>
            <color rgb="FF000000"/>
            <rFont val="Aptos Narrow"/>
            <family val="2"/>
            <scheme val="minor"/>
          </rPr>
          <t>======
ID#AAABMFKNDQ4
Canalyst (RE)    (2024-04-17 02:07:42)
Not a full year of comparable data</t>
        </r>
      </text>
    </comment>
    <comment ref="AT9" authorId="0" shapeId="0" xr:uid="{8CD04A99-EC97-4FB3-9E4F-64E96A79B2C9}">
      <text>
        <r>
          <rPr>
            <sz val="11"/>
            <color rgb="FF000000"/>
            <rFont val="Aptos Narrow"/>
            <family val="2"/>
            <scheme val="minor"/>
          </rPr>
          <t>======
ID#AAABMFKNDY0
Canalyst (RE)    (2024-04-17 02:07:42)
Not a full year of comparable data</t>
        </r>
      </text>
    </comment>
    <comment ref="AZ10" authorId="0" shapeId="0" xr:uid="{7098D88C-5533-4322-BCF3-4928AE0E1552}">
      <text>
        <r>
          <rPr>
            <sz val="11"/>
            <color rgb="FF000000"/>
            <rFont val="Aptos Narrow"/>
            <family val="2"/>
            <scheme val="minor"/>
          </rPr>
          <t>======
ID#AAABMFKNDXQ
Canalyst (RE)    (2024-04-17 02:07:42)
Estimated. Not reported this period</t>
        </r>
      </text>
    </comment>
    <comment ref="BA10" authorId="0" shapeId="0" xr:uid="{0EAF3601-55C3-493A-B8BF-9F9BB56A03AE}">
      <text>
        <r>
          <rPr>
            <sz val="11"/>
            <color rgb="FF000000"/>
            <rFont val="Aptos Narrow"/>
            <family val="2"/>
            <scheme val="minor"/>
          </rPr>
          <t>======
ID#AAABMFKNDHI
Canalyst (RE)    (2024-04-17 02:07:42)
Estimated; not reported</t>
        </r>
      </text>
    </comment>
    <comment ref="BB10" authorId="0" shapeId="0" xr:uid="{0237B4C5-CA48-4F5B-B163-C3FCADD035A0}">
      <text>
        <r>
          <rPr>
            <sz val="11"/>
            <color rgb="FF000000"/>
            <rFont val="Aptos Narrow"/>
            <family val="2"/>
            <scheme val="minor"/>
          </rPr>
          <t>======
ID#AAABMFKNDJU
Canalyst (EAY)    (2024-04-17 02:07:42)
Estimated; not reported</t>
        </r>
      </text>
    </comment>
    <comment ref="BC10" authorId="0" shapeId="0" xr:uid="{0C84EC85-0A9B-4F35-BC5A-468AB3F78843}">
      <text>
        <r>
          <rPr>
            <sz val="11"/>
            <color rgb="FF000000"/>
            <rFont val="Aptos Narrow"/>
            <family val="2"/>
            <scheme val="minor"/>
          </rPr>
          <t>======
ID#AAABMFKNC5E
Canalyst (JD)    (2024-04-17 02:07:42)
Estimated; not reported</t>
        </r>
      </text>
    </comment>
    <comment ref="BD10" authorId="0" shapeId="0" xr:uid="{47BF944F-39CB-42F1-928A-1EDE201F7366}">
      <text>
        <r>
          <rPr>
            <sz val="11"/>
            <color rgb="FF000000"/>
            <rFont val="Aptos Narrow"/>
            <family val="2"/>
            <scheme val="minor"/>
          </rPr>
          <t>======
ID#AAABMFKNC_I
Canalyst (JD)    (2024-04-17 02:07:42)
Based on estimates</t>
        </r>
      </text>
    </comment>
    <comment ref="BE10" authorId="0" shapeId="0" xr:uid="{579B9831-B545-4841-8D85-5A9CD251C3E4}">
      <text>
        <r>
          <rPr>
            <sz val="11"/>
            <color rgb="FF000000"/>
            <rFont val="Aptos Narrow"/>
            <family val="2"/>
            <scheme val="minor"/>
          </rPr>
          <t>======
ID#AAABMFKNDLM
Canalyst (LX)    (2024-04-17 02:07:42)
Estimated; not reported</t>
        </r>
      </text>
    </comment>
    <comment ref="BF10" authorId="0" shapeId="0" xr:uid="{AB5EDC21-8166-4919-85C6-3052806D5FB6}">
      <text>
        <r>
          <rPr>
            <sz val="11"/>
            <color rgb="FF000000"/>
            <rFont val="Aptos Narrow"/>
            <family val="2"/>
            <scheme val="minor"/>
          </rPr>
          <t>======
ID#AAABMFKNDPI
Canalyst (EAY)    (2024-04-17 02:07:42)
Estimated; not reported</t>
        </r>
      </text>
    </comment>
    <comment ref="BG10" authorId="0" shapeId="0" xr:uid="{1A5BE9A0-07E9-403D-9702-556C7FA6FAFA}">
      <text>
        <r>
          <rPr>
            <sz val="11"/>
            <color rgb="FF000000"/>
            <rFont val="Aptos Narrow"/>
            <family val="2"/>
            <scheme val="minor"/>
          </rPr>
          <t>======
ID#AAABMEc8ZIA
Canalyst (EAY)    (2024-04-17 02:07:42)
Estimated; not reported</t>
        </r>
      </text>
    </comment>
    <comment ref="BH10" authorId="0" shapeId="0" xr:uid="{28170502-5A7D-4AFB-9D98-84E3BAD4D9D8}">
      <text>
        <r>
          <rPr>
            <sz val="11"/>
            <color rgb="FF000000"/>
            <rFont val="Aptos Narrow"/>
            <family val="2"/>
            <scheme val="minor"/>
          </rPr>
          <t>======
ID#AAABMFKNDEw
Canalyst (JD)    (2024-04-17 02:07:42)
Estimated; not reported</t>
        </r>
      </text>
    </comment>
    <comment ref="BI10" authorId="0" shapeId="0" xr:uid="{4D32A57C-E39E-4F30-9FB5-36A1FEC72A27}">
      <text>
        <r>
          <rPr>
            <sz val="11"/>
            <color rgb="FF000000"/>
            <rFont val="Aptos Narrow"/>
            <family val="2"/>
            <scheme val="minor"/>
          </rPr>
          <t>======
ID#AAABMFKNDAE
Canalyst (JD)    (2024-04-17 02:07:42)
Based on estimates</t>
        </r>
      </text>
    </comment>
    <comment ref="A13" authorId="0" shapeId="0" xr:uid="{BC0422BE-F9BA-476B-8EB6-A67D5FE03B3F}">
      <text>
        <r>
          <rPr>
            <sz val="11"/>
            <color rgb="FF000000"/>
            <rFont val="Aptos Narrow"/>
            <family val="2"/>
            <scheme val="minor"/>
          </rPr>
          <t>======
ID#AAABMFKNDHQ
Canalyst (MH)    (2024-04-17 02:07:42)
Includes Grand Lux Café, RockSugar Pan Asian Kitchen, bakery division, and international licensing operations</t>
        </r>
      </text>
    </comment>
    <comment ref="AN13" authorId="0" shapeId="0" xr:uid="{CB62283D-600A-4219-B4ED-FB7A8D0F78F1}">
      <text>
        <r>
          <rPr>
            <sz val="11"/>
            <color rgb="FF000000"/>
            <rFont val="Aptos Narrow"/>
            <family val="2"/>
            <scheme val="minor"/>
          </rPr>
          <t>======
ID#AAABMFKNDPw
Canalyst (RE)    (2024-04-17 02:07:42)
Includes addition of Flower Child restaurants</t>
        </r>
      </text>
    </comment>
    <comment ref="AO13" authorId="0" shapeId="0" xr:uid="{D44D1991-3858-4A0F-8933-07D7E861D012}">
      <text>
        <r>
          <rPr>
            <sz val="11"/>
            <color rgb="FF000000"/>
            <rFont val="Aptos Narrow"/>
            <family val="2"/>
            <scheme val="minor"/>
          </rPr>
          <t>======
ID#AAABMFKNDUg
Canalyst (RE)    (2024-04-17 02:07:42)
Includes addition of Flower Child restaurants</t>
        </r>
      </text>
    </comment>
    <comment ref="AP13" authorId="0" shapeId="0" xr:uid="{F9516A45-310F-4C6F-868C-4336E24247AE}">
      <text>
        <r>
          <rPr>
            <sz val="11"/>
            <color rgb="FF000000"/>
            <rFont val="Aptos Narrow"/>
            <family val="2"/>
            <scheme val="minor"/>
          </rPr>
          <t>======
ID#AAABMFKNDCY
Canalyst (RE)    (2024-04-17 02:07:42)
Includes addition of Flower Child restaurants</t>
        </r>
      </text>
    </comment>
    <comment ref="AQ13" authorId="0" shapeId="0" xr:uid="{651E6C7D-3DD2-4E5B-A094-802E934F1117}">
      <text>
        <r>
          <rPr>
            <sz val="11"/>
            <color rgb="FF000000"/>
            <rFont val="Aptos Narrow"/>
            <family val="2"/>
            <scheme val="minor"/>
          </rPr>
          <t>======
ID#AAABMFKNDMY
Canalyst (RE)    (2024-04-17 02:07:42)
Includes addition of Flower Child restaurants</t>
        </r>
      </text>
    </comment>
    <comment ref="AR13" authorId="0" shapeId="0" xr:uid="{167FED4A-39AE-47ED-A8AB-00DA864385A5}">
      <text>
        <r>
          <rPr>
            <sz val="11"/>
            <color rgb="FF000000"/>
            <rFont val="Aptos Narrow"/>
            <family val="2"/>
            <scheme val="minor"/>
          </rPr>
          <t>======
ID#AAABMFKNDWg
Canalyst (RE)    (2024-04-17 02:07:42)
Includes addition of Flower Child restaurants</t>
        </r>
      </text>
    </comment>
    <comment ref="BV14" authorId="0" shapeId="0" xr:uid="{683F47D8-20C8-4250-B9BA-F6F29B712BC4}">
      <text>
        <r>
          <rPr>
            <sz val="11"/>
            <color rgb="FF000000"/>
            <rFont val="Aptos Narrow"/>
            <family val="2"/>
            <scheme val="minor"/>
          </rPr>
          <t>======
ID#AAABMFKNDMo
Canalyst (JD)    (2024-04-17 02:07:42)
Long-term outlook of 7-8% top-line growth.</t>
        </r>
      </text>
    </comment>
    <comment ref="T16" authorId="0" shapeId="0" xr:uid="{5EE4D9DA-96CA-484B-9421-4478CB9743EB}">
      <text>
        <r>
          <rPr>
            <sz val="11"/>
            <color rgb="FF000000"/>
            <rFont val="Aptos Narrow"/>
            <family val="2"/>
            <scheme val="minor"/>
          </rPr>
          <t>======
ID#AAABMFKNDQk
Canalyst (AZ)    (2024-04-17 02:07:42)
Reported in Q4 15 earnings call transcript</t>
        </r>
      </text>
    </comment>
    <comment ref="Y16" authorId="0" shapeId="0" xr:uid="{81122598-201F-4169-9865-00A059FC6A9B}">
      <text>
        <r>
          <rPr>
            <sz val="11"/>
            <color rgb="FF000000"/>
            <rFont val="Aptos Narrow"/>
            <family val="2"/>
            <scheme val="minor"/>
          </rPr>
          <t>======
ID#AAABMFKNDTw
Canalyst (AZ)    (2024-04-17 02:07:42)
Reported in Q4 16 earnings call transcript</t>
        </r>
      </text>
    </comment>
    <comment ref="AD16" authorId="0" shapeId="0" xr:uid="{F96C06C6-7CAB-4E2E-8342-75162485287E}">
      <text>
        <r>
          <rPr>
            <sz val="11"/>
            <color rgb="FF000000"/>
            <rFont val="Aptos Narrow"/>
            <family val="2"/>
            <scheme val="minor"/>
          </rPr>
          <t>======
ID#AAABMFKNDFQ
Canalyst (AZ)    (2024-04-17 02:07:42)
Reported in Q4 17 earnings call transcript</t>
        </r>
      </text>
    </comment>
    <comment ref="AI16" authorId="0" shapeId="0" xr:uid="{7176F885-5A88-4D05-B0D1-0EF9F4140679}">
      <text>
        <r>
          <rPr>
            <sz val="11"/>
            <color rgb="FF000000"/>
            <rFont val="Aptos Narrow"/>
            <family val="2"/>
            <scheme val="minor"/>
          </rPr>
          <t>======
ID#AAABMFKNDRs
Canalyst (AZ)    (2024-04-17 02:07:42)
Reported in Q4 18 earnings call transcript</t>
        </r>
      </text>
    </comment>
    <comment ref="AN16" authorId="0" shapeId="0" xr:uid="{8BEC460A-004D-4058-8AD6-088E2CDAC7DE}">
      <text>
        <r>
          <rPr>
            <sz val="11"/>
            <color rgb="FF000000"/>
            <rFont val="Aptos Narrow"/>
            <family val="2"/>
            <scheme val="minor"/>
          </rPr>
          <t>======
ID#AAABMFKNC6A
Canalyst (RZ)    (2024-04-17 02:07:42)
Reported in Q4 19 earnings call transcript</t>
        </r>
      </text>
    </comment>
    <comment ref="T17" authorId="0" shapeId="0" xr:uid="{F9F1B1D0-F9B4-464B-A782-13A1DF644DB3}">
      <text>
        <r>
          <rPr>
            <sz val="11"/>
            <color rgb="FF000000"/>
            <rFont val="Aptos Narrow"/>
            <family val="2"/>
            <scheme val="minor"/>
          </rPr>
          <t>======
ID#AAABMFKNDHg
Canalyst (AZ)    (2024-04-17 02:07:42)
Reported in Q4 15 earnings call transcript</t>
        </r>
      </text>
    </comment>
    <comment ref="Y17" authorId="0" shapeId="0" xr:uid="{9F2175CB-D234-4BF6-A9B5-DF271FDE8CC4}">
      <text>
        <r>
          <rPr>
            <sz val="11"/>
            <color rgb="FF000000"/>
            <rFont val="Aptos Narrow"/>
            <family val="2"/>
            <scheme val="minor"/>
          </rPr>
          <t>======
ID#AAABMFKNC6E
Canalyst (AZ)    (2024-04-17 02:07:42)
Reported in Q4 16 earnings call transcript</t>
        </r>
      </text>
    </comment>
    <comment ref="AD17" authorId="0" shapeId="0" xr:uid="{8FC8F9E8-ADB0-4105-BB0A-D4C1684A1A3F}">
      <text>
        <r>
          <rPr>
            <sz val="11"/>
            <color rgb="FF000000"/>
            <rFont val="Aptos Narrow"/>
            <family val="2"/>
            <scheme val="minor"/>
          </rPr>
          <t>======
ID#AAABMFKNDLw
Canalyst (AZ)    (2024-04-17 02:07:42)
Reported in Q4 17 earnings call transcript</t>
        </r>
      </text>
    </comment>
    <comment ref="AI17" authorId="0" shapeId="0" xr:uid="{8C250FD4-06EC-48FF-91A7-5061120A5F6F}">
      <text>
        <r>
          <rPr>
            <sz val="11"/>
            <color rgb="FF000000"/>
            <rFont val="Aptos Narrow"/>
            <family val="2"/>
            <scheme val="minor"/>
          </rPr>
          <t>======
ID#AAABMFKNDBY
Canalyst (AZ)    (2024-04-17 02:07:42)
Reported in Q4 18 earnings call transcript</t>
        </r>
      </text>
    </comment>
    <comment ref="AN17" authorId="0" shapeId="0" xr:uid="{D58B253F-3EF5-4332-8B77-97B46482B1AF}">
      <text>
        <r>
          <rPr>
            <sz val="11"/>
            <color rgb="FF000000"/>
            <rFont val="Aptos Narrow"/>
            <family val="2"/>
            <scheme val="minor"/>
          </rPr>
          <t>======
ID#AAABMFKNDMQ
Canalyst (RZ)    (2024-04-17 02:07:42)
Reported in Q4 19 earnings call transcript</t>
        </r>
      </text>
    </comment>
    <comment ref="T19" authorId="0" shapeId="0" xr:uid="{D3CD1E21-EEE4-41DD-B875-0F242F8E51DF}">
      <text>
        <r>
          <rPr>
            <sz val="11"/>
            <color rgb="FF000000"/>
            <rFont val="Aptos Narrow"/>
            <family val="2"/>
            <scheme val="minor"/>
          </rPr>
          <t>======
ID#AAABMFKNDNk
Canalyst (AZ)    (2024-04-17 02:07:42)
Reported in Q4 15 earnings call transcript</t>
        </r>
      </text>
    </comment>
    <comment ref="Y19" authorId="0" shapeId="0" xr:uid="{3FD79D4D-14D4-4E42-AC5A-DF8127F3BE5F}">
      <text>
        <r>
          <rPr>
            <sz val="11"/>
            <color rgb="FF000000"/>
            <rFont val="Aptos Narrow"/>
            <family val="2"/>
            <scheme val="minor"/>
          </rPr>
          <t>======
ID#AAABMFKNDPc
Canalyst (AZ)    (2024-04-17 02:07:42)
Reported in Q4 16 earnings call transcript</t>
        </r>
      </text>
    </comment>
    <comment ref="AD19" authorId="0" shapeId="0" xr:uid="{6CB265F9-024A-429F-9527-6C1EE56BF75C}">
      <text>
        <r>
          <rPr>
            <sz val="11"/>
            <color rgb="FF000000"/>
            <rFont val="Aptos Narrow"/>
            <family val="2"/>
            <scheme val="minor"/>
          </rPr>
          <t>======
ID#AAABMFKNDUs
Canalyst (AZ)    (2024-04-17 02:07:42)
Reported in Q4 17 earnings call transcript</t>
        </r>
      </text>
    </comment>
    <comment ref="AI19" authorId="0" shapeId="0" xr:uid="{E7C07688-9B8D-4D03-8C1D-E7D6537E9C3A}">
      <text>
        <r>
          <rPr>
            <sz val="11"/>
            <color rgb="FF000000"/>
            <rFont val="Aptos Narrow"/>
            <family val="2"/>
            <scheme val="minor"/>
          </rPr>
          <t>======
ID#AAABMEc8ZI4
Canalyst (AZ)    (2024-04-17 02:07:42)
Reported in Q4 18 earnings call transcript</t>
        </r>
      </text>
    </comment>
    <comment ref="AN19" authorId="0" shapeId="0" xr:uid="{D395FA42-88F3-4C02-AE69-E9A149B52BFF}">
      <text>
        <r>
          <rPr>
            <sz val="11"/>
            <color rgb="FF000000"/>
            <rFont val="Aptos Narrow"/>
            <family val="2"/>
            <scheme val="minor"/>
          </rPr>
          <t>======
ID#AAABMFKNDS0
Canalyst (RZ)    (2024-04-17 02:07:42)
Reported in Q4 19 earnings call transcript</t>
        </r>
      </text>
    </comment>
    <comment ref="A20" authorId="0" shapeId="0" xr:uid="{F602C9EC-D5EC-4EF6-BE87-269D9B0626C7}">
      <text>
        <r>
          <rPr>
            <sz val="11"/>
            <color rgb="FF000000"/>
            <rFont val="Aptos Narrow"/>
            <family val="2"/>
            <scheme val="minor"/>
          </rPr>
          <t>======
ID#AAABMFKNDUI
Canalyst (AlD)    (2024-04-17 02:07:42)
Restaurants become eligible to enter our comparable sales base in their 19th month of operation.</t>
        </r>
      </text>
    </comment>
    <comment ref="J20" authorId="0" shapeId="0" xr:uid="{613F494C-2845-46A6-85F1-87245D582DC4}">
      <text>
        <r>
          <rPr>
            <sz val="11"/>
            <color rgb="FF000000"/>
            <rFont val="Aptos Narrow"/>
            <family val="2"/>
            <scheme val="minor"/>
          </rPr>
          <t>======
ID#AAABMFKNC7E
Canalyst (ML)    (2024-04-17 02:07:42)
Excludes -0.7% impact from winter storms.</t>
        </r>
      </text>
    </comment>
    <comment ref="AC20" authorId="0" shapeId="0" xr:uid="{4B5F75A5-EA59-448B-A87E-6B15C6C2C6E8}">
      <text>
        <r>
          <rPr>
            <sz val="11"/>
            <color rgb="FF000000"/>
            <rFont val="Aptos Narrow"/>
            <family val="2"/>
            <scheme val="minor"/>
          </rPr>
          <t>======
ID#AAABMEc8ZJM
Canalyst (ML)    (2024-04-17 02:07:42)
-1.5% excluding negative impact from Hurricanes Harvey, Irma and Maria.</t>
        </r>
      </text>
    </comment>
    <comment ref="AU20" authorId="0" shapeId="0" xr:uid="{CE0CC80A-0B4D-4615-BC05-11F4BEDF93EB}">
      <text>
        <r>
          <rPr>
            <sz val="11"/>
            <color rgb="FF000000"/>
            <rFont val="Aptos Narrow"/>
            <family val="2"/>
            <scheme val="minor"/>
          </rPr>
          <t>======
ID#AAABMFKNDGY
Canalyst (RE)    (2024-04-17 02:07:42)
vs 2019 :-10.4%</t>
        </r>
      </text>
    </comment>
    <comment ref="AV20" authorId="0" shapeId="0" xr:uid="{53684284-8D25-4FC0-B82D-AAB5B192FA4E}">
      <text>
        <r>
          <rPr>
            <sz val="11"/>
            <color rgb="FF000000"/>
            <rFont val="Aptos Narrow"/>
            <family val="2"/>
            <scheme val="minor"/>
          </rPr>
          <t>======
ID#AAABMFKNDVk
Canalyst (RE)    (2024-04-17 02:07:42)
vs 2019 :7.8%</t>
        </r>
      </text>
    </comment>
    <comment ref="AX20" authorId="0" shapeId="0" xr:uid="{47E7F230-8149-44FC-9B84-280CADAD99E0}">
      <text>
        <r>
          <rPr>
            <sz val="11"/>
            <color rgb="FF000000"/>
            <rFont val="Aptos Narrow"/>
            <family val="2"/>
            <scheme val="minor"/>
          </rPr>
          <t>======
ID#AAABMFKNDTE
Canalyst (RE)    (2024-04-17 02:07:42)
7.7% vs 2019</t>
        </r>
      </text>
    </comment>
    <comment ref="AY20" authorId="0" shapeId="0" xr:uid="{A17EBF2F-7B94-4C4D-A2D8-8B7F0C7E1DE9}">
      <text>
        <r>
          <rPr>
            <sz val="11"/>
            <color rgb="FF000000"/>
            <rFont val="Aptos Narrow"/>
            <family val="2"/>
            <scheme val="minor"/>
          </rPr>
          <t>======
ID#AAABMFKNC50
Canalyst (RE)    (2024-04-17 02:07:42)
3.3% vs 2019</t>
        </r>
      </text>
    </comment>
    <comment ref="BH20" authorId="0" shapeId="0" xr:uid="{559201CA-C8C5-4937-9914-98535627FC2D}">
      <text>
        <r>
          <rPr>
            <sz val="11"/>
            <color rgb="FF000000"/>
            <rFont val="Aptos Narrow"/>
            <family val="2"/>
            <scheme val="minor"/>
          </rPr>
          <t>======
ID#AAABMFKNDK4
Canalyst (JD)    (2024-04-17 02:07:42)
14% vs Q4-2019</t>
        </r>
      </text>
    </comment>
    <comment ref="BI20" authorId="0" shapeId="0" xr:uid="{FAE79ABD-148B-4235-861A-8B9DA4CCDF02}">
      <text>
        <r>
          <rPr>
            <sz val="11"/>
            <color rgb="FF000000"/>
            <rFont val="Aptos Narrow"/>
            <family val="2"/>
            <scheme val="minor"/>
          </rPr>
          <t>======
ID#AAABMFKNDVE
Canalyst (JD)    (2024-04-17 02:07:42)
13.9% vs FY2019</t>
        </r>
      </text>
    </comment>
    <comment ref="A21" authorId="0" shapeId="0" xr:uid="{CAD3B2D6-8609-4955-B6CB-9D4A0144BFE6}">
      <text>
        <r>
          <rPr>
            <sz val="11"/>
            <color rgb="FF000000"/>
            <rFont val="Aptos Narrow"/>
            <family val="2"/>
            <scheme val="minor"/>
          </rPr>
          <t>======
ID#AAABMFKNDBc
Canalyst (RE)    (2024-04-17 02:07:42)
North Italia restaurants become eligible to enter the comparable sales base in their 13th month of operations.</t>
        </r>
      </text>
    </comment>
    <comment ref="AO21" authorId="0" shapeId="0" xr:uid="{BFE5D6B9-D50B-45E4-B773-05DFA8404E1E}">
      <text>
        <r>
          <rPr>
            <sz val="11"/>
            <color rgb="FF000000"/>
            <rFont val="Aptos Narrow"/>
            <family val="2"/>
            <scheme val="minor"/>
          </rPr>
          <t>======
ID#AAABMFKNC7Y
Canalyst (RE)    (2024-04-17 02:07:42)
not reported</t>
        </r>
      </text>
    </comment>
    <comment ref="AU21" authorId="0" shapeId="0" xr:uid="{80DBAD72-EB5A-47C9-87F7-184B1A06FE03}">
      <text>
        <r>
          <rPr>
            <sz val="11"/>
            <color rgb="FF000000"/>
            <rFont val="Aptos Narrow"/>
            <family val="2"/>
            <scheme val="minor"/>
          </rPr>
          <t>======
ID#AAABMFKNDL4
Canalyst (XfW)    (2024-04-17 02:07:42)
vs 2019: -5%</t>
        </r>
      </text>
    </comment>
    <comment ref="AV21" authorId="0" shapeId="0" xr:uid="{734ECE8B-DB29-4B97-AC29-758019C89D2F}">
      <text>
        <r>
          <rPr>
            <sz val="11"/>
            <color rgb="FF000000"/>
            <rFont val="Aptos Narrow"/>
            <family val="2"/>
            <scheme val="minor"/>
          </rPr>
          <t>======
ID#AAABMFKNDLQ
Canalyst (XfW)    (2024-04-17 02:07:42)
vs 2019: 10%</t>
        </r>
      </text>
    </comment>
    <comment ref="AX21" authorId="0" shapeId="0" xr:uid="{7DC6B8D8-E2DF-4440-BC76-15C7A33D1F98}">
      <text>
        <r>
          <rPr>
            <sz val="11"/>
            <color rgb="FF000000"/>
            <rFont val="Aptos Narrow"/>
            <family val="2"/>
            <scheme val="minor"/>
          </rPr>
          <t>======
ID#AAABMFKNDSI
Canalyst (RE)    (2024-04-17 02:07:42)
14% vs 2019</t>
        </r>
      </text>
    </comment>
    <comment ref="AY21" authorId="0" shapeId="0" xr:uid="{24269D80-80D6-4810-90B2-F6CB207862C3}">
      <text>
        <r>
          <rPr>
            <sz val="11"/>
            <color rgb="FF000000"/>
            <rFont val="Aptos Narrow"/>
            <family val="2"/>
            <scheme val="minor"/>
          </rPr>
          <t>======
ID#AAABMEc8ZH0
Canalyst (RE)    (2024-04-17 02:07:42)
7% vs 2019</t>
        </r>
      </text>
    </comment>
    <comment ref="BH21" authorId="0" shapeId="0" xr:uid="{E2E2E94E-8E5D-4B13-9A5C-D92BDC2E3806}">
      <text>
        <r>
          <rPr>
            <sz val="11"/>
            <color rgb="FF000000"/>
            <rFont val="Aptos Narrow"/>
            <family val="2"/>
            <scheme val="minor"/>
          </rPr>
          <t>======
ID#AAABMFKNDYs
Canalyst (JD)    (2024-04-17 02:07:42)
34% vs Q4 2019</t>
        </r>
      </text>
    </comment>
    <comment ref="BI21" authorId="0" shapeId="0" xr:uid="{4CB54659-252D-472E-AF2D-C50E7F9B4E73}">
      <text>
        <r>
          <rPr>
            <sz val="11"/>
            <color rgb="FF000000"/>
            <rFont val="Aptos Narrow"/>
            <family val="2"/>
            <scheme val="minor"/>
          </rPr>
          <t>======
ID#AAABMFKNDLE
Canalyst (JD)    (2024-04-17 02:07:42)
31% vs FY2019</t>
        </r>
      </text>
    </comment>
    <comment ref="J22" authorId="0" shapeId="0" xr:uid="{C2F0C823-98FC-4A61-BA84-2258D1EB5F2F}">
      <text>
        <r>
          <rPr>
            <sz val="11"/>
            <color rgb="FF000000"/>
            <rFont val="Aptos Narrow"/>
            <family val="2"/>
            <scheme val="minor"/>
          </rPr>
          <t>======
ID#AAABMFKNC_A
Canalyst (ML)    (2024-04-17 02:07:42)
Excludes -0.7% impact from winter storms.</t>
        </r>
      </text>
    </comment>
    <comment ref="Y22" authorId="0" shapeId="0" xr:uid="{CEB6DA74-2D0E-4A36-84E3-2FF95F56EE53}">
      <text>
        <r>
          <rPr>
            <sz val="11"/>
            <color rgb="FF000000"/>
            <rFont val="Aptos Narrow"/>
            <family val="2"/>
            <scheme val="minor"/>
          </rPr>
          <t>======
ID#AAABMFKNDSM
Canalyst (AZ)    (2024-04-17 02:07:42)
Reported in Q4 16 earnings call transcript</t>
        </r>
      </text>
    </comment>
    <comment ref="AC22" authorId="0" shapeId="0" xr:uid="{B2230813-E48B-43DE-A017-EFA49D44E160}">
      <text>
        <r>
          <rPr>
            <sz val="11"/>
            <color rgb="FF000000"/>
            <rFont val="Aptos Narrow"/>
            <family val="2"/>
            <scheme val="minor"/>
          </rPr>
          <t>======
ID#AAABMFKNC64
Canalyst (ML)    (2024-04-17 02:07:42)
-2.1% excluding negative impact from Hurricanes Harvey, Irma and Maria.</t>
        </r>
      </text>
    </comment>
    <comment ref="AD22" authorId="0" shapeId="0" xr:uid="{93E4946E-958C-42A4-9A9A-346AB2FB95C2}">
      <text>
        <r>
          <rPr>
            <sz val="11"/>
            <color rgb="FF000000"/>
            <rFont val="Aptos Narrow"/>
            <family val="2"/>
            <scheme val="minor"/>
          </rPr>
          <t>======
ID#AAABMFKNC9k
Canalyst (AZ)    (2024-04-17 02:07:42)
Reported in Q4 17 earnings call transcript</t>
        </r>
      </text>
    </comment>
    <comment ref="AF22" authorId="0" shapeId="0" xr:uid="{34062A0C-6E83-4C00-A1F5-C6316172D7ED}">
      <text>
        <r>
          <rPr>
            <sz val="11"/>
            <color rgb="FF000000"/>
            <rFont val="Aptos Narrow"/>
            <family val="2"/>
            <scheme val="minor"/>
          </rPr>
          <t>======
ID#AAABMFKNDNQ
Canalyst (AZ)    (2024-04-17 02:07:42)
Reported in earnings call transcript</t>
        </r>
      </text>
    </comment>
    <comment ref="AG22" authorId="0" shapeId="0" xr:uid="{4300D7B3-C1B5-4797-9CAF-1DEE579B8257}">
      <text>
        <r>
          <rPr>
            <sz val="11"/>
            <color rgb="FF000000"/>
            <rFont val="Aptos Narrow"/>
            <family val="2"/>
            <scheme val="minor"/>
          </rPr>
          <t>======
ID#AAABMFKNDM4
Canalyst (AZ)    (2024-04-17 02:07:42)
Reported in earnings call transcript</t>
        </r>
      </text>
    </comment>
    <comment ref="AH22" authorId="0" shapeId="0" xr:uid="{119FF6B7-32AE-4AF0-AAFE-85F253C86E16}">
      <text>
        <r>
          <rPr>
            <sz val="11"/>
            <color rgb="FF000000"/>
            <rFont val="Aptos Narrow"/>
            <family val="2"/>
            <scheme val="minor"/>
          </rPr>
          <t>======
ID#AAABMFKNDT0
Canalyst (AZ)    (2024-04-17 02:07:42)
Reported in earnings call transcript</t>
        </r>
      </text>
    </comment>
    <comment ref="AI22" authorId="0" shapeId="0" xr:uid="{FCA849DA-92D1-42C5-A82C-3A5759B994B7}">
      <text>
        <r>
          <rPr>
            <sz val="11"/>
            <color rgb="FF000000"/>
            <rFont val="Aptos Narrow"/>
            <family val="2"/>
            <scheme val="minor"/>
          </rPr>
          <t>======
ID#AAABMFKNDSk
Canalyst (AZ)    (2024-04-17 02:07:42)
Reported in earnings call transcript</t>
        </r>
      </text>
    </comment>
    <comment ref="AJ22" authorId="0" shapeId="0" xr:uid="{DAE82AC4-D876-4C51-A830-0BE42B92C65F}">
      <text>
        <r>
          <rPr>
            <sz val="11"/>
            <color rgb="FF000000"/>
            <rFont val="Aptos Narrow"/>
            <family val="2"/>
            <scheme val="minor"/>
          </rPr>
          <t>======
ID#AAABMFKNDNo
Canalyst (AZ)    (2024-04-17 02:07:42)
No longer reported in earnings call transcript</t>
        </r>
      </text>
    </comment>
    <comment ref="J23" authorId="0" shapeId="0" xr:uid="{A48A22CC-A6A0-4E46-BF98-25F580DD21BE}">
      <text>
        <r>
          <rPr>
            <sz val="11"/>
            <color rgb="FF000000"/>
            <rFont val="Aptos Narrow"/>
            <family val="2"/>
            <scheme val="minor"/>
          </rPr>
          <t>======
ID#AAABMFKNDA0
Canalyst (ML)    (2024-04-17 02:07:42)
Excludes -0.7% impact from winter storms.</t>
        </r>
      </text>
    </comment>
    <comment ref="A28" authorId="0" shapeId="0" xr:uid="{CEA77114-3B83-4703-A582-7082120D27EE}">
      <text>
        <r>
          <rPr>
            <sz val="11"/>
            <color rgb="FF000000"/>
            <rFont val="Aptos Narrow"/>
            <family val="2"/>
            <scheme val="minor"/>
          </rPr>
          <t>======
ID#AAABMFKNDV0
Canalyst (RE)    (2024-04-17 02:07:42)
Fox Restaurant Concepts LLC ("FRC") and all other FRC brands (the "Acquisition"). Does not include Flower Child revenue.</t>
        </r>
      </text>
    </comment>
    <comment ref="A29" authorId="0" shapeId="0" xr:uid="{FE8A2926-45F2-48CF-AB21-50C213F21F3A}">
      <text>
        <r>
          <rPr>
            <sz val="11"/>
            <color rgb="FF000000"/>
            <rFont val="Aptos Narrow"/>
            <family val="2"/>
            <scheme val="minor"/>
          </rPr>
          <t>======
ID#AAABMFKNC7s
Canalyst (RE)    (2024-04-17 02:07:42)
Reported to one decimal place</t>
        </r>
      </text>
    </comment>
    <comment ref="J29" authorId="0" shapeId="0" xr:uid="{FC36EAFB-CA19-42CE-8F7A-03C666088B67}">
      <text>
        <r>
          <rPr>
            <sz val="11"/>
            <color rgb="FF000000"/>
            <rFont val="Aptos Narrow"/>
            <family val="2"/>
            <scheme val="minor"/>
          </rPr>
          <t>======
ID#AAABMFKNDKg
Canalyst (RE)    (2024-04-17 02:07:42)
Reported as 17.1</t>
        </r>
      </text>
    </comment>
    <comment ref="O29" authorId="0" shapeId="0" xr:uid="{FECE857F-53A7-4D09-8FBB-3824A02AF02D}">
      <text>
        <r>
          <rPr>
            <sz val="11"/>
            <color rgb="FF000000"/>
            <rFont val="Aptos Narrow"/>
            <family val="2"/>
            <scheme val="minor"/>
          </rPr>
          <t>======
ID#AAABMFKNC6U
Canalyst (RE)    (2024-04-17 02:07:42)
Reported as 17.4</t>
        </r>
      </text>
    </comment>
    <comment ref="AZ29" authorId="0" shapeId="0" xr:uid="{EC796778-F6BC-4D87-81E4-353517AFEAFC}">
      <text>
        <r>
          <rPr>
            <sz val="11"/>
            <color rgb="FF000000"/>
            <rFont val="Aptos Narrow"/>
            <family val="2"/>
            <scheme val="minor"/>
          </rPr>
          <t>======
ID#AAABMFKNDFI
Canalyst (RE)    (2024-04-17 02:07:42)
Left as forecasting formula after this period. Not reported.</t>
        </r>
      </text>
    </comment>
    <comment ref="A30" authorId="0" shapeId="0" xr:uid="{589ECACB-1277-490F-A3AD-39D8F7799EEA}">
      <text>
        <r>
          <rPr>
            <sz val="11"/>
            <color rgb="FF000000"/>
            <rFont val="Aptos Narrow"/>
            <family val="2"/>
            <scheme val="minor"/>
          </rPr>
          <t>======
ID#AAABMFKNDGw
Canalyst (RE)    (2024-04-17 02:07:42)
Estimated using sales per store of The Cheesecake Factory company-owned stores and multiplying a productivity rate and royalty rate (inclusive of other fees)</t>
        </r>
      </text>
    </comment>
    <comment ref="A31" authorId="0" shapeId="0" xr:uid="{8270E815-77CD-46CB-911A-BEE8789695FE}">
      <text>
        <r>
          <rPr>
            <sz val="11"/>
            <color rgb="FF000000"/>
            <rFont val="Aptos Narrow"/>
            <family val="2"/>
            <scheme val="minor"/>
          </rPr>
          <t>======
ID#AAABMFKNDAA
Canalyst (RE)    (2024-04-17 02:07:42)
Backed out revenue to other restaurant brand concepts (Grand Lux Café, RockSugar Southeast Asian Kitchen, Social Monk Asian Kitchen, Flower Child). As well, revenues from Consumer packaged goods is included this revenue (immaterial amount)</t>
        </r>
      </text>
    </comment>
    <comment ref="A32" authorId="0" shapeId="0" xr:uid="{22D872EB-5EE2-44C5-80A7-52C08DA20F38}">
      <text>
        <r>
          <rPr>
            <sz val="11"/>
            <color rgb="FF000000"/>
            <rFont val="Aptos Narrow"/>
            <family val="2"/>
            <scheme val="minor"/>
          </rPr>
          <t>======
ID#AAABMFKNDBU
Canalyst (RE)    (2024-04-17 02:07:42)
Includes Grand Lux Café, RockSugar Southeast Asian Kitchen, Social Monk Asian Kitchen,  Flower Child,  bakery division, and international licensing operations</t>
        </r>
      </text>
    </comment>
    <comment ref="AN32" authorId="0" shapeId="0" xr:uid="{134A0EDA-DEB6-4907-B6BA-7963DB0BFA15}">
      <text>
        <r>
          <rPr>
            <sz val="11"/>
            <color rgb="FF000000"/>
            <rFont val="Aptos Narrow"/>
            <family val="2"/>
            <scheme val="minor"/>
          </rPr>
          <t>======
ID#AAABMFKNDUA
Canalyst (RE)    (2024-04-17 02:07:42)
Includes addition of Flower Child restaurants</t>
        </r>
      </text>
    </comment>
    <comment ref="C50" authorId="0" shapeId="0" xr:uid="{26D88630-D424-4BD4-9DF8-413DAA97EBEF}">
      <text>
        <r>
          <rPr>
            <sz val="11"/>
            <color rgb="FF000000"/>
            <rFont val="Aptos Narrow"/>
            <family val="2"/>
            <scheme val="minor"/>
          </rPr>
          <t>======
ID#AAABMFKNC8k
Canalyst (MA)    (2024-04-17 02:07:42)
Not reported</t>
        </r>
      </text>
    </comment>
    <comment ref="D50" authorId="0" shapeId="0" xr:uid="{27FB653D-697B-4853-97B3-B8DC30D89338}">
      <text>
        <r>
          <rPr>
            <sz val="11"/>
            <color rgb="FF000000"/>
            <rFont val="Aptos Narrow"/>
            <family val="2"/>
            <scheme val="minor"/>
          </rPr>
          <t>======
ID#AAABMFKNC44
Canalyst (MA)    (2024-04-17 02:07:42)
Not reported</t>
        </r>
      </text>
    </comment>
    <comment ref="E50" authorId="0" shapeId="0" xr:uid="{DEB4F3B8-33A0-4FC8-874B-DCCC5E815D5F}">
      <text>
        <r>
          <rPr>
            <sz val="11"/>
            <color rgb="FF000000"/>
            <rFont val="Aptos Narrow"/>
            <family val="2"/>
            <scheme val="minor"/>
          </rPr>
          <t>======
ID#AAABMFKNC5I
Canalyst (MA)    (2024-04-17 02:07:42)
Not reported</t>
        </r>
      </text>
    </comment>
    <comment ref="F50" authorId="0" shapeId="0" xr:uid="{1B642BFE-D1AF-4826-813A-8DBFEE19FAB9}">
      <text>
        <r>
          <rPr>
            <sz val="11"/>
            <color rgb="FF000000"/>
            <rFont val="Aptos Narrow"/>
            <family val="2"/>
            <scheme val="minor"/>
          </rPr>
          <t>======
ID#AAABMEc8ZIo
Canalyst (MA)    (2024-04-17 02:07:42)
Not reported</t>
        </r>
      </text>
    </comment>
    <comment ref="G50" authorId="0" shapeId="0" xr:uid="{26991C0F-57F2-4A31-8C9D-B3C1D0CD1DBB}">
      <text>
        <r>
          <rPr>
            <sz val="11"/>
            <color rgb="FF000000"/>
            <rFont val="Aptos Narrow"/>
            <family val="2"/>
            <scheme val="minor"/>
          </rPr>
          <t>======
ID#AAABMEc8ZI8
Canalyst (MA)    (2024-04-17 02:07:42)
Not reported</t>
        </r>
      </text>
    </comment>
    <comment ref="H50" authorId="0" shapeId="0" xr:uid="{549DD7ED-A2BE-411B-A0C5-31DB876B2527}">
      <text>
        <r>
          <rPr>
            <sz val="11"/>
            <color rgb="FF000000"/>
            <rFont val="Aptos Narrow"/>
            <family val="2"/>
            <scheme val="minor"/>
          </rPr>
          <t>======
ID#AAABMFKNDHM
Canalyst (MA)    (2024-04-17 02:07:42)
Not reported</t>
        </r>
      </text>
    </comment>
    <comment ref="I50" authorId="0" shapeId="0" xr:uid="{52254F19-9E2F-45D8-9D78-E6F4080A3166}">
      <text>
        <r>
          <rPr>
            <sz val="11"/>
            <color rgb="FF000000"/>
            <rFont val="Aptos Narrow"/>
            <family val="2"/>
            <scheme val="minor"/>
          </rPr>
          <t>======
ID#AAABMFKNDJc
Canalyst (MA)    (2024-04-17 02:07:42)
Not reported</t>
        </r>
      </text>
    </comment>
    <comment ref="J50" authorId="0" shapeId="0" xr:uid="{CE62232C-2404-44C8-9D08-C7583A91698B}">
      <text>
        <r>
          <rPr>
            <sz val="11"/>
            <color rgb="FF000000"/>
            <rFont val="Aptos Narrow"/>
            <family val="2"/>
            <scheme val="minor"/>
          </rPr>
          <t>======
ID#AAABMFKNDWM
Canalyst (MA)    (2024-04-17 02:07:42)
Not reported</t>
        </r>
      </text>
    </comment>
    <comment ref="K50" authorId="0" shapeId="0" xr:uid="{CF5EF21B-1992-445A-9AB5-674B933A23CE}">
      <text>
        <r>
          <rPr>
            <sz val="11"/>
            <color rgb="FF000000"/>
            <rFont val="Aptos Narrow"/>
            <family val="2"/>
            <scheme val="minor"/>
          </rPr>
          <t>======
ID#AAABMFKNDO0
Canalyst (MA)    (2024-04-17 02:07:42)
Not reported</t>
        </r>
      </text>
    </comment>
    <comment ref="L50" authorId="0" shapeId="0" xr:uid="{2EA07620-1C9B-4E3F-9F6A-A89CE734A85C}">
      <text>
        <r>
          <rPr>
            <sz val="11"/>
            <color rgb="FF000000"/>
            <rFont val="Aptos Narrow"/>
            <family val="2"/>
            <scheme val="minor"/>
          </rPr>
          <t>======
ID#AAABMFKNDAQ
Canalyst (MA)    (2024-04-17 02:07:42)
Not reported</t>
        </r>
      </text>
    </comment>
    <comment ref="M50" authorId="0" shapeId="0" xr:uid="{2C50C2F4-B140-48D4-B6D8-E843974AFCDF}">
      <text>
        <r>
          <rPr>
            <sz val="11"/>
            <color rgb="FF000000"/>
            <rFont val="Aptos Narrow"/>
            <family val="2"/>
            <scheme val="minor"/>
          </rPr>
          <t>======
ID#AAABMFKNDXU
Canalyst (MA)    (2024-04-17 02:07:42)
Not reported</t>
        </r>
      </text>
    </comment>
    <comment ref="N50" authorId="0" shapeId="0" xr:uid="{1CE3AEE1-F05A-42B6-8EE1-5E84BABC51F6}">
      <text>
        <r>
          <rPr>
            <sz val="11"/>
            <color rgb="FF000000"/>
            <rFont val="Aptos Narrow"/>
            <family val="2"/>
            <scheme val="minor"/>
          </rPr>
          <t>======
ID#AAABMFKNDLk
Canalyst (MA)    (2024-04-17 02:07:42)
Not reported</t>
        </r>
      </text>
    </comment>
    <comment ref="O50" authorId="0" shapeId="0" xr:uid="{D6D04111-2C1D-4C17-A1D1-6524B36B72AD}">
      <text>
        <r>
          <rPr>
            <sz val="11"/>
            <color rgb="FF000000"/>
            <rFont val="Aptos Narrow"/>
            <family val="2"/>
            <scheme val="minor"/>
          </rPr>
          <t>======
ID#AAABMFKNC3c
Canalyst (MA)    (2024-04-17 02:07:42)
Not reported</t>
        </r>
      </text>
    </comment>
    <comment ref="P50" authorId="0" shapeId="0" xr:uid="{1A7962BE-942C-43C4-A654-4F5141095547}">
      <text>
        <r>
          <rPr>
            <sz val="11"/>
            <color rgb="FF000000"/>
            <rFont val="Aptos Narrow"/>
            <family val="2"/>
            <scheme val="minor"/>
          </rPr>
          <t>======
ID#AAABMFKNDTI
Canalyst (MA)    (2024-04-17 02:07:42)
Not reported</t>
        </r>
      </text>
    </comment>
    <comment ref="Q50" authorId="0" shapeId="0" xr:uid="{43FE5DC5-E9DE-43F7-B68A-320581E5B500}">
      <text>
        <r>
          <rPr>
            <sz val="11"/>
            <color rgb="FF000000"/>
            <rFont val="Aptos Narrow"/>
            <family val="2"/>
            <scheme val="minor"/>
          </rPr>
          <t>======
ID#AAABMFKNC6Q
Canalyst (MA)    (2024-04-17 02:07:42)
Not reported</t>
        </r>
      </text>
    </comment>
    <comment ref="R50" authorId="0" shapeId="0" xr:uid="{7E610244-C7DE-43ED-8F9A-64C175018561}">
      <text>
        <r>
          <rPr>
            <sz val="11"/>
            <color rgb="FF000000"/>
            <rFont val="Aptos Narrow"/>
            <family val="2"/>
            <scheme val="minor"/>
          </rPr>
          <t>======
ID#AAABMFKNC70
Canalyst (MA)    (2024-04-17 02:07:42)
Not reported</t>
        </r>
      </text>
    </comment>
    <comment ref="S50" authorId="0" shapeId="0" xr:uid="{C590F7A0-3A76-4D4E-8002-4CE9A3C30674}">
      <text>
        <r>
          <rPr>
            <sz val="11"/>
            <color rgb="FF000000"/>
            <rFont val="Aptos Narrow"/>
            <family val="2"/>
            <scheme val="minor"/>
          </rPr>
          <t>======
ID#AAABMFKNDPs
Canalyst (MA)    (2024-04-17 02:07:42)
Not reported</t>
        </r>
      </text>
    </comment>
    <comment ref="T50" authorId="0" shapeId="0" xr:uid="{A93B7A20-A676-4E0A-9F1F-90153CB7751E}">
      <text>
        <r>
          <rPr>
            <sz val="11"/>
            <color rgb="FF000000"/>
            <rFont val="Aptos Narrow"/>
            <family val="2"/>
            <scheme val="minor"/>
          </rPr>
          <t>======
ID#AAABMFKNC9g
Canalyst (MA)    (2024-04-17 02:07:42)
Not reported</t>
        </r>
      </text>
    </comment>
    <comment ref="U50" authorId="0" shapeId="0" xr:uid="{59F83D37-CDA0-4615-B0B6-2570252B0345}">
      <text>
        <r>
          <rPr>
            <sz val="11"/>
            <color rgb="FF000000"/>
            <rFont val="Aptos Narrow"/>
            <family val="2"/>
            <scheme val="minor"/>
          </rPr>
          <t>======
ID#AAABMFKNC8A
Canalyst (MA)    (2024-04-17 02:07:42)
Not reported</t>
        </r>
      </text>
    </comment>
    <comment ref="V50" authorId="0" shapeId="0" xr:uid="{CD46CFDC-FE3E-4EAC-ABA7-52236DB842A6}">
      <text>
        <r>
          <rPr>
            <sz val="11"/>
            <color rgb="FF000000"/>
            <rFont val="Aptos Narrow"/>
            <family val="2"/>
            <scheme val="minor"/>
          </rPr>
          <t>======
ID#AAABMFKNC7c
Canalyst (MA)    (2024-04-17 02:07:42)
Not reported</t>
        </r>
      </text>
    </comment>
    <comment ref="W50" authorId="0" shapeId="0" xr:uid="{E6F14420-97CB-4B6D-8E86-01C197FEC102}">
      <text>
        <r>
          <rPr>
            <sz val="11"/>
            <color rgb="FF000000"/>
            <rFont val="Aptos Narrow"/>
            <family val="2"/>
            <scheme val="minor"/>
          </rPr>
          <t>======
ID#AAABMFKNDDo
Canalyst (MA)    (2024-04-17 02:07:42)
Not reported</t>
        </r>
      </text>
    </comment>
    <comment ref="X50" authorId="0" shapeId="0" xr:uid="{FA4C750D-9657-4F0B-9965-994E471C97E4}">
      <text>
        <r>
          <rPr>
            <sz val="11"/>
            <color rgb="FF000000"/>
            <rFont val="Aptos Narrow"/>
            <family val="2"/>
            <scheme val="minor"/>
          </rPr>
          <t>======
ID#AAABMFKNDDM
Canalyst (MA)    (2024-04-17 02:07:42)
Not reported</t>
        </r>
      </text>
    </comment>
    <comment ref="Y50" authorId="0" shapeId="0" xr:uid="{C2CE607B-F2C1-41F4-8F13-B669BDAD7D1A}">
      <text>
        <r>
          <rPr>
            <sz val="11"/>
            <color rgb="FF000000"/>
            <rFont val="Aptos Narrow"/>
            <family val="2"/>
            <scheme val="minor"/>
          </rPr>
          <t>======
ID#AAABMFKNDXY
Canalyst (MA)    (2024-04-17 02:07:42)
Not reported</t>
        </r>
      </text>
    </comment>
    <comment ref="Z50" authorId="0" shapeId="0" xr:uid="{DCCD44FF-39D6-4222-A73D-823DE791A4F2}">
      <text>
        <r>
          <rPr>
            <sz val="11"/>
            <color rgb="FF000000"/>
            <rFont val="Aptos Narrow"/>
            <family val="2"/>
            <scheme val="minor"/>
          </rPr>
          <t>======
ID#AAABMFKNC5g
Canalyst (MA)    (2024-04-17 02:07:42)
Not reported</t>
        </r>
      </text>
    </comment>
    <comment ref="AA50" authorId="0" shapeId="0" xr:uid="{22B7A6BC-60FB-44E3-82E6-4E808519AF9C}">
      <text>
        <r>
          <rPr>
            <sz val="11"/>
            <color rgb="FF000000"/>
            <rFont val="Aptos Narrow"/>
            <family val="2"/>
            <scheme val="minor"/>
          </rPr>
          <t>======
ID#AAABMFKNDW8
Canalyst (MA)    (2024-04-17 02:07:42)
Not reported</t>
        </r>
      </text>
    </comment>
    <comment ref="AB50" authorId="0" shapeId="0" xr:uid="{11151D36-0082-43AF-A22B-2AE6945638F6}">
      <text>
        <r>
          <rPr>
            <sz val="11"/>
            <color rgb="FF000000"/>
            <rFont val="Aptos Narrow"/>
            <family val="2"/>
            <scheme val="minor"/>
          </rPr>
          <t>======
ID#AAABMFKNDCI
Canalyst (MA)    (2024-04-17 02:07:42)
Not reported</t>
        </r>
      </text>
    </comment>
    <comment ref="AC50" authorId="0" shapeId="0" xr:uid="{B59F8292-DDEB-4F3D-B965-B72AF85B8B27}">
      <text>
        <r>
          <rPr>
            <sz val="11"/>
            <color rgb="FF000000"/>
            <rFont val="Aptos Narrow"/>
            <family val="2"/>
            <scheme val="minor"/>
          </rPr>
          <t>======
ID#AAABMFKNDIQ
Canalyst (MA)    (2024-04-17 02:07:42)
Not reported</t>
        </r>
      </text>
    </comment>
    <comment ref="AD50" authorId="0" shapeId="0" xr:uid="{C0B330C5-E6DD-4151-A70F-8D4AC3E9613E}">
      <text>
        <r>
          <rPr>
            <sz val="11"/>
            <color rgb="FF000000"/>
            <rFont val="Aptos Narrow"/>
            <family val="2"/>
            <scheme val="minor"/>
          </rPr>
          <t>======
ID#AAABMFKNDMU
Canalyst (MA)    (2024-04-17 02:07:42)
Not reported</t>
        </r>
      </text>
    </comment>
    <comment ref="AF50" authorId="0" shapeId="0" xr:uid="{6C6239C4-6A06-40D5-8EC7-DE161CDE5987}">
      <text>
        <r>
          <rPr>
            <sz val="11"/>
            <color rgb="FF000000"/>
            <rFont val="Aptos Narrow"/>
            <family val="2"/>
            <scheme val="minor"/>
          </rPr>
          <t>======
ID#AAABMFKNDW0
Canalyst (MA)    (2024-04-17 02:07:42)
Not reported</t>
        </r>
      </text>
    </comment>
    <comment ref="AG50" authorId="0" shapeId="0" xr:uid="{251F89D3-C7EA-49FA-9916-98772F1A7704}">
      <text>
        <r>
          <rPr>
            <sz val="11"/>
            <color rgb="FF000000"/>
            <rFont val="Aptos Narrow"/>
            <family val="2"/>
            <scheme val="minor"/>
          </rPr>
          <t>======
ID#AAABMFKNDAU
Canalyst (MA)    (2024-04-17 02:07:42)
Not reported</t>
        </r>
      </text>
    </comment>
    <comment ref="AH50" authorId="0" shapeId="0" xr:uid="{206C7C93-9706-40BE-8F25-7F5B8AC10091}">
      <text>
        <r>
          <rPr>
            <sz val="11"/>
            <color rgb="FF000000"/>
            <rFont val="Aptos Narrow"/>
            <family val="2"/>
            <scheme val="minor"/>
          </rPr>
          <t>======
ID#AAABMFKNDWk
Canalyst (MA)    (2024-04-17 02:07:42)
Not reported</t>
        </r>
      </text>
    </comment>
    <comment ref="AI50" authorId="0" shapeId="0" xr:uid="{9DB58F81-68F3-4149-ACE2-6059EFE04453}">
      <text>
        <r>
          <rPr>
            <sz val="11"/>
            <color rgb="FF000000"/>
            <rFont val="Aptos Narrow"/>
            <family val="2"/>
            <scheme val="minor"/>
          </rPr>
          <t>======
ID#AAABMFKNC9E
Canalyst (MA)    (2024-04-17 02:07:42)
Not reported</t>
        </r>
      </text>
    </comment>
    <comment ref="AK50" authorId="0" shapeId="0" xr:uid="{0AD50F46-DF26-497F-B770-EA54C0D28E35}">
      <text>
        <r>
          <rPr>
            <sz val="11"/>
            <color rgb="FF000000"/>
            <rFont val="Aptos Narrow"/>
            <family val="2"/>
            <scheme val="minor"/>
          </rPr>
          <t>======
ID#AAABMFKNDU0
Canalyst (MA)    (2024-04-17 02:07:42)
Not reported</t>
        </r>
      </text>
    </comment>
    <comment ref="AL50" authorId="0" shapeId="0" xr:uid="{55B6F51E-84FD-4824-8102-EB08ED45CB19}">
      <text>
        <r>
          <rPr>
            <sz val="11"/>
            <color rgb="FF000000"/>
            <rFont val="Aptos Narrow"/>
            <family val="2"/>
            <scheme val="minor"/>
          </rPr>
          <t>======
ID#AAABMFKNDIM
Canalyst (MA)    (2024-04-17 02:07:42)
Not reported</t>
        </r>
      </text>
    </comment>
    <comment ref="AM50" authorId="0" shapeId="0" xr:uid="{B981FB6D-746F-401A-913C-983A6EBAEE15}">
      <text>
        <r>
          <rPr>
            <sz val="11"/>
            <color rgb="FF000000"/>
            <rFont val="Aptos Narrow"/>
            <family val="2"/>
            <scheme val="minor"/>
          </rPr>
          <t>======
ID#AAABMFKNDJg
Canalyst (MA)    (2024-04-17 02:07:42)
Not reported</t>
        </r>
      </text>
    </comment>
    <comment ref="AN50" authorId="0" shapeId="0" xr:uid="{ACCACC98-83F6-468C-A75E-6A52CFAE209D}">
      <text>
        <r>
          <rPr>
            <sz val="11"/>
            <color rgb="FF000000"/>
            <rFont val="Aptos Narrow"/>
            <family val="2"/>
            <scheme val="minor"/>
          </rPr>
          <t>======
ID#AAABMFKNDFA
Canalyst (MA)    (2024-04-17 02:07:42)
Not reported</t>
        </r>
      </text>
    </comment>
    <comment ref="AP50" authorId="0" shapeId="0" xr:uid="{2314562E-8C06-43BE-9B9F-1C87F7810CE9}">
      <text>
        <r>
          <rPr>
            <sz val="11"/>
            <color rgb="FF000000"/>
            <rFont val="Aptos Narrow"/>
            <family val="2"/>
            <scheme val="minor"/>
          </rPr>
          <t>======
ID#AAABMEc8ZHs
Canalyst (MA)    (2024-04-17 02:07:42)
Not reported</t>
        </r>
      </text>
    </comment>
    <comment ref="AQ50" authorId="0" shapeId="0" xr:uid="{88499992-3B63-45B8-A0E3-3810245B910F}">
      <text>
        <r>
          <rPr>
            <sz val="11"/>
            <color rgb="FF000000"/>
            <rFont val="Aptos Narrow"/>
            <family val="2"/>
            <scheme val="minor"/>
          </rPr>
          <t>======
ID#AAABMFKNC7w
Canalyst (MA)    (2024-04-17 02:07:42)
Not reported</t>
        </r>
      </text>
    </comment>
    <comment ref="AR50" authorId="0" shapeId="0" xr:uid="{290124ED-4A97-4A47-BEB3-7F62383BAA8C}">
      <text>
        <r>
          <rPr>
            <sz val="11"/>
            <color rgb="FF000000"/>
            <rFont val="Aptos Narrow"/>
            <family val="2"/>
            <scheme val="minor"/>
          </rPr>
          <t>======
ID#AAABMFKNDUY
Canalyst (MA)    (2024-04-17 02:07:42)
Not reported</t>
        </r>
      </text>
    </comment>
    <comment ref="AS50" authorId="0" shapeId="0" xr:uid="{4E7D9F75-E55E-4347-8795-92AF895DE783}">
      <text>
        <r>
          <rPr>
            <sz val="11"/>
            <color rgb="FF000000"/>
            <rFont val="Aptos Narrow"/>
            <family val="2"/>
            <scheme val="minor"/>
          </rPr>
          <t>======
ID#AAABMEX2nKA
Canalyst (MA)    (2024-04-17 02:07:42)
Not reported</t>
        </r>
      </text>
    </comment>
    <comment ref="AU50" authorId="0" shapeId="0" xr:uid="{6104828A-5878-4FED-9B04-56095CDA81D7}">
      <text>
        <r>
          <rPr>
            <sz val="11"/>
            <color rgb="FF000000"/>
            <rFont val="Aptos Narrow"/>
            <family val="2"/>
            <scheme val="minor"/>
          </rPr>
          <t>======
ID#AAABMFKNDEQ
Canalyst (MA)    (2024-04-17 02:07:42)
not reported estimated</t>
        </r>
      </text>
    </comment>
    <comment ref="AV50" authorId="0" shapeId="0" xr:uid="{61C5B891-FF1A-4140-9603-10DEB55BB9B7}">
      <text>
        <r>
          <rPr>
            <sz val="11"/>
            <color rgb="FF000000"/>
            <rFont val="Aptos Narrow"/>
            <family val="2"/>
            <scheme val="minor"/>
          </rPr>
          <t>======
ID#AAABMFKNDRw
Canalyst (EAY)    (2024-04-17 02:07:42)
Estimated cumulative amount; Q2 amount was reported as 0.1</t>
        </r>
      </text>
    </comment>
    <comment ref="J55" authorId="0" shapeId="0" xr:uid="{E19E2EE7-7012-44B6-84A8-16019157681E}">
      <text>
        <r>
          <rPr>
            <sz val="11"/>
            <color rgb="FF000000"/>
            <rFont val="Aptos Narrow"/>
            <family val="2"/>
            <scheme val="minor"/>
          </rPr>
          <t>======
ID#AAABMFKNC_k
Canalyst (ML)    (2024-04-17 02:07:42)
Includes 3 relocations.</t>
        </r>
      </text>
    </comment>
    <comment ref="M55" authorId="0" shapeId="0" xr:uid="{ED4F0B06-BF83-4194-86C8-9459FDCD942B}">
      <text>
        <r>
          <rPr>
            <sz val="11"/>
            <color rgb="FF000000"/>
            <rFont val="Aptos Narrow"/>
            <family val="2"/>
            <scheme val="minor"/>
          </rPr>
          <t>======
ID#AAABMFKNDC4
Canalyst (ML)    (2024-04-17 02:07:42)
Includes 1 relocation.</t>
        </r>
      </text>
    </comment>
    <comment ref="AB55" authorId="0" shapeId="0" xr:uid="{2C6C6D32-E503-457C-AFD2-1A70F5D7F992}">
      <text>
        <r>
          <rPr>
            <sz val="11"/>
            <color rgb="FF000000"/>
            <rFont val="Aptos Narrow"/>
            <family val="2"/>
            <scheme val="minor"/>
          </rPr>
          <t>======
ID#AAABMFKNDKQ
Canalyst (ML)    (2024-04-17 02:07:42)
Relocation</t>
        </r>
      </text>
    </comment>
    <comment ref="J56" authorId="0" shapeId="0" xr:uid="{620F1B83-5CD2-496E-AC1D-52E890803600}">
      <text>
        <r>
          <rPr>
            <sz val="11"/>
            <color rgb="FF000000"/>
            <rFont val="Aptos Narrow"/>
            <family val="2"/>
            <scheme val="minor"/>
          </rPr>
          <t>======
ID#AAABMFKNDXc
Canalyst (ML)    (2024-04-17 02:07:42)
3 relocations.</t>
        </r>
      </text>
    </comment>
    <comment ref="M56" authorId="0" shapeId="0" xr:uid="{1F67480F-C638-4EDE-BF77-C128C7CAA6CE}">
      <text>
        <r>
          <rPr>
            <sz val="11"/>
            <color rgb="FF000000"/>
            <rFont val="Aptos Narrow"/>
            <family val="2"/>
            <scheme val="minor"/>
          </rPr>
          <t>======
ID#AAABMEX2nKI
Canalyst (ML)    (2024-04-17 02:07:42)
Relocation.</t>
        </r>
      </text>
    </comment>
    <comment ref="AB56" authorId="0" shapeId="0" xr:uid="{6A574C80-E527-4DC3-9F5B-F68D63B70C8D}">
      <text>
        <r>
          <rPr>
            <sz val="11"/>
            <color rgb="FF000000"/>
            <rFont val="Aptos Narrow"/>
            <family val="2"/>
            <scheme val="minor"/>
          </rPr>
          <t>======
ID#AAABMFKNDOk
Canalyst (ML)    (2024-04-17 02:07:42)
Includes 1 relocation.</t>
        </r>
      </text>
    </comment>
    <comment ref="A61" authorId="0" shapeId="0" xr:uid="{E1D38B7A-7387-4538-939C-728D8159D069}">
      <text/>
    </comment>
    <comment ref="BU61" authorId="0" shapeId="0" xr:uid="{0AA182FA-07E8-4B31-BBED-3639EF62928D}">
      <text>
        <r>
          <rPr>
            <sz val="11"/>
            <color rgb="FF000000"/>
            <rFont val="Aptos Narrow"/>
            <family val="2"/>
            <scheme val="minor"/>
          </rPr>
          <t>======
ID#AAABMFKNDSY
Canalyst (CS)    (2024-04-17 02:07:42)
Assumes that half of the new stores added in the prior year are owned for at least 18 months and enter the comp base.</t>
        </r>
      </text>
    </comment>
    <comment ref="BV61" authorId="0" shapeId="0" xr:uid="{C7551517-8C04-4DB9-B91A-36CD89DD1788}">
      <text>
        <r>
          <rPr>
            <sz val="11"/>
            <color rgb="FF000000"/>
            <rFont val="Aptos Narrow"/>
            <family val="2"/>
            <scheme val="minor"/>
          </rPr>
          <t>======
ID#AAABMFKNDNY
Canalyst (CS)    (2024-04-17 02:07:42)
Assumes that half of the new stores added in the prior year are owned for at least 18 months and enter the comp base.</t>
        </r>
      </text>
    </comment>
    <comment ref="A62" authorId="0" shapeId="0" xr:uid="{B4C116F0-0673-4D72-8D9D-D47824B0D08C}">
      <text>
        <r>
          <rPr>
            <sz val="11"/>
            <color rgb="FF000000"/>
            <rFont val="Aptos Narrow"/>
            <family val="2"/>
            <scheme val="minor"/>
          </rPr>
          <t>======
ID#AAABMFKNDUE
Canalyst (RE)    (2024-04-17 02:07:42)
Assumes mid-period convention. Therefore last period's store opening was only considered comparable for half the period. Additionally, stores that were closed during the period are assumed to be open for half the period and contributed to comp revenue.</t>
        </r>
      </text>
    </comment>
    <comment ref="BU62" authorId="0" shapeId="0" xr:uid="{B20092CA-33D3-47F4-B7CA-4FE56B677F94}">
      <text>
        <r>
          <rPr>
            <sz val="11"/>
            <color rgb="FF000000"/>
            <rFont val="Aptos Narrow"/>
            <family val="2"/>
            <scheme val="minor"/>
          </rPr>
          <t>======
ID#AAABMFKNDLU
Canalyst (RE)    (2024-04-17 02:07:42)
Due to a 18-month comparable period, the calculation estimates the estimated amount of time that the new stores are not in the comparable period. Assumption of mid-period convention is still in effect</t>
        </r>
      </text>
    </comment>
    <comment ref="BV62" authorId="0" shapeId="0" xr:uid="{AB66D32D-846D-4444-90B5-A545DC9DEA73}">
      <text>
        <r>
          <rPr>
            <sz val="11"/>
            <color rgb="FF000000"/>
            <rFont val="Aptos Narrow"/>
            <family val="2"/>
            <scheme val="minor"/>
          </rPr>
          <t>======
ID#AAABMFKNDUo
Canalyst (RE)    (2024-04-17 02:07:42)
Due to a 18-month comparable period, the calculation estimates the estimated amount of time that the new stores are not in the comparable period. Assumption of mid-period convention is still in effect</t>
        </r>
      </text>
    </comment>
    <comment ref="A65" authorId="0" shapeId="0" xr:uid="{E4F77B10-7643-4EC9-AEBE-38CA182ECD99}">
      <text>
        <r>
          <rPr>
            <sz val="11"/>
            <color rgb="FF000000"/>
            <rFont val="Aptos Narrow"/>
            <family val="2"/>
            <scheme val="minor"/>
          </rPr>
          <t>======
ID#AAABMFKNC5o
Canalyst (RE)    (2024-04-17 02:07:42)
Assumes mid-period convention. Therefore, last period's store opening is considered non-comparable for half the period. Additionally, the store opened during this period is assumed be opened half way during the period.</t>
        </r>
      </text>
    </comment>
    <comment ref="BU65" authorId="0" shapeId="0" xr:uid="{937F30CC-A133-4E15-8E90-60138D72F4DD}">
      <text>
        <r>
          <rPr>
            <sz val="11"/>
            <color rgb="FF000000"/>
            <rFont val="Aptos Narrow"/>
            <family val="2"/>
            <scheme val="minor"/>
          </rPr>
          <t>======
ID#AAABMFKNC5k
Canalyst (RE)    (2024-04-17 02:07:42)
Due to a 18-month comparable period, the calculation estimates the estimated amount of time that the new stores are not in the comparable period. Assumption of mid-period convention is still in effect</t>
        </r>
      </text>
    </comment>
    <comment ref="BV65" authorId="0" shapeId="0" xr:uid="{A46358A4-1C47-4421-9E24-C6187008681A}">
      <text>
        <r>
          <rPr>
            <sz val="11"/>
            <color rgb="FF000000"/>
            <rFont val="Aptos Narrow"/>
            <family val="2"/>
            <scheme val="minor"/>
          </rPr>
          <t>======
ID#AAABMFKNDR0
Canalyst (RE)    (2024-04-17 02:07:42)
Due to a 18-month comparable period, the calculation estimates the estimated amount of time that the new stores are not in the comparable period. Assumption of mid-period convention is still in effect</t>
        </r>
      </text>
    </comment>
    <comment ref="T82" authorId="0" shapeId="0" xr:uid="{9CB5569A-97C3-4093-B2F5-3AE628BBDBC2}">
      <text>
        <r>
          <rPr>
            <sz val="11"/>
            <color rgb="FF000000"/>
            <rFont val="Aptos Narrow"/>
            <family val="2"/>
            <scheme val="minor"/>
          </rPr>
          <t>======
ID#AAABMFKNC3s
Canalyst (AZ)    (2024-04-17 02:07:42)
Reported in Q4 15 earnings call transcript</t>
        </r>
      </text>
    </comment>
    <comment ref="Y82" authorId="0" shapeId="0" xr:uid="{8CAC762C-CA12-4BDA-B59C-7314B8F59453}">
      <text>
        <r>
          <rPr>
            <sz val="11"/>
            <color rgb="FF000000"/>
            <rFont val="Aptos Narrow"/>
            <family val="2"/>
            <scheme val="minor"/>
          </rPr>
          <t>======
ID#AAABMFKNDNg
Canalyst (AZ)    (2024-04-17 02:07:42)
Reported in Q4 16 earnings call transcript</t>
        </r>
      </text>
    </comment>
    <comment ref="AD82" authorId="0" shapeId="0" xr:uid="{B9D3893F-87BD-4885-94B2-00A0B0D99AA8}">
      <text>
        <r>
          <rPr>
            <sz val="11"/>
            <color rgb="FF000000"/>
            <rFont val="Aptos Narrow"/>
            <family val="2"/>
            <scheme val="minor"/>
          </rPr>
          <t>======
ID#AAABMEc8ZIM
Canalyst (AZ)    (2024-04-17 02:07:42)
Reported in Q4 17 earnings call transcript</t>
        </r>
      </text>
    </comment>
    <comment ref="AI82" authorId="0" shapeId="0" xr:uid="{2829BB10-81CF-4E4A-B658-DEB2B2D49D40}">
      <text>
        <r>
          <rPr>
            <sz val="11"/>
            <color rgb="FF000000"/>
            <rFont val="Aptos Narrow"/>
            <family val="2"/>
            <scheme val="minor"/>
          </rPr>
          <t>======
ID#AAABMFKNDGE
Canalyst (AZ)    (2024-04-17 02:07:42)
Reported in Q4 18 earnings call transcript</t>
        </r>
      </text>
    </comment>
    <comment ref="AN82" authorId="0" shapeId="0" xr:uid="{613E5D1D-7F26-46F4-B84D-D68CA3D51C0E}">
      <text>
        <r>
          <rPr>
            <sz val="11"/>
            <color rgb="FF000000"/>
            <rFont val="Aptos Narrow"/>
            <family val="2"/>
            <scheme val="minor"/>
          </rPr>
          <t>======
ID#AAABMFKNDRI
Canalyst (RZ)    (2024-04-17 02:07:42)
Reported in Q4 19 earnings call transcript</t>
        </r>
      </text>
    </comment>
    <comment ref="T83" authorId="0" shapeId="0" xr:uid="{6A284FD6-6584-455E-B72D-D411230F95B4}">
      <text>
        <r>
          <rPr>
            <sz val="11"/>
            <color rgb="FF000000"/>
            <rFont val="Aptos Narrow"/>
            <family val="2"/>
            <scheme val="minor"/>
          </rPr>
          <t>======
ID#AAABMFKNC-I
Canalyst (AZ)    (2024-04-17 02:07:42)
Reported in Q4 15 earnings call transcript</t>
        </r>
      </text>
    </comment>
    <comment ref="Y83" authorId="0" shapeId="0" xr:uid="{E49146C5-4B07-492A-9E11-3E4E8057411E}">
      <text>
        <r>
          <rPr>
            <sz val="11"/>
            <color rgb="FF000000"/>
            <rFont val="Aptos Narrow"/>
            <family val="2"/>
            <scheme val="minor"/>
          </rPr>
          <t>======
ID#AAABMFKNDFE
Canalyst (AZ)    (2024-04-17 02:07:42)
Reported in Q4 16 earnings call transcript</t>
        </r>
      </text>
    </comment>
    <comment ref="AD83" authorId="0" shapeId="0" xr:uid="{49F4296C-0F04-4768-AB20-5389A00F5AE7}">
      <text>
        <r>
          <rPr>
            <sz val="11"/>
            <color rgb="FF000000"/>
            <rFont val="Aptos Narrow"/>
            <family val="2"/>
            <scheme val="minor"/>
          </rPr>
          <t>======
ID#AAABMFKNDGo
Canalyst (AZ)    (2024-04-17 02:07:42)
Reported in Q4 17 earnings call transcript</t>
        </r>
      </text>
    </comment>
    <comment ref="AI83" authorId="0" shapeId="0" xr:uid="{86816F18-110D-4ECE-84BE-8E834998720D}">
      <text>
        <r>
          <rPr>
            <sz val="11"/>
            <color rgb="FF000000"/>
            <rFont val="Aptos Narrow"/>
            <family val="2"/>
            <scheme val="minor"/>
          </rPr>
          <t>======
ID#AAABMFKNDGs
Canalyst (AZ)    (2024-04-17 02:07:42)
Reported in Q4 18 earnings call transcript</t>
        </r>
      </text>
    </comment>
    <comment ref="AN83" authorId="0" shapeId="0" xr:uid="{1C05E197-986B-45E4-90B0-B68DB5242FEC}">
      <text>
        <r>
          <rPr>
            <sz val="11"/>
            <color rgb="FF000000"/>
            <rFont val="Aptos Narrow"/>
            <family val="2"/>
            <scheme val="minor"/>
          </rPr>
          <t>======
ID#AAABMFKNC8s
Canalyst (RZ)    (2024-04-17 02:07:42)
Reported in Q4 19 earnings call transcript</t>
        </r>
      </text>
    </comment>
    <comment ref="T85" authorId="0" shapeId="0" xr:uid="{B0E3661F-45DF-4D6B-B4CB-13AB9187961A}">
      <text>
        <r>
          <rPr>
            <sz val="11"/>
            <color rgb="FF000000"/>
            <rFont val="Aptos Narrow"/>
            <family val="2"/>
            <scheme val="minor"/>
          </rPr>
          <t>======
ID#AAABMFKNC-M
Canalyst (AZ)    (2024-04-17 02:07:42)
Reported in Q4 15 earnings call transcript</t>
        </r>
      </text>
    </comment>
    <comment ref="Y85" authorId="0" shapeId="0" xr:uid="{5DA38A6B-E218-45D7-903F-85A1FE5CDC68}">
      <text>
        <r>
          <rPr>
            <sz val="11"/>
            <color rgb="FF000000"/>
            <rFont val="Aptos Narrow"/>
            <family val="2"/>
            <scheme val="minor"/>
          </rPr>
          <t>======
ID#AAABMFKNDAk
Canalyst (AZ)    (2024-04-17 02:07:42)
Reported in Q4 16 earnings call transcript</t>
        </r>
      </text>
    </comment>
    <comment ref="AD85" authorId="0" shapeId="0" xr:uid="{C3416B76-BF5D-4F94-A323-F5EB19203151}">
      <text>
        <r>
          <rPr>
            <sz val="11"/>
            <color rgb="FF000000"/>
            <rFont val="Aptos Narrow"/>
            <family val="2"/>
            <scheme val="minor"/>
          </rPr>
          <t>======
ID#AAABMFKNDQU
Canalyst (AZ)    (2024-04-17 02:07:42)
Reported in Q4 17 earnings call transcript</t>
        </r>
      </text>
    </comment>
    <comment ref="AI85" authorId="0" shapeId="0" xr:uid="{4AE96BBE-460B-4BCA-8321-269871422714}">
      <text>
        <r>
          <rPr>
            <sz val="11"/>
            <color rgb="FF000000"/>
            <rFont val="Aptos Narrow"/>
            <family val="2"/>
            <scheme val="minor"/>
          </rPr>
          <t>======
ID#AAABMFKNDXo
Canalyst (AZ)    (2024-04-17 02:07:42)
Reported in Q4 18 earnings call transcript</t>
        </r>
      </text>
    </comment>
    <comment ref="AN85" authorId="0" shapeId="0" xr:uid="{0798CEC6-8575-4678-8ADE-EACFB5EC5F14}">
      <text>
        <r>
          <rPr>
            <sz val="11"/>
            <color rgb="FF000000"/>
            <rFont val="Aptos Narrow"/>
            <family val="2"/>
            <scheme val="minor"/>
          </rPr>
          <t>======
ID#AAABMFKNDYk
Canalyst (RZ)    (2024-04-17 02:07:42)
Reported in Q4 19 earnings call transcript</t>
        </r>
      </text>
    </comment>
    <comment ref="A86" authorId="0" shapeId="0" xr:uid="{A734626F-3055-4CDD-BD70-72F75E92382C}">
      <text>
        <r>
          <rPr>
            <sz val="11"/>
            <color rgb="FF000000"/>
            <rFont val="Aptos Narrow"/>
            <family val="2"/>
            <scheme val="minor"/>
          </rPr>
          <t>======
ID#AAABMFKNDXM
Canalyst (AlD)    (2024-04-17 02:07:42)
Restaurants become eligible to enter our comparable sales base in their 19th month of operation.</t>
        </r>
      </text>
    </comment>
    <comment ref="A87" authorId="0" shapeId="0" xr:uid="{DF25BCAF-B03F-40F2-B0B4-9440D75874A0}">
      <text>
        <r>
          <rPr>
            <sz val="11"/>
            <color rgb="FF000000"/>
            <rFont val="Aptos Narrow"/>
            <family val="2"/>
            <scheme val="minor"/>
          </rPr>
          <t>======
ID#AAABMFKNDH0
Canalyst (RE)    (2024-04-17 02:07:42)
Productivity of new stores relative to comp stores. This would include size of new stores, population density surrounding the store, initial start up honeymoon period/lack of traffic, etc.
Annual calculation adjusts out revenue that was earned as a new store during the quarter which by year end qualifies as a comparable store (i.e. store in Q2 that was a "new store" may not be in Q4/FY)</t>
        </r>
      </text>
    </comment>
    <comment ref="A88" authorId="0" shapeId="0" xr:uid="{B3FCCF71-0689-4BC3-BDC3-6940D1C89FEE}">
      <text>
        <r>
          <rPr>
            <sz val="11"/>
            <color rgb="FF000000"/>
            <rFont val="Aptos Narrow"/>
            <family val="2"/>
            <scheme val="minor"/>
          </rPr>
          <t>======
ID#AAABMFKNDPM
Canalyst (RE)    (2024-04-17 02:07:42)
Productivity of closed stores during the period relative to comp stores</t>
        </r>
      </text>
    </comment>
    <comment ref="Q88" authorId="0" shapeId="0" xr:uid="{F0C54847-936D-483A-9C95-36FBC685E7E2}">
      <text>
        <r>
          <rPr>
            <sz val="11"/>
            <color rgb="FF000000"/>
            <rFont val="Aptos Narrow"/>
            <family val="2"/>
            <scheme val="minor"/>
          </rPr>
          <t>======
ID#AAABMFKNC6w
Canalyst    (2024-04-17 02:07:42)
Assumption by Canalyst</t>
        </r>
      </text>
    </comment>
    <comment ref="R88" authorId="0" shapeId="0" xr:uid="{C446A70A-67AC-4F1E-9755-330EF2ABA9B2}">
      <text>
        <r>
          <rPr>
            <sz val="11"/>
            <color rgb="FF000000"/>
            <rFont val="Aptos Narrow"/>
            <family val="2"/>
            <scheme val="minor"/>
          </rPr>
          <t>======
ID#AAABMFKNDPo
Canalyst    (2024-04-17 02:07:42)
Assumption by Canalyst</t>
        </r>
      </text>
    </comment>
    <comment ref="S88" authorId="0" shapeId="0" xr:uid="{814A9368-9749-469F-9F32-57A839D1C1AB}">
      <text>
        <r>
          <rPr>
            <sz val="11"/>
            <color rgb="FF000000"/>
            <rFont val="Aptos Narrow"/>
            <family val="2"/>
            <scheme val="minor"/>
          </rPr>
          <t>======
ID#AAABMFKNC_U
Canalyst    (2024-04-17 02:07:42)
Assumption by Canalyst</t>
        </r>
      </text>
    </comment>
    <comment ref="T88" authorId="0" shapeId="0" xr:uid="{9FA9EC52-0FF8-45E7-9CBD-E14913E44FF8}">
      <text>
        <r>
          <rPr>
            <sz val="11"/>
            <color rgb="FF000000"/>
            <rFont val="Aptos Narrow"/>
            <family val="2"/>
            <scheme val="minor"/>
          </rPr>
          <t>======
ID#AAABMFKNDR4
Canalyst    (2024-04-17 02:07:42)
Assumption by Canalyst</t>
        </r>
      </text>
    </comment>
    <comment ref="V88" authorId="0" shapeId="0" xr:uid="{DCF590E6-8774-472E-B54D-C43B9690617B}">
      <text>
        <r>
          <rPr>
            <sz val="11"/>
            <color rgb="FF000000"/>
            <rFont val="Aptos Narrow"/>
            <family val="2"/>
            <scheme val="minor"/>
          </rPr>
          <t>======
ID#AAABMFKNDAo
Canalyst    (2024-04-17 02:07:42)
Assumption by Canalyst</t>
        </r>
      </text>
    </comment>
    <comment ref="W88" authorId="0" shapeId="0" xr:uid="{998D7034-0812-498A-BB49-06503F0E45BF}">
      <text>
        <r>
          <rPr>
            <sz val="11"/>
            <color rgb="FF000000"/>
            <rFont val="Aptos Narrow"/>
            <family val="2"/>
            <scheme val="minor"/>
          </rPr>
          <t>======
ID#AAABMFKNDSw
Canalyst    (2024-04-17 02:07:42)
Assumption by Canalyst</t>
        </r>
      </text>
    </comment>
    <comment ref="X88" authorId="0" shapeId="0" xr:uid="{CD88CC58-EE27-422E-87C5-0A432850E943}">
      <text>
        <r>
          <rPr>
            <sz val="11"/>
            <color rgb="FF000000"/>
            <rFont val="Aptos Narrow"/>
            <family val="2"/>
            <scheme val="minor"/>
          </rPr>
          <t>======
ID#AAABMFKNC3g
Canalyst    (2024-04-17 02:07:42)
Assumption by Canalyst</t>
        </r>
      </text>
    </comment>
    <comment ref="Y88" authorId="0" shapeId="0" xr:uid="{C07D02A4-6F03-4938-822B-7F2A2FF0AEA0}">
      <text>
        <r>
          <rPr>
            <sz val="11"/>
            <color rgb="FF000000"/>
            <rFont val="Aptos Narrow"/>
            <family val="2"/>
            <scheme val="minor"/>
          </rPr>
          <t>======
ID#AAABMFKNDJA
Canalyst    (2024-04-17 02:07:42)
Assumption by Canalyst</t>
        </r>
      </text>
    </comment>
    <comment ref="AA88" authorId="0" shapeId="0" xr:uid="{0A264972-848D-47EF-9BF9-D31BF9302A92}">
      <text>
        <r>
          <rPr>
            <sz val="11"/>
            <color rgb="FF000000"/>
            <rFont val="Aptos Narrow"/>
            <family val="2"/>
            <scheme val="minor"/>
          </rPr>
          <t>======
ID#AAABMFKNC7k
Canalyst    (2024-04-17 02:07:42)
Assumption by Canalyst</t>
        </r>
      </text>
    </comment>
    <comment ref="AB88" authorId="0" shapeId="0" xr:uid="{FEE8AA4C-BEC8-4D8C-B80C-5067855A6A97}">
      <text>
        <r>
          <rPr>
            <sz val="11"/>
            <color rgb="FF000000"/>
            <rFont val="Aptos Narrow"/>
            <family val="2"/>
            <scheme val="minor"/>
          </rPr>
          <t>======
ID#AAABMFKNDHs
Canalyst    (2024-04-17 02:07:42)
Assumption by Canalyst</t>
        </r>
      </text>
    </comment>
    <comment ref="AC88" authorId="0" shapeId="0" xr:uid="{1DA77C8B-0873-4992-9526-E17EEFF8F789}">
      <text>
        <r>
          <rPr>
            <sz val="11"/>
            <color rgb="FF000000"/>
            <rFont val="Aptos Narrow"/>
            <family val="2"/>
            <scheme val="minor"/>
          </rPr>
          <t>======
ID#AAABMFKNDKE
Canalyst    (2024-04-17 02:07:42)
Assumption by Canalyst</t>
        </r>
      </text>
    </comment>
    <comment ref="AD88" authorId="0" shapeId="0" xr:uid="{AC0F8A3F-10B6-4F7D-AA4C-91F9D42C4C1C}">
      <text>
        <r>
          <rPr>
            <sz val="11"/>
            <color rgb="FF000000"/>
            <rFont val="Aptos Narrow"/>
            <family val="2"/>
            <scheme val="minor"/>
          </rPr>
          <t>======
ID#AAABMFKNDKw
Canalyst    (2024-04-17 02:07:42)
Assumption by Canalyst</t>
        </r>
      </text>
    </comment>
    <comment ref="AF88" authorId="0" shapeId="0" xr:uid="{E50BA651-A2FC-4756-8FD4-F228331B77FB}">
      <text>
        <r>
          <rPr>
            <sz val="11"/>
            <color rgb="FF000000"/>
            <rFont val="Aptos Narrow"/>
            <family val="2"/>
            <scheme val="minor"/>
          </rPr>
          <t>======
ID#AAABMFKNDaE
Canalyst    (2024-04-17 02:07:43)
Assumption by Canalyst</t>
        </r>
      </text>
    </comment>
    <comment ref="AG88" authorId="0" shapeId="0" xr:uid="{357AEA6F-5E58-490E-A8DA-9BC92F856213}">
      <text>
        <r>
          <rPr>
            <sz val="11"/>
            <color rgb="FF000000"/>
            <rFont val="Aptos Narrow"/>
            <family val="2"/>
            <scheme val="minor"/>
          </rPr>
          <t>======
ID#AAABMFKNDZo
Canalyst    (2024-04-17 02:07:43)
Assumption by Canalyst</t>
        </r>
      </text>
    </comment>
    <comment ref="AH88" authorId="0" shapeId="0" xr:uid="{DCCF3A21-382F-41B2-AA0F-124322104ADB}">
      <text>
        <r>
          <rPr>
            <sz val="11"/>
            <color rgb="FF000000"/>
            <rFont val="Aptos Narrow"/>
            <family val="2"/>
            <scheme val="minor"/>
          </rPr>
          <t>======
ID#AAABMFKNDOI
Canalyst    (2024-04-17 02:07:42)
Assumption by Canalyst</t>
        </r>
      </text>
    </comment>
    <comment ref="AI88" authorId="0" shapeId="0" xr:uid="{21C63681-A002-49C7-A259-2AF06F4A2DBA}">
      <text>
        <r>
          <rPr>
            <sz val="11"/>
            <color rgb="FF000000"/>
            <rFont val="Aptos Narrow"/>
            <family val="2"/>
            <scheme val="minor"/>
          </rPr>
          <t>======
ID#AAABMFKNDTo
Canalyst    (2024-04-17 02:07:42)
Assumption by Canalyst</t>
        </r>
      </text>
    </comment>
    <comment ref="AK88" authorId="0" shapeId="0" xr:uid="{F5F307EA-6587-4765-BEDB-EF4E26BA1BDC}">
      <text>
        <r>
          <rPr>
            <sz val="11"/>
            <color rgb="FF000000"/>
            <rFont val="Aptos Narrow"/>
            <family val="2"/>
            <scheme val="minor"/>
          </rPr>
          <t>======
ID#AAABMFKNDB0
Canalyst    (2024-04-17 02:07:42)
Assumption by Canalyst</t>
        </r>
      </text>
    </comment>
    <comment ref="AL88" authorId="0" shapeId="0" xr:uid="{1F748BE9-6CB9-4D44-BE29-A651A60A19EA}">
      <text>
        <r>
          <rPr>
            <sz val="11"/>
            <color rgb="FF000000"/>
            <rFont val="Aptos Narrow"/>
            <family val="2"/>
            <scheme val="minor"/>
          </rPr>
          <t>======
ID#AAABMEc8ZIg
Canalyst    (2024-04-17 02:07:42)
Assumption by Canalyst</t>
        </r>
      </text>
    </comment>
    <comment ref="AM88" authorId="0" shapeId="0" xr:uid="{1E32FDE3-795D-489A-AAD3-3F1474A7F3A7}">
      <text>
        <r>
          <rPr>
            <sz val="11"/>
            <color rgb="FF000000"/>
            <rFont val="Aptos Narrow"/>
            <family val="2"/>
            <scheme val="minor"/>
          </rPr>
          <t>======
ID#AAABMFKNDOQ
Canalyst    (2024-04-17 02:07:42)
Assumption by Canalyst</t>
        </r>
      </text>
    </comment>
    <comment ref="AN88" authorId="0" shapeId="0" xr:uid="{DF5FDBA9-EBCA-44C9-8B06-15D0962A0644}">
      <text>
        <r>
          <rPr>
            <sz val="11"/>
            <color rgb="FF000000"/>
            <rFont val="Aptos Narrow"/>
            <family val="2"/>
            <scheme val="minor"/>
          </rPr>
          <t>======
ID#AAABMFKNDM0
Canalyst    (2024-04-17 02:07:42)
Assumption by Canalyst</t>
        </r>
      </text>
    </comment>
    <comment ref="AP88" authorId="0" shapeId="0" xr:uid="{35E9D7C7-5B12-4BFD-904A-E161B621DCF7}">
      <text>
        <r>
          <rPr>
            <sz val="11"/>
            <color rgb="FF000000"/>
            <rFont val="Aptos Narrow"/>
            <family val="2"/>
            <scheme val="minor"/>
          </rPr>
          <t>======
ID#AAABMFKNC_E
Canalyst    (2024-04-17 02:07:42)
Assumption by Canalyst</t>
        </r>
      </text>
    </comment>
    <comment ref="AQ88" authorId="0" shapeId="0" xr:uid="{78BF3B06-3A44-4476-99FF-1BD9D74FD9E9}">
      <text>
        <r>
          <rPr>
            <sz val="11"/>
            <color rgb="FF000000"/>
            <rFont val="Aptos Narrow"/>
            <family val="2"/>
            <scheme val="minor"/>
          </rPr>
          <t>======
ID#AAABMFKNDWs
Canalyst    (2024-04-17 02:07:42)
Assumption by Canalyst</t>
        </r>
      </text>
    </comment>
    <comment ref="AR88" authorId="0" shapeId="0" xr:uid="{43C1CF79-7241-46BC-93B1-D8B8E1BDA68C}">
      <text>
        <r>
          <rPr>
            <sz val="11"/>
            <color rgb="FF000000"/>
            <rFont val="Aptos Narrow"/>
            <family val="2"/>
            <scheme val="minor"/>
          </rPr>
          <t>======
ID#AAABMFKNDG8
Canalyst    (2024-04-17 02:07:42)
Assumption by Canalyst</t>
        </r>
      </text>
    </comment>
    <comment ref="AS88" authorId="0" shapeId="0" xr:uid="{2FA1438A-BAA5-4047-A76F-31E2FD290BDB}">
      <text>
        <r>
          <rPr>
            <sz val="11"/>
            <color rgb="FF000000"/>
            <rFont val="Aptos Narrow"/>
            <family val="2"/>
            <scheme val="minor"/>
          </rPr>
          <t>======
ID#AAABMFKNDU4
Canalyst    (2024-04-17 02:07:42)
Assumption by Canalyst</t>
        </r>
      </text>
    </comment>
    <comment ref="AU88" authorId="0" shapeId="0" xr:uid="{72A451F7-8B43-4861-A9B4-8083C8A99ED6}">
      <text>
        <r>
          <rPr>
            <sz val="11"/>
            <color rgb="FF000000"/>
            <rFont val="Aptos Narrow"/>
            <family val="2"/>
            <scheme val="minor"/>
          </rPr>
          <t>======
ID#AAABMFKNDRc
Canalyst    (2024-04-17 02:07:42)
Assumption by Canalyst</t>
        </r>
      </text>
    </comment>
    <comment ref="AV88" authorId="0" shapeId="0" xr:uid="{DF068FA6-5B57-44E3-B426-5DF073B298B2}">
      <text>
        <r>
          <rPr>
            <sz val="11"/>
            <color rgb="FF000000"/>
            <rFont val="Aptos Narrow"/>
            <family val="2"/>
            <scheme val="minor"/>
          </rPr>
          <t>======
ID#AAABMFKNC3M
Canalyst    (2024-04-17 02:07:42)
Assumption by Canalyst</t>
        </r>
      </text>
    </comment>
    <comment ref="AX88" authorId="0" shapeId="0" xr:uid="{40064C1E-A447-4BDA-8563-395FDA1AEF41}">
      <text>
        <r>
          <rPr>
            <sz val="11"/>
            <color rgb="FF000000"/>
            <rFont val="Aptos Narrow"/>
            <family val="2"/>
            <scheme val="minor"/>
          </rPr>
          <t>======
ID#AAABMFKNDJk
Canalyst    (2024-04-17 02:07:42)
Assumption by Canalyst</t>
        </r>
      </text>
    </comment>
    <comment ref="AZ88" authorId="0" shapeId="0" xr:uid="{20AAA1F9-77C7-4CD2-81C8-D4F3C2B89C3D}">
      <text>
        <r>
          <rPr>
            <sz val="11"/>
            <color rgb="FF000000"/>
            <rFont val="Aptos Narrow"/>
            <family val="2"/>
            <scheme val="minor"/>
          </rPr>
          <t>======
ID#AAABMFKNDF0
Canalyst    (2024-04-17 02:07:42)
Assumption by Canalyst</t>
        </r>
      </text>
    </comment>
    <comment ref="BA88" authorId="0" shapeId="0" xr:uid="{4EDBDAB0-F5BC-4EE9-ABD7-981F62255B11}">
      <text>
        <r>
          <rPr>
            <sz val="11"/>
            <color rgb="FF000000"/>
            <rFont val="Aptos Narrow"/>
            <family val="2"/>
            <scheme val="minor"/>
          </rPr>
          <t>======
ID#AAABMFKNC7M
Canalyst    (2024-04-17 02:07:42)
Assumption by Canalyst</t>
        </r>
      </text>
    </comment>
    <comment ref="BB88" authorId="0" shapeId="0" xr:uid="{92770DBB-03C5-48CF-841E-89A5F4045EA0}">
      <text>
        <r>
          <rPr>
            <sz val="11"/>
            <color rgb="FF000000"/>
            <rFont val="Aptos Narrow"/>
            <family val="2"/>
            <scheme val="minor"/>
          </rPr>
          <t>======
ID#AAABMFKNDAI
Canalyst    (2024-04-17 02:07:42)
Assumption by Canalyst</t>
        </r>
      </text>
    </comment>
    <comment ref="BC88" authorId="0" shapeId="0" xr:uid="{5F9F2090-1295-4F0B-A9BE-72C36EBB72F8}">
      <text>
        <r>
          <rPr>
            <sz val="11"/>
            <color rgb="FF000000"/>
            <rFont val="Aptos Narrow"/>
            <family val="2"/>
            <scheme val="minor"/>
          </rPr>
          <t>======
ID#AAABMFKNC48
Canalyst    (2024-04-17 02:07:42)
Assumption by Canalyst</t>
        </r>
      </text>
    </comment>
    <comment ref="BE88" authorId="0" shapeId="0" xr:uid="{1F3E4D49-5D16-4F47-91AA-CED6F71B1E69}">
      <text>
        <r>
          <rPr>
            <sz val="11"/>
            <color rgb="FF000000"/>
            <rFont val="Aptos Narrow"/>
            <family val="2"/>
            <scheme val="minor"/>
          </rPr>
          <t>======
ID#AAABMFKNDOM
Canalyst    (2024-04-17 02:07:42)
Assumption by Canalyst</t>
        </r>
      </text>
    </comment>
    <comment ref="BF88" authorId="0" shapeId="0" xr:uid="{F2FEFE97-B52A-42B7-9FE7-B6FCD2E74C4D}">
      <text>
        <r>
          <rPr>
            <sz val="11"/>
            <color rgb="FF000000"/>
            <rFont val="Aptos Narrow"/>
            <family val="2"/>
            <scheme val="minor"/>
          </rPr>
          <t>======
ID#AAABMFKNDFY
Canalyst    (2024-04-17 02:07:42)
Assumption by Canalyst</t>
        </r>
      </text>
    </comment>
    <comment ref="BG88" authorId="0" shapeId="0" xr:uid="{A983941B-DDC2-4F30-8D85-E4A150AB2E2A}">
      <text>
        <r>
          <rPr>
            <sz val="11"/>
            <color rgb="FF000000"/>
            <rFont val="Aptos Narrow"/>
            <family val="2"/>
            <scheme val="minor"/>
          </rPr>
          <t>======
ID#AAABMFKNDTg
Canalyst    (2024-04-17 02:07:42)
Assumption by Canalyst</t>
        </r>
      </text>
    </comment>
    <comment ref="BH88" authorId="0" shapeId="0" xr:uid="{6B1F5378-1A4B-4018-BC7D-AA458BE207B5}">
      <text>
        <r>
          <rPr>
            <sz val="11"/>
            <color rgb="FF000000"/>
            <rFont val="Aptos Narrow"/>
            <family val="2"/>
            <scheme val="minor"/>
          </rPr>
          <t>======
ID#AAABMFKNDOg
Canalyst    (2024-04-17 02:07:42)
Assumption by Canalyst</t>
        </r>
      </text>
    </comment>
    <comment ref="A89" authorId="0" shapeId="0" xr:uid="{04C7F791-7276-4524-BF21-CE09859D969B}">
      <text>
        <r>
          <rPr>
            <sz val="11"/>
            <color rgb="FF000000"/>
            <rFont val="Aptos Narrow"/>
            <family val="2"/>
            <scheme val="minor"/>
          </rPr>
          <t>======
ID#AAABMFKNDMA
Canalyst (RE)    (2024-04-17 02:07:42)
Impact that closed stores against the total sales per operating week from the prior year. This calculation includes the productivity of closed stores and multiplies by the # of store weeks closed relative to the comp base. Therefore, it shows the impact closed stores have on the prior year comp base</t>
        </r>
      </text>
    </comment>
    <comment ref="AW89" authorId="0" shapeId="0" xr:uid="{8C9709A3-29CC-4AF8-9808-ACAAF318CA90}">
      <text>
        <r>
          <rPr>
            <sz val="11"/>
            <color rgb="FF000000"/>
            <rFont val="Aptos Narrow"/>
            <family val="2"/>
            <scheme val="minor"/>
          </rPr>
          <t>======
ID#AAABMEc8ZIQ
Canalyst (RE)    (2024-04-17 02:07:42)
Assumed as it appears other impact is larger than closure impact</t>
        </r>
      </text>
    </comment>
    <comment ref="A91" authorId="0" shapeId="0" xr:uid="{6D9E5450-353C-4050-B11B-E269D9F08DAF}">
      <text>
        <r>
          <rPr>
            <sz val="11"/>
            <color rgb="FF000000"/>
            <rFont val="Aptos Narrow"/>
            <family val="2"/>
            <scheme val="minor"/>
          </rPr>
          <t>======
ID#AAABMFKNDN8
Canalyst (RE)    (2024-04-17 02:07:42)
Quarterly values do not sum up to FY end value as adjustments are made. Stores that were classified as "new store" during the quarters may be added to the comparable base by year end (addition of revenue), also stores that were closed during the year are removed from the comp base (reduction in revenue).</t>
        </r>
      </text>
    </comment>
    <comment ref="A92" authorId="0" shapeId="0" xr:uid="{8B10CF43-4ECD-4F72-8240-A7B3BBB089F8}">
      <text>
        <r>
          <rPr>
            <sz val="11"/>
            <color rgb="FF000000"/>
            <rFont val="Aptos Narrow"/>
            <family val="2"/>
            <scheme val="minor"/>
          </rPr>
          <t>======
ID#AAABMFKNDTc
Canalyst (RE)    (2024-04-17 02:07:42)
Annual adjustments are made to remove revenue earned from stores during the quarter that were classified as "new stores" that are now classified as comparable at year end. Therefore, the annual calculation sums up the quarters and makes the necessary adjustments
Quarterly new store revenue assumes stores opened this period are opened half way through the year</t>
        </r>
      </text>
    </comment>
    <comment ref="AO104" authorId="0" shapeId="0" xr:uid="{92195B54-4345-4336-B909-A576EEA543C2}">
      <text>
        <r>
          <rPr>
            <sz val="11"/>
            <color rgb="FF000000"/>
            <rFont val="Aptos Narrow"/>
            <family val="2"/>
            <scheme val="minor"/>
          </rPr>
          <t>======
ID#AAABMFKNDGc
Canalyst (RE)    (2024-04-17 02:07:42)
Formula adjusted</t>
        </r>
      </text>
    </comment>
    <comment ref="BJ104" authorId="0" shapeId="0" xr:uid="{05292523-7EA4-4311-B200-5553AD80F54D}">
      <text>
        <r>
          <rPr>
            <sz val="11"/>
            <color rgb="FF000000"/>
            <rFont val="Aptos Narrow"/>
            <family val="2"/>
            <scheme val="minor"/>
          </rPr>
          <t>======
ID#AAABMFKNDWY
Canalyst (JD)    (2024-04-17 02:07:42)
Subsequent to quarter-end, the Company opened one North Italia restaurant</t>
        </r>
      </text>
    </comment>
    <comment ref="AO105" authorId="0" shapeId="0" xr:uid="{712C15B1-63D5-4196-A7EB-90F6F481E820}">
      <text>
        <r>
          <rPr>
            <sz val="11"/>
            <color rgb="FF000000"/>
            <rFont val="Aptos Narrow"/>
            <family val="2"/>
            <scheme val="minor"/>
          </rPr>
          <t>======
ID#AAABMFKNC54
Canalyst (RE)    (2024-04-17 02:07:42)
Estimated</t>
        </r>
      </text>
    </comment>
    <comment ref="AM106" authorId="0" shapeId="0" xr:uid="{095AEBB8-98E8-4B2D-A2C6-587DA3D4ED0C}">
      <text>
        <r>
          <rPr>
            <sz val="11"/>
            <color rgb="FF000000"/>
            <rFont val="Aptos Narrow"/>
            <family val="2"/>
            <scheme val="minor"/>
          </rPr>
          <t>======
ID#AAABMFKNDCs
Canalyst (AZ)    (2024-04-17 02:07:42)
North Italia currently  has  21  locations  in  ten  states  and  Washington  D.C.</t>
        </r>
      </text>
    </comment>
    <comment ref="AO108" authorId="0" shapeId="0" xr:uid="{07AD4A86-9628-4A99-A979-6DF17AD24395}">
      <text>
        <r>
          <rPr>
            <sz val="11"/>
            <color rgb="FF000000"/>
            <rFont val="Aptos Narrow"/>
            <family val="2"/>
            <scheme val="minor"/>
          </rPr>
          <t>======
ID#AAABMFKNDMs
Canalyst (RE)    (2024-04-17 02:07:42)
Formula adjusted as not a full year of data</t>
        </r>
      </text>
    </comment>
    <comment ref="A110" authorId="0" shapeId="0" xr:uid="{36AC5C25-01F3-4087-B75D-A52794B6E291}">
      <text>
        <r>
          <rPr>
            <sz val="11"/>
            <color rgb="FF000000"/>
            <rFont val="Aptos Narrow"/>
            <family val="2"/>
            <scheme val="minor"/>
          </rPr>
          <t>======
ID#AAABMFKNDCw
Canalyst (RE)    (2024-04-17 02:07:42)
North Italia restaurants become eligible to enter the comparable sales base in their 19th month of operations.
When first acquired the comparable period was based on 12-months</t>
        </r>
      </text>
    </comment>
    <comment ref="BU110" authorId="0" shapeId="0" xr:uid="{75F371F9-EA51-45DB-B3D5-56FE9E168F48}">
      <text>
        <r>
          <rPr>
            <sz val="11"/>
            <color rgb="FF000000"/>
            <rFont val="Aptos Narrow"/>
            <family val="2"/>
            <scheme val="minor"/>
          </rPr>
          <t>======
ID#AAABMFKNDE4
Canalyst (CS)    (2024-04-17 02:07:42)
Assumes that half of the new stores added in the prior year are owned for at least 18 months and enter the comp base.</t>
        </r>
      </text>
    </comment>
    <comment ref="BV110" authorId="0" shapeId="0" xr:uid="{E523E90B-2331-46F8-9A1D-A05BD293ED39}">
      <text>
        <r>
          <rPr>
            <sz val="11"/>
            <color rgb="FF000000"/>
            <rFont val="Aptos Narrow"/>
            <family val="2"/>
            <scheme val="minor"/>
          </rPr>
          <t>======
ID#AAABMFKNC_o
Canalyst (CS)    (2024-04-17 02:07:42)
Assumes that half of the new stores added in the prior year are owned for at least 18 months and enter the comp base.</t>
        </r>
      </text>
    </comment>
    <comment ref="A111" authorId="0" shapeId="0" xr:uid="{E30004AF-F118-4D14-BFA8-D8CEBE1BB321}">
      <text>
        <r>
          <rPr>
            <sz val="11"/>
            <color rgb="FF000000"/>
            <rFont val="Aptos Narrow"/>
            <family val="2"/>
            <scheme val="minor"/>
          </rPr>
          <t>======
ID#AAABMFKNDEo
Canalyst (RE)    (2024-04-17 02:07:42)
Assumes mid-period convention. Therefore last period's store opening was only considered comparable for half the period. Additionally, stores that were closed during the period are assumed to be open for half the period and contributed to comp revenue.</t>
        </r>
      </text>
    </comment>
    <comment ref="BU111" authorId="0" shapeId="0" xr:uid="{50B37611-DF4B-4C8A-933D-C9A4E8EED7C7}">
      <text>
        <r>
          <rPr>
            <sz val="11"/>
            <color rgb="FF000000"/>
            <rFont val="Aptos Narrow"/>
            <family val="2"/>
            <scheme val="minor"/>
          </rPr>
          <t>======
ID#AAABMFKNDJE
Canalyst (RE)    (2024-04-17 02:07:42)
Due to a 18-month comparable period, the calculation estimates the estimated amount of time that the new stores are not in the comparable period. Assumption of mid-period convention is still in effect</t>
        </r>
      </text>
    </comment>
    <comment ref="BV111" authorId="0" shapeId="0" xr:uid="{D54AF516-1600-4C3E-AA6D-DB468EEC7C31}">
      <text>
        <r>
          <rPr>
            <sz val="11"/>
            <color rgb="FF000000"/>
            <rFont val="Aptos Narrow"/>
            <family val="2"/>
            <scheme val="minor"/>
          </rPr>
          <t>======
ID#AAABMFKNC7g
Canalyst (RE)    (2024-04-17 02:07:42)
Due to a 18-month comparable period, the calculation estimates the estimated amount of time that the new stores are not in the comparable period. Assumption of mid-period convention is still in effect</t>
        </r>
      </text>
    </comment>
    <comment ref="A114" authorId="0" shapeId="0" xr:uid="{8D223DE2-ED1C-4B81-8648-EE2EDB89B87B}">
      <text>
        <r>
          <rPr>
            <sz val="11"/>
            <color rgb="FF000000"/>
            <rFont val="Aptos Narrow"/>
            <family val="2"/>
            <scheme val="minor"/>
          </rPr>
          <t>======
ID#AAABMFKNDW4
Canalyst (RE)    (2024-04-17 02:07:42)
Assumes mid-period convention. Therefore, last period's store opening is considered non-comparable for half the period. Additionally, the store opened during this period is assumed be opened half way during the period.</t>
        </r>
      </text>
    </comment>
    <comment ref="BU114" authorId="0" shapeId="0" xr:uid="{56A1A1C1-9EC8-4EFC-9538-C00E3184955B}">
      <text>
        <r>
          <rPr>
            <sz val="11"/>
            <color rgb="FF000000"/>
            <rFont val="Aptos Narrow"/>
            <family val="2"/>
            <scheme val="minor"/>
          </rPr>
          <t>======
ID#AAABMFKNDDg
Canalyst (RE)    (2024-04-17 02:07:42)
Due to a 18-month comparable period, the calculation estimates the estimated amount of time that the new stores are not in the comparable period. Assumption of mid-period convention is still in effect</t>
        </r>
      </text>
    </comment>
    <comment ref="BV114" authorId="0" shapeId="0" xr:uid="{008F8EAA-4AB6-40A4-A9CE-A096F8300B63}">
      <text>
        <r>
          <rPr>
            <sz val="11"/>
            <color rgb="FF000000"/>
            <rFont val="Aptos Narrow"/>
            <family val="2"/>
            <scheme val="minor"/>
          </rPr>
          <t>======
ID#AAABMFKNC3U
Canalyst (RE)    (2024-04-17 02:07:42)
Due to a 18-month comparable period, the calculation estimates the estimated amount of time that the new stores are not in the comparable period. Assumption of mid-period convention is still in effect</t>
        </r>
      </text>
    </comment>
    <comment ref="A123" authorId="0" shapeId="0" xr:uid="{2AF92F27-C420-45BC-9AB5-B11122953587}">
      <text>
        <r>
          <rPr>
            <sz val="11"/>
            <color rgb="FF000000"/>
            <rFont val="Aptos Narrow"/>
            <family val="2"/>
            <scheme val="minor"/>
          </rPr>
          <t>======
ID#AAABMFKNDOw
Canalyst (RE)    (2024-04-17 02:07:42)
Quarterly, assumes stores that are new stores are opened half way through the period.
The annual calculation recalculates new store operating weeks as the # changes compared to the quarterly periods. Calculates each quarter's new store operating weeks by taking the # of stores opened in the quarter multiplied by the number of weeks in the year it contributed.</t>
        </r>
      </text>
    </comment>
    <comment ref="AO124" authorId="0" shapeId="0" xr:uid="{E86D85F4-E01E-4059-9C6C-1B4BBC5900AE}">
      <text>
        <r>
          <rPr>
            <sz val="11"/>
            <color rgb="FF000000"/>
            <rFont val="Aptos Narrow"/>
            <family val="2"/>
          </rPr>
          <t xml:space="preserve">======
</t>
        </r>
        <r>
          <rPr>
            <sz val="11"/>
            <color rgb="FF000000"/>
            <rFont val="Aptos Narrow"/>
            <family val="2"/>
          </rPr>
          <t xml:space="preserve">ID#AAABMFKNDEU
</t>
        </r>
        <r>
          <rPr>
            <sz val="11"/>
            <color rgb="FF000000"/>
            <rFont val="Aptos Narrow"/>
            <family val="2"/>
          </rPr>
          <t xml:space="preserve">Canalyst (AZ)    (2024-04-17 02:07:42)
</t>
        </r>
        <r>
          <rPr>
            <sz val="11"/>
            <color rgb="FF000000"/>
            <rFont val="Aptos Narrow"/>
            <family val="2"/>
          </rPr>
          <t>Only acquired for 1 quarter.</t>
        </r>
      </text>
    </comment>
    <comment ref="A131" authorId="0" shapeId="0" xr:uid="{EA6886B2-F831-46AF-9A32-8F5A8883D4CA}">
      <text>
        <r>
          <rPr>
            <sz val="11"/>
            <color rgb="FF000000"/>
            <rFont val="Aptos Narrow"/>
            <family val="2"/>
            <scheme val="minor"/>
          </rPr>
          <t>======
ID#AAABMFKNDDQ
Canalyst (RE)    (2024-04-17 02:07:42)
North Italia restaurants become eligible to enter the comparable sales base in their 19th month of operations.
When first acquired the comparable period was based on 12-months</t>
        </r>
      </text>
    </comment>
    <comment ref="A132" authorId="0" shapeId="0" xr:uid="{77C6C40F-A0C9-4063-AFBF-1E1DFE40DCBB}">
      <text>
        <r>
          <rPr>
            <sz val="11"/>
            <color rgb="FF000000"/>
            <rFont val="Aptos Narrow"/>
            <family val="2"/>
            <scheme val="minor"/>
          </rPr>
          <t>======
ID#AAABMFKNDY4
Canalyst (RE)    (2024-04-17 02:07:42)
Productivity of new stores relative to comp stores. This would include size of new stores, population density surrounding the store, initial start up honeymoon period/lack of traffic, etc.
Annual calculation adjusts out revenue that was earned as a new store during the quarter which by year end qualifies as a comparable store (i.e. store in Q2 that was a "new store" may not be in Q4/FY)</t>
        </r>
      </text>
    </comment>
    <comment ref="A133" authorId="0" shapeId="0" xr:uid="{FE0EDA62-25B9-4AC3-B481-EE7AB4C79C9C}">
      <text>
        <r>
          <rPr>
            <sz val="11"/>
            <color rgb="FF000000"/>
            <rFont val="Aptos Narrow"/>
            <family val="2"/>
            <scheme val="minor"/>
          </rPr>
          <t>======
ID#AAABMFKNC3Y
Canalyst (RE)    (2024-04-17 02:07:42)
Productivity of closed stores during the period relative to comp stores</t>
        </r>
      </text>
    </comment>
    <comment ref="AU133" authorId="0" shapeId="0" xr:uid="{A6E45F50-FDB9-4EC7-BB72-2E077E78F259}">
      <text>
        <r>
          <rPr>
            <sz val="11"/>
            <color rgb="FF000000"/>
            <rFont val="Aptos Narrow"/>
            <family val="2"/>
            <scheme val="minor"/>
          </rPr>
          <t>======
ID#AAABMFKNC84
Canalyst    (2024-04-17 02:07:42)
Assumption by Canalyst</t>
        </r>
      </text>
    </comment>
    <comment ref="AV133" authorId="0" shapeId="0" xr:uid="{E56993A9-55B2-408E-81F7-3BD74B950953}">
      <text>
        <r>
          <rPr>
            <sz val="11"/>
            <color rgb="FF000000"/>
            <rFont val="Aptos Narrow"/>
            <family val="2"/>
            <scheme val="minor"/>
          </rPr>
          <t>======
ID#AAABMFKNDOU
Canalyst    (2024-04-17 02:07:42)
Assumption by Canalyst</t>
        </r>
      </text>
    </comment>
    <comment ref="AW133" authorId="0" shapeId="0" xr:uid="{98D88A01-D0D4-4E2B-B3F2-E5ADEF83FEFA}">
      <text>
        <r>
          <rPr>
            <sz val="11"/>
            <color rgb="FF000000"/>
            <rFont val="Aptos Narrow"/>
            <family val="2"/>
            <scheme val="minor"/>
          </rPr>
          <t>======
ID#AAABMFKNC5U
Canalyst    (2024-04-17 02:07:42)
Assumption by Canalyst</t>
        </r>
      </text>
    </comment>
    <comment ref="AX133" authorId="0" shapeId="0" xr:uid="{47217C32-CD7E-4984-89D8-77DAF8415FEA}">
      <text>
        <r>
          <rPr>
            <sz val="11"/>
            <color rgb="FF000000"/>
            <rFont val="Aptos Narrow"/>
            <family val="2"/>
            <scheme val="minor"/>
          </rPr>
          <t>======
ID#AAABMFKNDBM
Canalyst    (2024-04-17 02:07:42)
Assumption by Canalyst</t>
        </r>
      </text>
    </comment>
    <comment ref="AZ133" authorId="0" shapeId="0" xr:uid="{06DF8680-B949-4F78-8498-AE253B484E13}">
      <text>
        <r>
          <rPr>
            <sz val="11"/>
            <color rgb="FF000000"/>
            <rFont val="Aptos Narrow"/>
            <family val="2"/>
            <scheme val="minor"/>
          </rPr>
          <t>======
ID#AAABMFKNC-4
Canalyst    (2024-04-17 02:07:42)
Assumption by Canalyst</t>
        </r>
      </text>
    </comment>
    <comment ref="BA133" authorId="0" shapeId="0" xr:uid="{7A3CC2CE-0B74-42B6-A037-69590288152C}">
      <text>
        <r>
          <rPr>
            <sz val="11"/>
            <color rgb="FF000000"/>
            <rFont val="Aptos Narrow"/>
            <family val="2"/>
            <scheme val="minor"/>
          </rPr>
          <t>======
ID#AAABMFKNDP8
Canalyst    (2024-04-17 02:07:42)
Assumption by Canalyst</t>
        </r>
      </text>
    </comment>
    <comment ref="BB133" authorId="0" shapeId="0" xr:uid="{8FCDADCC-D079-4526-B164-581116C60D16}">
      <text>
        <r>
          <rPr>
            <sz val="11"/>
            <color rgb="FF000000"/>
            <rFont val="Aptos Narrow"/>
            <family val="2"/>
            <scheme val="minor"/>
          </rPr>
          <t>======
ID#AAABMFKNDSc
Canalyst    (2024-04-17 02:07:42)
Assumption by Canalyst</t>
        </r>
      </text>
    </comment>
    <comment ref="BC133" authorId="0" shapeId="0" xr:uid="{2E585EA3-E48B-4F9A-AEC0-46DE7A572F43}">
      <text>
        <r>
          <rPr>
            <sz val="11"/>
            <color rgb="FF000000"/>
            <rFont val="Aptos Narrow"/>
            <family val="2"/>
            <scheme val="minor"/>
          </rPr>
          <t>======
ID#AAABMFKNC-w
Canalyst    (2024-04-17 02:07:42)
Assumption by Canalyst</t>
        </r>
      </text>
    </comment>
    <comment ref="BE133" authorId="0" shapeId="0" xr:uid="{6F894DAF-6BB2-4BC4-BEDA-C87E9A7F53EF}">
      <text>
        <r>
          <rPr>
            <sz val="11"/>
            <color rgb="FF000000"/>
            <rFont val="Aptos Narrow"/>
            <family val="2"/>
            <scheme val="minor"/>
          </rPr>
          <t>======
ID#AAABMFKNC8E
Canalyst    (2024-04-17 02:07:42)
Assumption by Canalyst</t>
        </r>
      </text>
    </comment>
    <comment ref="BF133" authorId="0" shapeId="0" xr:uid="{E436D12B-B431-4054-BC13-AC4FD37A2A4E}">
      <text>
        <r>
          <rPr>
            <sz val="11"/>
            <color rgb="FF000000"/>
            <rFont val="Aptos Narrow"/>
            <family val="2"/>
            <scheme val="minor"/>
          </rPr>
          <t>======
ID#AAABMFKNC8Q
Canalyst    (2024-04-17 02:07:42)
Assumption by Canalyst</t>
        </r>
      </text>
    </comment>
    <comment ref="BG133" authorId="0" shapeId="0" xr:uid="{7AA77F99-E8E2-45CB-A3D7-7150168E40FC}">
      <text>
        <r>
          <rPr>
            <sz val="11"/>
            <color rgb="FF000000"/>
            <rFont val="Aptos Narrow"/>
            <family val="2"/>
            <scheme val="minor"/>
          </rPr>
          <t>======
ID#AAABMFKNDRk
Canalyst    (2024-04-17 02:07:42)
Assumption by Canalyst</t>
        </r>
      </text>
    </comment>
    <comment ref="BH133" authorId="0" shapeId="0" xr:uid="{16D7D612-E1F3-403E-A48D-041407EF9DD1}">
      <text>
        <r>
          <rPr>
            <sz val="11"/>
            <color rgb="FF000000"/>
            <rFont val="Aptos Narrow"/>
            <family val="2"/>
            <scheme val="minor"/>
          </rPr>
          <t>======
ID#AAABMFKNC4M
Canalyst    (2024-04-17 02:07:42)
Assumption by Canalyst</t>
        </r>
      </text>
    </comment>
    <comment ref="A134" authorId="0" shapeId="0" xr:uid="{E77C6657-E8B8-4296-B5BD-0D8439CE53F0}">
      <text>
        <r>
          <rPr>
            <sz val="11"/>
            <color rgb="FF000000"/>
            <rFont val="Aptos Narrow"/>
            <family val="2"/>
            <scheme val="minor"/>
          </rPr>
          <t>======
ID#AAABMFKNDCA
Canalyst (RE)    (2024-04-17 02:07:42)
Impact that closed stores against the total sales per operating week from the prior year. This calculation includes the productivity of closed stores and multiplies by the # of store weeks closed relative to the comp base. Therefore, it shows the impact closed stores have on the prior year comp base</t>
        </r>
      </text>
    </comment>
    <comment ref="A136" authorId="0" shapeId="0" xr:uid="{63634589-0AA5-4426-BEF4-5A2448A20699}">
      <text>
        <r>
          <rPr>
            <sz val="11"/>
            <color rgb="FF000000"/>
            <rFont val="Aptos Narrow"/>
            <family val="2"/>
            <scheme val="minor"/>
          </rPr>
          <t>======
ID#AAABMFKNDH4
Canalyst (RE)    (2024-04-17 02:07:42)
Quarterly values do not sum up to FY end value as adjustments are made. Stores that were classified as "new store" during the quarters may be added to the comparable base by year end (addition of revenue), also stores that were closed during the year are removed from the comp base (reduction in revenue).</t>
        </r>
      </text>
    </comment>
    <comment ref="A137" authorId="0" shapeId="0" xr:uid="{F4E25133-95F7-48EB-9938-96D34960DD13}">
      <text>
        <r>
          <rPr>
            <sz val="11"/>
            <color rgb="FF000000"/>
            <rFont val="Aptos Narrow"/>
            <family val="2"/>
            <scheme val="minor"/>
          </rPr>
          <t>======
ID#AAABMFKNDDY
Canalyst (RE)    (2024-04-17 02:07:42)
Annual adjustments are made to remove revenue earned from stores during the quarter that were classified as "new stores" that are now classified as comparable at year end. Therefore, the annual calculation sums up the quarters and makes the necessary adjustments
Quarterly new store revenue assumes stores opened this period are opened half way through the year</t>
        </r>
      </text>
    </comment>
    <comment ref="AO149" authorId="0" shapeId="0" xr:uid="{AB5DD465-6252-4605-9116-7938B95E7CBF}">
      <text>
        <r>
          <rPr>
            <sz val="11"/>
            <color rgb="FF000000"/>
            <rFont val="Aptos Narrow"/>
            <family val="2"/>
            <scheme val="minor"/>
          </rPr>
          <t>======
ID#AAABMFKNC98
Canalyst (RE)    (2024-04-17 02:07:42)
Formula adjusted</t>
        </r>
      </text>
    </comment>
    <comment ref="AO150" authorId="0" shapeId="0" xr:uid="{B881525A-C632-4BAB-94E2-744ADD4790AB}">
      <text>
        <r>
          <rPr>
            <sz val="11"/>
            <color rgb="FF000000"/>
            <rFont val="Aptos Narrow"/>
            <family val="2"/>
            <scheme val="minor"/>
          </rPr>
          <t>======
ID#AAABMEc8ZIU
Canalyst (RE)    (2024-04-17 02:07:42)
Estimated</t>
        </r>
      </text>
    </comment>
    <comment ref="AO152" authorId="0" shapeId="0" xr:uid="{324A090C-E19E-41DE-ADD3-F6315E366D75}">
      <text>
        <r>
          <rPr>
            <sz val="11"/>
            <color rgb="FF000000"/>
            <rFont val="Aptos Narrow"/>
            <family val="2"/>
            <scheme val="minor"/>
          </rPr>
          <t>======
ID#AAABMFKNDXg
Canalyst (RE)    (2024-04-17 02:07:42)
Formula adjusted as not a full year of data</t>
        </r>
      </text>
    </comment>
    <comment ref="B155" authorId="0" shapeId="0" xr:uid="{AA8A3FC1-B20F-4D9A-9DD3-2E2B8AEFF57A}">
      <text>
        <r>
          <rPr>
            <sz val="11"/>
            <color rgb="FF000000"/>
            <rFont val="Aptos Narrow"/>
            <family val="2"/>
            <scheme val="minor"/>
          </rPr>
          <t>======
ID#AAABMFKNDD8
Canalyst (AZ)    (2024-04-17 02:07:42)
Assumed discount to Cheesecake Factory's sales per comp store.</t>
        </r>
      </text>
    </comment>
    <comment ref="AT156" authorId="0" shapeId="0" xr:uid="{33AAE8C8-960E-4D96-901B-451B6B395A07}">
      <text>
        <r>
          <rPr>
            <sz val="11"/>
            <color rgb="FF000000"/>
            <rFont val="Aptos Narrow"/>
            <family val="2"/>
            <scheme val="minor"/>
          </rPr>
          <t>======
ID#AAABMEX2nKk
Canalyst (RE)    (2024-04-17 02:07:42)
Not enough 2019 data</t>
        </r>
      </text>
    </comment>
    <comment ref="AN164" authorId="0" shapeId="0" xr:uid="{B1449AA2-B766-41D9-B843-024B038CDCF0}">
      <text>
        <r>
          <rPr>
            <sz val="11"/>
            <color rgb="FF000000"/>
            <rFont val="Aptos Narrow"/>
            <family val="2"/>
            <scheme val="minor"/>
          </rPr>
          <t>======
ID#AAABMFKNDLg
Canalyst (RZ)    (2024-04-17 02:07:42)
As of March 11, 2020</t>
        </r>
      </text>
    </comment>
    <comment ref="A166" authorId="0" shapeId="0" xr:uid="{617156DE-60E7-4C40-97BF-7B39CAFA8211}">
      <text>
        <r>
          <rPr>
            <sz val="11"/>
            <color rgb="FF000000"/>
            <rFont val="Aptos Narrow"/>
            <family val="2"/>
            <scheme val="minor"/>
          </rPr>
          <t>======
ID#AAABMFKNDNI
Canalyst (RE)    (2024-04-17 02:07:42)
Formerly named RockSugar Pan Asian Kitchen</t>
        </r>
      </text>
    </comment>
    <comment ref="AN169" authorId="0" shapeId="0" xr:uid="{F67A933D-1CB3-4FCB-A98A-DE55CBA9A090}">
      <text>
        <r>
          <rPr>
            <sz val="11"/>
            <color rgb="FF000000"/>
            <rFont val="Aptos Narrow"/>
            <family val="2"/>
            <scheme val="minor"/>
          </rPr>
          <t>======
ID#AAABMFKNDME
Canalyst (RZ)    (2024-04-17 02:07:42)
As of March 11, 2020</t>
        </r>
      </text>
    </comment>
    <comment ref="A171" authorId="0" shapeId="0" xr:uid="{9DD18BBF-6185-49AA-B91C-B0DC6B28C3BE}">
      <text>
        <r>
          <rPr>
            <sz val="11"/>
            <color rgb="FF000000"/>
            <rFont val="Aptos Narrow"/>
            <family val="2"/>
            <scheme val="minor"/>
          </rPr>
          <t>======
ID#AAABMFKNDC8
Canalyst (RE)    (2024-04-17 02:07:42)
Opening in first half of fiscal 2019</t>
        </r>
      </text>
    </comment>
    <comment ref="AN174" authorId="0" shapeId="0" xr:uid="{30D638C0-6C60-4918-BCDB-0AC97D499C15}">
      <text>
        <r>
          <rPr>
            <sz val="11"/>
            <color rgb="FF000000"/>
            <rFont val="Aptos Narrow"/>
            <family val="2"/>
            <scheme val="minor"/>
          </rPr>
          <t>======
ID#AAABMFKNDLo
Canalyst (RZ)    (2024-04-17 02:07:42)
As of March 11, 2020</t>
        </r>
      </text>
    </comment>
    <comment ref="AO177" authorId="0" shapeId="0" xr:uid="{2FDB4717-78E4-4E13-AA32-B90757A8356D}">
      <text>
        <r>
          <rPr>
            <sz val="11"/>
            <color rgb="FF000000"/>
            <rFont val="Aptos Narrow"/>
            <family val="2"/>
            <scheme val="minor"/>
          </rPr>
          <t>======
ID#AAABMFKNDQI
Canalyst (RE)    (2024-04-17 02:07:42)
Formula adjusted</t>
        </r>
      </text>
    </comment>
    <comment ref="AN181" authorId="0" shapeId="0" xr:uid="{1AF603D9-5DBD-4FCC-B117-A09D2236CA2B}">
      <text>
        <r>
          <rPr>
            <sz val="11"/>
            <color rgb="FF000000"/>
            <rFont val="Aptos Narrow"/>
            <family val="2"/>
            <scheme val="minor"/>
          </rPr>
          <t>======
ID#AAABMFKNC9Q
Canalyst (RE)    (2024-04-17 02:07:42)
Formula adjusted beginning this quarter to include Flower Child</t>
        </r>
      </text>
    </comment>
    <comment ref="AQ181" authorId="0" shapeId="0" xr:uid="{D6B1CF91-D0EE-4468-8135-3582031EEF8D}">
      <text>
        <r>
          <rPr>
            <sz val="11"/>
            <color rgb="FF000000"/>
            <rFont val="Aptos Narrow"/>
            <family val="2"/>
            <scheme val="minor"/>
          </rPr>
          <t>======
ID#AAABMFKNC5Y
Canalyst (RE)    (2024-04-17 02:07:42)
Breakdown not reported, consolidated moving forward</t>
        </r>
      </text>
    </comment>
    <comment ref="BJ182" authorId="0" shapeId="0" xr:uid="{3AA8E51D-9F0F-4C83-BC01-B8B6BAF2D3B6}">
      <text>
        <r>
          <rPr>
            <sz val="11"/>
            <color rgb="FF000000"/>
            <rFont val="Aptos Narrow"/>
            <family val="2"/>
            <scheme val="minor"/>
          </rPr>
          <t>======
ID#AAABMFKNDZU
Canalyst (JD)    (2024-04-17 02:07:42)
Subsequent to quarter-end, the Company opened  one Flower Child and one Culinary Dropout restaurant</t>
        </r>
      </text>
    </comment>
    <comment ref="A188" authorId="0" shapeId="0" xr:uid="{CBC0EFE8-CF50-4A6A-B6E9-DEE22FDDAED5}">
      <text>
        <r>
          <rPr>
            <sz val="11"/>
            <color rgb="FF000000"/>
            <rFont val="Aptos Narrow"/>
            <family val="2"/>
            <scheme val="minor"/>
          </rPr>
          <t>======
ID#AAABMFKNDIE
Canalyst (RE)    (2024-04-17 02:07:42)
Based on estimated breakdown between royalty revenue and other company-owned restaurant revenue</t>
        </r>
      </text>
    </comment>
    <comment ref="A189" authorId="0" shapeId="0" xr:uid="{5F37C492-1D4F-4F9A-B95F-104A2D441DCB}">
      <text>
        <r>
          <rPr>
            <sz val="11"/>
            <color rgb="FF000000"/>
            <rFont val="Aptos Narrow"/>
            <family val="2"/>
            <scheme val="minor"/>
          </rPr>
          <t>======
ID#AAABMFKNDEc
Canalyst (RE)    (2024-04-17 02:07:42)
Based on estimated breakdown between royalty revenue and other company-owned restaurant revenue</t>
        </r>
      </text>
    </comment>
    <comment ref="BI199" authorId="0" shapeId="0" xr:uid="{1B53F12D-054E-4351-8A4A-A86FFDCFBDDA}">
      <text>
        <r>
          <rPr>
            <sz val="11"/>
            <color rgb="FF000000"/>
            <rFont val="Aptos Narrow"/>
            <family val="2"/>
            <scheme val="minor"/>
          </rPr>
          <t>======
ID#AAABMFKNDKI
Canalyst (SA)    (2024-04-17 02:07:42)
Reported as 8 in the FY-2023 10-K as it includes one restaurant opened in Mexico subsequent to quarter-end</t>
        </r>
      </text>
    </comment>
    <comment ref="BI209" authorId="0" shapeId="0" xr:uid="{188265C4-DDA7-43E7-80C6-AB7BD48A4C1B}">
      <text>
        <r>
          <rPr>
            <sz val="11"/>
            <color rgb="FF000000"/>
            <rFont val="Aptos Narrow"/>
            <family val="2"/>
            <scheme val="minor"/>
          </rPr>
          <t>======
ID#AAABMFKNC5A
Canalyst (SA)    (2024-04-17 02:07:42)
Reported as 33 in the F-2023 10-K as it includes one restaurant opened in Mexico subsequent to quarter-end</t>
        </r>
      </text>
    </comment>
    <comment ref="BH210" authorId="0" shapeId="0" xr:uid="{2AA81DF8-A655-458A-A97D-CD6B55FBFF15}">
      <text>
        <r>
          <rPr>
            <sz val="11"/>
            <color rgb="FF000000"/>
            <rFont val="Aptos Narrow"/>
            <family val="2"/>
            <scheme val="minor"/>
          </rPr>
          <t>======
ID#AAABMFKNC5M
Canalyst (JD)    (2024-04-17 02:07:42)
Two Cheesecake Factory restaurants opened internationally under licensing agreements in China and Thailand.</t>
        </r>
      </text>
    </comment>
    <comment ref="BI210" authorId="0" shapeId="0" xr:uid="{B1685961-308D-4D3D-B8AA-8F68BAC5A571}">
      <text>
        <r>
          <rPr>
            <sz val="11"/>
            <color rgb="FF000000"/>
            <rFont val="Aptos Narrow"/>
            <family val="2"/>
            <scheme val="minor"/>
          </rPr>
          <t>======
ID#AAABMFKNC7Q
Canalyst (JD)    (2024-04-17 02:07:42)
Two Cheesecake Factory restaurants opened internationally under licensing agreements in China and Thailand.</t>
        </r>
      </text>
    </comment>
    <comment ref="BJ210" authorId="0" shapeId="0" xr:uid="{0759162F-AB37-4191-A5F4-46C5C877E979}">
      <text>
        <r>
          <rPr>
            <sz val="11"/>
            <color rgb="FF000000"/>
            <rFont val="Aptos Narrow"/>
            <family val="2"/>
            <scheme val="minor"/>
          </rPr>
          <t>======
ID#AAABMFKNDJQ
Canalyst (JD)    (2024-04-17 02:07:42)
Subsequent to quarter end, one Cheesecake Factory restaurant opened internationally under a licensing agreement in Mexico.</t>
        </r>
      </text>
    </comment>
    <comment ref="A213" authorId="0" shapeId="0" xr:uid="{36901A2B-3EDA-436C-9D4A-A5E858024BBC}">
      <text>
        <r>
          <rPr>
            <sz val="11"/>
            <color rgb="FF000000"/>
            <rFont val="Aptos Narrow"/>
            <family val="2"/>
            <scheme val="minor"/>
          </rPr>
          <t>======
ID#AAABMFKNDHE
Canalyst (RE)    (2024-04-17 02:07:42)
Consolidated estimate of royalty and franchise fee as a % of system sales</t>
        </r>
      </text>
    </comment>
    <comment ref="Q213" authorId="0" shapeId="0" xr:uid="{F96B8A03-B07A-4E2A-8C8F-F1085981BE47}">
      <text>
        <r>
          <rPr>
            <sz val="11"/>
            <color rgb="FF000000"/>
            <rFont val="Aptos Narrow"/>
            <family val="2"/>
            <scheme val="minor"/>
          </rPr>
          <t>======
ID#AAABMFKNDPY
Canalyst    (2024-04-17 02:07:42)
Assumption by Canalyst</t>
        </r>
      </text>
    </comment>
    <comment ref="R213" authorId="0" shapeId="0" xr:uid="{1B19CA9F-9F93-405D-9C9C-1F4D60591A38}">
      <text>
        <r>
          <rPr>
            <sz val="11"/>
            <color rgb="FF000000"/>
            <rFont val="Aptos Narrow"/>
            <family val="2"/>
            <scheme val="minor"/>
          </rPr>
          <t>======
ID#AAABMFKNDUw
Canalyst    (2024-04-17 02:07:42)
Assumption by Canalyst</t>
        </r>
      </text>
    </comment>
    <comment ref="S213" authorId="0" shapeId="0" xr:uid="{9DE2C82B-DD0D-4BD3-8C91-905BE5752AF3}">
      <text>
        <r>
          <rPr>
            <sz val="11"/>
            <color rgb="FF000000"/>
            <rFont val="Aptos Narrow"/>
            <family val="2"/>
            <scheme val="minor"/>
          </rPr>
          <t>======
ID#AAABMFKNDWA
Canalyst    (2024-04-17 02:07:42)
Assumption by Canalyst</t>
        </r>
      </text>
    </comment>
    <comment ref="T213" authorId="0" shapeId="0" xr:uid="{A922358C-5C89-4CE1-BC79-AAEDF6B016A6}">
      <text>
        <r>
          <rPr>
            <sz val="11"/>
            <color rgb="FF000000"/>
            <rFont val="Aptos Narrow"/>
            <family val="2"/>
            <scheme val="minor"/>
          </rPr>
          <t>======
ID#AAABMFKNDQM
Canalyst    (2024-04-17 02:07:42)
Assumption by Canalyst</t>
        </r>
      </text>
    </comment>
    <comment ref="V213" authorId="0" shapeId="0" xr:uid="{369297A1-6CCC-4310-8F5C-F3BB9FA1A287}">
      <text>
        <r>
          <rPr>
            <sz val="11"/>
            <color rgb="FF000000"/>
            <rFont val="Aptos Narrow"/>
            <family val="2"/>
            <scheme val="minor"/>
          </rPr>
          <t>======
ID#AAABMFKNDZQ
Canalyst    (2024-04-17 02:07:42)
Assumption by Canalyst</t>
        </r>
      </text>
    </comment>
    <comment ref="W213" authorId="0" shapeId="0" xr:uid="{2D2E159E-3E9A-414A-AB93-61C64C0C5CB6}">
      <text>
        <r>
          <rPr>
            <sz val="11"/>
            <color rgb="FF000000"/>
            <rFont val="Aptos Narrow"/>
            <family val="2"/>
            <scheme val="minor"/>
          </rPr>
          <t>======
ID#AAABMFKNDZs
Canalyst    (2024-04-17 02:07:43)
Assumption by Canalyst</t>
        </r>
      </text>
    </comment>
    <comment ref="X213" authorId="0" shapeId="0" xr:uid="{2597D809-9132-43D3-93CA-FF92FBE11625}">
      <text>
        <r>
          <rPr>
            <sz val="11"/>
            <color rgb="FF000000"/>
            <rFont val="Aptos Narrow"/>
            <family val="2"/>
            <scheme val="minor"/>
          </rPr>
          <t>======
ID#AAABMFKNDWc
Canalyst    (2024-04-17 02:07:42)
Assumption by Canalyst</t>
        </r>
      </text>
    </comment>
    <comment ref="Y213" authorId="0" shapeId="0" xr:uid="{4F678098-5DBA-4005-A2A3-5DECBD85E3AA}">
      <text>
        <r>
          <rPr>
            <sz val="11"/>
            <color rgb="FF000000"/>
            <rFont val="Aptos Narrow"/>
            <family val="2"/>
            <scheme val="minor"/>
          </rPr>
          <t>======
ID#AAABMFKNDJo
Canalyst    (2024-04-17 02:07:42)
Assumption by Canalyst</t>
        </r>
      </text>
    </comment>
    <comment ref="AA213" authorId="0" shapeId="0" xr:uid="{FF31B6CC-6131-4C86-81F0-452ADB7D35F0}">
      <text>
        <r>
          <rPr>
            <sz val="11"/>
            <color rgb="FF000000"/>
            <rFont val="Aptos Narrow"/>
            <family val="2"/>
            <scheme val="minor"/>
          </rPr>
          <t>======
ID#AAABMFKNDIU
Canalyst    (2024-04-17 02:07:42)
Assumption by Canalyst</t>
        </r>
      </text>
    </comment>
    <comment ref="AB213" authorId="0" shapeId="0" xr:uid="{56A57287-A676-4438-923B-A53DA3A0068E}">
      <text>
        <r>
          <rPr>
            <sz val="11"/>
            <color rgb="FF000000"/>
            <rFont val="Aptos Narrow"/>
            <family val="2"/>
            <scheme val="minor"/>
          </rPr>
          <t>======
ID#AAABMFKNDVg
Canalyst    (2024-04-17 02:07:42)
Assumption by Canalyst</t>
        </r>
      </text>
    </comment>
    <comment ref="AC213" authorId="0" shapeId="0" xr:uid="{ADFDA975-8229-4DBE-B144-414B34F8C557}">
      <text>
        <r>
          <rPr>
            <sz val="11"/>
            <color rgb="FF000000"/>
            <rFont val="Aptos Narrow"/>
            <family val="2"/>
            <scheme val="minor"/>
          </rPr>
          <t>======
ID#AAABMFKNDPA
Canalyst    (2024-04-17 02:07:42)
Assumption by Canalyst</t>
        </r>
      </text>
    </comment>
    <comment ref="AD213" authorId="0" shapeId="0" xr:uid="{90AC157B-2FCC-40CF-BCFC-E0EAB64F8E7A}">
      <text>
        <r>
          <rPr>
            <sz val="11"/>
            <color rgb="FF000000"/>
            <rFont val="Aptos Narrow"/>
            <family val="2"/>
            <scheme val="minor"/>
          </rPr>
          <t>======
ID#AAABMFKNDA4
Canalyst    (2024-04-17 02:07:42)
Assumption by Canalyst</t>
        </r>
      </text>
    </comment>
    <comment ref="AF213" authorId="0" shapeId="0" xr:uid="{AD0211C3-18D4-4252-A588-11535EF35EBE}">
      <text>
        <r>
          <rPr>
            <sz val="11"/>
            <color rgb="FF000000"/>
            <rFont val="Aptos Narrow"/>
            <family val="2"/>
            <scheme val="minor"/>
          </rPr>
          <t>======
ID#AAABMEc8ZH4
Canalyst    (2024-04-17 02:07:42)
Assumption by Canalyst</t>
        </r>
      </text>
    </comment>
    <comment ref="AG213" authorId="0" shapeId="0" xr:uid="{2CC95991-FBC4-4F18-8F87-49A1DEDDC0D8}">
      <text>
        <r>
          <rPr>
            <sz val="11"/>
            <color rgb="FF000000"/>
            <rFont val="Aptos Narrow"/>
            <family val="2"/>
            <scheme val="minor"/>
          </rPr>
          <t>======
ID#AAABMFKNC88
Canalyst    (2024-04-17 02:07:42)
Assumption by Canalyst</t>
        </r>
      </text>
    </comment>
    <comment ref="AH213" authorId="0" shapeId="0" xr:uid="{CF77BB04-F992-4F93-B4C1-D0A78FD2AECE}">
      <text>
        <r>
          <rPr>
            <sz val="11"/>
            <color rgb="FF000000"/>
            <rFont val="Aptos Narrow"/>
            <family val="2"/>
            <scheme val="minor"/>
          </rPr>
          <t>======
ID#AAABMFKNDEE
Canalyst    (2024-04-17 02:07:42)
Assumption by Canalyst</t>
        </r>
      </text>
    </comment>
    <comment ref="AI213" authorId="0" shapeId="0" xr:uid="{75C1E576-8B74-4372-A2F8-6F196371810A}">
      <text>
        <r>
          <rPr>
            <sz val="11"/>
            <color rgb="FF000000"/>
            <rFont val="Aptos Narrow"/>
            <family val="2"/>
            <scheme val="minor"/>
          </rPr>
          <t>======
ID#AAABMFKNDRg
Canalyst    (2024-04-17 02:07:42)
Assumption by Canalyst</t>
        </r>
      </text>
    </comment>
    <comment ref="AK213" authorId="0" shapeId="0" xr:uid="{431B9DC9-5485-476C-870D-3E0B70189AD5}">
      <text>
        <r>
          <rPr>
            <sz val="11"/>
            <color rgb="FF000000"/>
            <rFont val="Aptos Narrow"/>
            <family val="2"/>
            <scheme val="minor"/>
          </rPr>
          <t>======
ID#AAABMFKNDB4
Canalyst    (2024-04-17 02:07:42)
Assumption by Canalyst</t>
        </r>
      </text>
    </comment>
    <comment ref="AL213" authorId="0" shapeId="0" xr:uid="{0A05752E-7861-4570-BDFB-C0D475DC0927}">
      <text>
        <r>
          <rPr>
            <sz val="11"/>
            <color rgb="FF000000"/>
            <rFont val="Aptos Narrow"/>
            <family val="2"/>
            <scheme val="minor"/>
          </rPr>
          <t>======
ID#AAABMFKNDK8
Canalyst    (2024-04-17 02:07:42)
Assumption by Canalyst</t>
        </r>
      </text>
    </comment>
    <comment ref="AM213" authorId="0" shapeId="0" xr:uid="{A4C1DD66-CDB3-43E2-8069-9D046A46781D}">
      <text>
        <r>
          <rPr>
            <sz val="11"/>
            <color rgb="FF000000"/>
            <rFont val="Aptos Narrow"/>
            <family val="2"/>
            <scheme val="minor"/>
          </rPr>
          <t>======
ID#AAABMFKNDH8
Canalyst    (2024-04-17 02:07:42)
Assumption by Canalyst</t>
        </r>
      </text>
    </comment>
    <comment ref="AN213" authorId="0" shapeId="0" xr:uid="{17211779-F7E4-4BE9-B858-97F284F8E987}">
      <text>
        <r>
          <rPr>
            <sz val="11"/>
            <color rgb="FF000000"/>
            <rFont val="Aptos Narrow"/>
            <family val="2"/>
            <scheme val="minor"/>
          </rPr>
          <t>======
ID#AAABMFKNDXs
Canalyst    (2024-04-17 02:07:42)
Assumption by Canalyst</t>
        </r>
      </text>
    </comment>
    <comment ref="AP213" authorId="0" shapeId="0" xr:uid="{F412DA89-4784-4305-9BDA-560718D94CF9}">
      <text>
        <r>
          <rPr>
            <sz val="11"/>
            <color rgb="FF000000"/>
            <rFont val="Aptos Narrow"/>
            <family val="2"/>
            <scheme val="minor"/>
          </rPr>
          <t>======
ID#AAABMFKNDQg
Canalyst    (2024-04-17 02:07:42)
Assumption by Canalyst</t>
        </r>
      </text>
    </comment>
    <comment ref="AQ213" authorId="0" shapeId="0" xr:uid="{A08449AA-2E9B-4920-BE7C-F711CC76ED7E}">
      <text>
        <r>
          <rPr>
            <sz val="11"/>
            <color rgb="FF000000"/>
            <rFont val="Aptos Narrow"/>
            <family val="2"/>
            <scheme val="minor"/>
          </rPr>
          <t>======
ID#AAABMFKNDBs
Canalyst    (2024-04-17 02:07:42)
Assumption by Canalyst</t>
        </r>
      </text>
    </comment>
    <comment ref="AR213" authorId="0" shapeId="0" xr:uid="{78980417-1C6E-4B67-89DC-118F52694995}">
      <text>
        <r>
          <rPr>
            <sz val="11"/>
            <color rgb="FF000000"/>
            <rFont val="Aptos Narrow"/>
            <family val="2"/>
            <scheme val="minor"/>
          </rPr>
          <t>======
ID#AAABMFKNC-0
Canalyst    (2024-04-17 02:07:42)
Assumption by Canalyst</t>
        </r>
      </text>
    </comment>
    <comment ref="AS213" authorId="0" shapeId="0" xr:uid="{184FEBE0-E036-4974-A07A-A8FE9452BD53}">
      <text>
        <r>
          <rPr>
            <sz val="11"/>
            <color rgb="FF000000"/>
            <rFont val="Aptos Narrow"/>
            <family val="2"/>
            <scheme val="minor"/>
          </rPr>
          <t>======
ID#AAABMFKNDD0
Canalyst    (2024-04-17 02:07:42)
Assumption by Canalyst</t>
        </r>
      </text>
    </comment>
    <comment ref="AU213" authorId="0" shapeId="0" xr:uid="{AAA263B3-33F5-4807-91CD-2C6F31628550}">
      <text>
        <r>
          <rPr>
            <sz val="11"/>
            <color rgb="FF000000"/>
            <rFont val="Aptos Narrow"/>
            <family val="2"/>
            <scheme val="minor"/>
          </rPr>
          <t>======
ID#AAABMFKNDIA
Canalyst    (2024-04-17 02:07:42)
Assumption by Canalyst</t>
        </r>
      </text>
    </comment>
    <comment ref="AV213" authorId="0" shapeId="0" xr:uid="{4886CCDA-A8B3-47C8-B35B-A184044FDAD9}">
      <text>
        <r>
          <rPr>
            <sz val="11"/>
            <color rgb="FF000000"/>
            <rFont val="Aptos Narrow"/>
            <family val="2"/>
            <scheme val="minor"/>
          </rPr>
          <t>======
ID#AAABMFKNDTk
Canalyst    (2024-04-17 02:07:42)
Assumption by Canalyst</t>
        </r>
      </text>
    </comment>
    <comment ref="AW213" authorId="0" shapeId="0" xr:uid="{24F2EDD3-1570-4260-B590-C5BD5874CCB4}">
      <text>
        <r>
          <rPr>
            <sz val="11"/>
            <color rgb="FF000000"/>
            <rFont val="Aptos Narrow"/>
            <family val="2"/>
            <scheme val="minor"/>
          </rPr>
          <t>======
ID#AAABMEc8ZIk
Canalyst    (2024-04-17 02:07:42)
Assumption by Canalyst</t>
        </r>
      </text>
    </comment>
    <comment ref="AX213" authorId="0" shapeId="0" xr:uid="{F3D182F6-82B4-4FEB-8843-381C92EDF561}">
      <text>
        <r>
          <rPr>
            <sz val="11"/>
            <color rgb="FF000000"/>
            <rFont val="Aptos Narrow"/>
            <family val="2"/>
            <scheme val="minor"/>
          </rPr>
          <t>======
ID#AAABMFKNDDs
Canalyst    (2024-04-17 02:07:42)
Assumption by Canalyst</t>
        </r>
      </text>
    </comment>
    <comment ref="AZ213" authorId="0" shapeId="0" xr:uid="{1A9EE28C-7F21-4456-8FB5-E9E8E18F84D7}">
      <text>
        <r>
          <rPr>
            <sz val="11"/>
            <color rgb="FF000000"/>
            <rFont val="Aptos Narrow"/>
            <family val="2"/>
            <scheme val="minor"/>
          </rPr>
          <t>======
ID#AAABMFKNDKU
Canalyst    (2024-04-17 02:07:42)
Assumption by Canalyst</t>
        </r>
      </text>
    </comment>
    <comment ref="BA213" authorId="0" shapeId="0" xr:uid="{DEBA33D6-CFA5-4F9A-A20B-AA437B157639}">
      <text>
        <r>
          <rPr>
            <sz val="11"/>
            <color rgb="FF000000"/>
            <rFont val="Aptos Narrow"/>
            <family val="2"/>
            <scheme val="minor"/>
          </rPr>
          <t>======
ID#AAABMEc8ZJE
Canalyst    (2024-04-17 02:07:42)
Assumption by Canalyst</t>
        </r>
      </text>
    </comment>
    <comment ref="BB213" authorId="0" shapeId="0" xr:uid="{96DE14AC-87F5-4BA3-B044-F29C6D07922D}">
      <text>
        <r>
          <rPr>
            <sz val="11"/>
            <color rgb="FF000000"/>
            <rFont val="Aptos Narrow"/>
            <family val="2"/>
            <scheme val="minor"/>
          </rPr>
          <t>======
ID#AAABMFKNDMw
Canalyst    (2024-04-17 02:07:42)
Assumption by Canalyst</t>
        </r>
      </text>
    </comment>
    <comment ref="BC213" authorId="0" shapeId="0" xr:uid="{864CC0FE-60BE-460B-A0DF-97EA90B2474D}">
      <text>
        <r>
          <rPr>
            <sz val="11"/>
            <color rgb="FF000000"/>
            <rFont val="Aptos Narrow"/>
            <family val="2"/>
            <scheme val="minor"/>
          </rPr>
          <t>======
ID#AAABMFKNDZM
Canalyst    (2024-04-17 02:07:42)
Assumption by Canalyst</t>
        </r>
      </text>
    </comment>
    <comment ref="BE213" authorId="0" shapeId="0" xr:uid="{17D13BA3-D55C-4823-8661-1BA4CD5582CC}">
      <text>
        <r>
          <rPr>
            <sz val="11"/>
            <color rgb="FF000000"/>
            <rFont val="Aptos Narrow"/>
            <family val="2"/>
            <scheme val="minor"/>
          </rPr>
          <t>======
ID#AAABMFKNC5Q
Canalyst    (2024-04-17 02:07:42)
Assumption by Canalyst</t>
        </r>
      </text>
    </comment>
    <comment ref="BF213" authorId="0" shapeId="0" xr:uid="{268380B7-DAC2-4850-AAA5-869BFFBEA3C8}">
      <text>
        <r>
          <rPr>
            <sz val="11"/>
            <color rgb="FF000000"/>
            <rFont val="Aptos Narrow"/>
            <family val="2"/>
            <scheme val="minor"/>
          </rPr>
          <t>======
ID#AAABMFKNDWQ
Canalyst    (2024-04-17 02:07:42)
Assumption by Canalyst</t>
        </r>
      </text>
    </comment>
    <comment ref="BG213" authorId="0" shapeId="0" xr:uid="{211B24B4-6D84-4F29-962F-6C9D243A51BA}">
      <text>
        <r>
          <rPr>
            <sz val="11"/>
            <color rgb="FF000000"/>
            <rFont val="Aptos Narrow"/>
            <family val="2"/>
            <scheme val="minor"/>
          </rPr>
          <t>======
ID#AAABMFKNDPQ
Canalyst    (2024-04-17 02:07:42)
Assumption by Canalyst</t>
        </r>
      </text>
    </comment>
    <comment ref="BH213" authorId="0" shapeId="0" xr:uid="{D00529F6-34CF-4F8F-B57E-A162F4C14B6F}">
      <text>
        <r>
          <rPr>
            <sz val="11"/>
            <color rgb="FF000000"/>
            <rFont val="Aptos Narrow"/>
            <family val="2"/>
            <scheme val="minor"/>
          </rPr>
          <t>======
ID#AAABMFKNDXk
Canalyst    (2024-04-17 02:07:42)
Assumption by Canalyst</t>
        </r>
      </text>
    </comment>
    <comment ref="Q214" authorId="0" shapeId="0" xr:uid="{7717B51A-9F82-439D-A239-7530EB17375C}">
      <text>
        <r>
          <rPr>
            <sz val="11"/>
            <color rgb="FF000000"/>
            <rFont val="Aptos Narrow"/>
            <family val="2"/>
            <scheme val="minor"/>
          </rPr>
          <t>======
ID#AAABMFKNC-g
Canalyst    (2024-04-17 02:07:42)
Assumption by Canalyst</t>
        </r>
      </text>
    </comment>
    <comment ref="R214" authorId="0" shapeId="0" xr:uid="{03EF4F5C-D6DF-4056-BCA6-A6A2E6D88A4C}">
      <text>
        <r>
          <rPr>
            <sz val="11"/>
            <color rgb="FF000000"/>
            <rFont val="Aptos Narrow"/>
            <family val="2"/>
            <scheme val="minor"/>
          </rPr>
          <t>======
ID#AAABMFKNDHk
Canalyst    (2024-04-17 02:07:42)
Assumption by Canalyst</t>
        </r>
      </text>
    </comment>
    <comment ref="S214" authorId="0" shapeId="0" xr:uid="{3B029097-9534-4707-ADB3-BD2DC4F3B239}">
      <text>
        <r>
          <rPr>
            <sz val="11"/>
            <color rgb="FF000000"/>
            <rFont val="Aptos Narrow"/>
            <family val="2"/>
            <scheme val="minor"/>
          </rPr>
          <t>======
ID#AAABMFKNDMM
Canalyst    (2024-04-17 02:07:42)
Assumption by Canalyst</t>
        </r>
      </text>
    </comment>
    <comment ref="T214" authorId="0" shapeId="0" xr:uid="{C9D414A9-B45C-4B20-AC7B-AF0D893729CB}">
      <text>
        <r>
          <rPr>
            <sz val="11"/>
            <color rgb="FF000000"/>
            <rFont val="Aptos Narrow"/>
            <family val="2"/>
            <scheme val="minor"/>
          </rPr>
          <t>======
ID#AAABMFKNC_s
Canalyst    (2024-04-17 02:07:42)
Assumption by Canalyst</t>
        </r>
      </text>
    </comment>
    <comment ref="V214" authorId="0" shapeId="0" xr:uid="{7AD97998-9240-4D76-998B-F40FCF7E96A8}">
      <text>
        <r>
          <rPr>
            <sz val="11"/>
            <color rgb="FF000000"/>
            <rFont val="Aptos Narrow"/>
            <family val="2"/>
            <scheme val="minor"/>
          </rPr>
          <t>======
ID#AAABMFKNDOY
Canalyst    (2024-04-17 02:07:42)
Assumption by Canalyst</t>
        </r>
      </text>
    </comment>
    <comment ref="W214" authorId="0" shapeId="0" xr:uid="{2EB3C4CB-C13D-4E6A-B92C-21B98CE224F7}">
      <text>
        <r>
          <rPr>
            <sz val="11"/>
            <color rgb="FF000000"/>
            <rFont val="Aptos Narrow"/>
            <family val="2"/>
            <scheme val="minor"/>
          </rPr>
          <t>======
ID#AAABMFKNDaA
Canalyst    (2024-04-17 02:07:43)
Assumption by Canalyst</t>
        </r>
      </text>
    </comment>
    <comment ref="X214" authorId="0" shapeId="0" xr:uid="{E9AB8EB7-CBCD-43F6-89F2-7D9187AD7D6E}">
      <text>
        <r>
          <rPr>
            <sz val="11"/>
            <color rgb="FF000000"/>
            <rFont val="Aptos Narrow"/>
            <family val="2"/>
            <scheme val="minor"/>
          </rPr>
          <t>======
ID#AAABMFKNDKk
Canalyst    (2024-04-17 02:07:42)
Assumption by Canalyst</t>
        </r>
      </text>
    </comment>
    <comment ref="Y214" authorId="0" shapeId="0" xr:uid="{A4C6D89B-7E40-4E29-9B22-7226D57BDA74}">
      <text>
        <r>
          <rPr>
            <sz val="11"/>
            <color rgb="FF000000"/>
            <rFont val="Aptos Narrow"/>
            <family val="2"/>
            <scheme val="minor"/>
          </rPr>
          <t>======
ID#AAABMFKNDV4
Canalyst    (2024-04-17 02:07:42)
Assumption by Canalyst</t>
        </r>
      </text>
    </comment>
    <comment ref="AA214" authorId="0" shapeId="0" xr:uid="{F45BFD8E-3114-4F4D-8726-539495140F98}">
      <text>
        <r>
          <rPr>
            <sz val="11"/>
            <color rgb="FF000000"/>
            <rFont val="Aptos Narrow"/>
            <family val="2"/>
            <scheme val="minor"/>
          </rPr>
          <t>======
ID#AAABMFKNDI4
Canalyst    (2024-04-17 02:07:42)
Assumption by Canalyst</t>
        </r>
      </text>
    </comment>
    <comment ref="AB214" authorId="0" shapeId="0" xr:uid="{BF525308-8048-4A8F-9B83-F23D727E59FB}">
      <text>
        <r>
          <rPr>
            <sz val="11"/>
            <color rgb="FF000000"/>
            <rFont val="Aptos Narrow"/>
            <family val="2"/>
            <scheme val="minor"/>
          </rPr>
          <t>======
ID#AAABMFKNDSo
Canalyst    (2024-04-17 02:07:42)
Assumption by Canalyst</t>
        </r>
      </text>
    </comment>
    <comment ref="AC214" authorId="0" shapeId="0" xr:uid="{BB45EE10-076F-4C41-9F36-A35A7C397AAC}">
      <text>
        <r>
          <rPr>
            <sz val="11"/>
            <color rgb="FF000000"/>
            <rFont val="Aptos Narrow"/>
            <family val="2"/>
            <scheme val="minor"/>
          </rPr>
          <t>======
ID#AAABMFKNDQ8
Canalyst    (2024-04-17 02:07:42)
Assumption by Canalyst</t>
        </r>
      </text>
    </comment>
    <comment ref="AD214" authorId="0" shapeId="0" xr:uid="{D8460ABA-44E5-498A-8218-2B732ADB34B2}">
      <text>
        <r>
          <rPr>
            <sz val="11"/>
            <color rgb="FF000000"/>
            <rFont val="Aptos Narrow"/>
            <family val="2"/>
            <scheme val="minor"/>
          </rPr>
          <t>======
ID#AAABMFKNDBI
Canalyst    (2024-04-17 02:07:42)
Assumption by Canalyst</t>
        </r>
      </text>
    </comment>
    <comment ref="AF214" authorId="0" shapeId="0" xr:uid="{A3DFC049-ABB7-4C06-92C9-CC02F944C1D8}">
      <text>
        <r>
          <rPr>
            <sz val="11"/>
            <color rgb="FF000000"/>
            <rFont val="Aptos Narrow"/>
            <family val="2"/>
            <scheme val="minor"/>
          </rPr>
          <t>======
ID#AAABMFKNC_w
Canalyst    (2024-04-17 02:07:42)
Assumption by Canalyst</t>
        </r>
      </text>
    </comment>
    <comment ref="AG214" authorId="0" shapeId="0" xr:uid="{578843B3-8C46-4294-BC78-FA0B2B77C279}">
      <text>
        <r>
          <rPr>
            <sz val="11"/>
            <color rgb="FF000000"/>
            <rFont val="Aptos Narrow"/>
            <family val="2"/>
            <scheme val="minor"/>
          </rPr>
          <t>======
ID#AAABMFKNC58
Canalyst    (2024-04-17 02:07:42)
Assumption by Canalyst</t>
        </r>
      </text>
    </comment>
    <comment ref="AH214" authorId="0" shapeId="0" xr:uid="{740FEE07-9DD3-47FE-B5E1-A63C026E320D}">
      <text>
        <r>
          <rPr>
            <sz val="11"/>
            <color rgb="FF000000"/>
            <rFont val="Aptos Narrow"/>
            <family val="2"/>
            <scheme val="minor"/>
          </rPr>
          <t>======
ID#AAABMFKNDQA
Canalyst    (2024-04-17 02:07:42)
Assumption by Canalyst</t>
        </r>
      </text>
    </comment>
    <comment ref="AI214" authorId="0" shapeId="0" xr:uid="{7F2CD0F2-8AF7-4ACB-ACFF-05D21AF66A8F}">
      <text>
        <r>
          <rPr>
            <sz val="11"/>
            <color rgb="FF000000"/>
            <rFont val="Aptos Narrow"/>
            <family val="2"/>
            <scheme val="minor"/>
          </rPr>
          <t>======
ID#AAABMFKNC8Y
Canalyst    (2024-04-17 02:07:42)
Assumption by Canalyst</t>
        </r>
      </text>
    </comment>
    <comment ref="AK214" authorId="0" shapeId="0" xr:uid="{CA65F228-A25C-4B69-AE77-F83F00195739}">
      <text>
        <r>
          <rPr>
            <sz val="11"/>
            <color rgb="FF000000"/>
            <rFont val="Aptos Narrow"/>
            <family val="2"/>
            <scheme val="minor"/>
          </rPr>
          <t>======
ID#AAABMFKNDYg
Canalyst    (2024-04-17 02:07:42)
Assumption by Canalyst</t>
        </r>
      </text>
    </comment>
    <comment ref="AL214" authorId="0" shapeId="0" xr:uid="{E070AE9B-5BF7-40F7-A4E5-C8A7A798C88C}">
      <text>
        <r>
          <rPr>
            <sz val="11"/>
            <color rgb="FF000000"/>
            <rFont val="Aptos Narrow"/>
            <family val="2"/>
            <scheme val="minor"/>
          </rPr>
          <t>======
ID#AAABMFKNDAY
Canalyst    (2024-04-17 02:07:42)
Assumption by Canalyst</t>
        </r>
      </text>
    </comment>
    <comment ref="AM214" authorId="0" shapeId="0" xr:uid="{5C420C7D-CED6-4C43-A6E0-4C5305D1DDFC}">
      <text>
        <r>
          <rPr>
            <sz val="11"/>
            <color rgb="FF000000"/>
            <rFont val="Aptos Narrow"/>
            <family val="2"/>
            <scheme val="minor"/>
          </rPr>
          <t>======
ID#AAABMFKNDAw
Canalyst    (2024-04-17 02:07:42)
Assumption by Canalyst</t>
        </r>
      </text>
    </comment>
    <comment ref="AN214" authorId="0" shapeId="0" xr:uid="{E386ECF0-6DB7-43F5-98A9-9EF033FD239F}">
      <text>
        <r>
          <rPr>
            <sz val="11"/>
            <color rgb="FF000000"/>
            <rFont val="Aptos Narrow"/>
            <family val="2"/>
            <scheme val="minor"/>
          </rPr>
          <t>======
ID#AAABMFKNDF8
Canalyst    (2024-04-17 02:07:42)
Assumption by Canalyst</t>
        </r>
      </text>
    </comment>
    <comment ref="AP214" authorId="0" shapeId="0" xr:uid="{787F6ACB-B290-49AF-BB39-A71B1A132245}">
      <text>
        <r>
          <rPr>
            <sz val="11"/>
            <color rgb="FF000000"/>
            <rFont val="Aptos Narrow"/>
            <family val="2"/>
            <scheme val="minor"/>
          </rPr>
          <t>======
ID#AAABMFKNDFU
Canalyst    (2024-04-17 02:07:42)
Assumption by Canalyst</t>
        </r>
      </text>
    </comment>
    <comment ref="AQ214" authorId="0" shapeId="0" xr:uid="{AF110C63-3AAC-42E6-94BF-114644A610A8}">
      <text>
        <r>
          <rPr>
            <sz val="11"/>
            <color rgb="FF000000"/>
            <rFont val="Aptos Narrow"/>
            <family val="2"/>
            <scheme val="minor"/>
          </rPr>
          <t>======
ID#AAABMFKNDXA
Canalyst    (2024-04-17 02:07:42)
Assumption by Canalyst</t>
        </r>
      </text>
    </comment>
    <comment ref="AR214" authorId="0" shapeId="0" xr:uid="{218332C0-7836-4D2F-9904-3C39498B1FFC}">
      <text>
        <r>
          <rPr>
            <sz val="11"/>
            <color rgb="FF000000"/>
            <rFont val="Aptos Narrow"/>
            <family val="2"/>
            <scheme val="minor"/>
          </rPr>
          <t>======
ID#AAABMFKNC_Y
Canalyst    (2024-04-17 02:07:42)
Assumption by Canalyst</t>
        </r>
      </text>
    </comment>
    <comment ref="AS214" authorId="0" shapeId="0" xr:uid="{96809A01-5940-44E8-8106-30B9A45F5E28}">
      <text>
        <r>
          <rPr>
            <sz val="11"/>
            <color rgb="FF000000"/>
            <rFont val="Aptos Narrow"/>
            <family val="2"/>
            <scheme val="minor"/>
          </rPr>
          <t>======
ID#AAABMFKNC6I
Canalyst    (2024-04-17 02:07:42)
Assumption by Canalyst</t>
        </r>
      </text>
    </comment>
    <comment ref="AU214" authorId="0" shapeId="0" xr:uid="{A7F4F4A3-AC56-402D-B90B-80D369BA9316}">
      <text>
        <r>
          <rPr>
            <sz val="11"/>
            <color rgb="FF000000"/>
            <rFont val="Aptos Narrow"/>
            <family val="2"/>
            <scheme val="minor"/>
          </rPr>
          <t>======
ID#AAABMFKNC3k
Canalyst    (2024-04-17 02:07:42)
Assumption by Canalyst</t>
        </r>
      </text>
    </comment>
    <comment ref="AV214" authorId="0" shapeId="0" xr:uid="{40DDA850-642D-4CB5-A7DE-E8B0D2C19036}">
      <text>
        <r>
          <rPr>
            <sz val="11"/>
            <color rgb="FF000000"/>
            <rFont val="Aptos Narrow"/>
            <family val="2"/>
            <scheme val="minor"/>
          </rPr>
          <t>======
ID#AAABMFKNDRU
Canalyst    (2024-04-17 02:07:42)
Assumption by Canalyst</t>
        </r>
      </text>
    </comment>
    <comment ref="AW214" authorId="0" shapeId="0" xr:uid="{8DEDE3A9-6BAC-4ABC-8F93-8261D382315E}">
      <text>
        <r>
          <rPr>
            <sz val="11"/>
            <color rgb="FF000000"/>
            <rFont val="Aptos Narrow"/>
            <family val="2"/>
            <scheme val="minor"/>
          </rPr>
          <t>======
ID#AAABMFKNDUk
Canalyst    (2024-04-17 02:07:42)
Assumption by Canalyst</t>
        </r>
      </text>
    </comment>
    <comment ref="AX214" authorId="0" shapeId="0" xr:uid="{30506955-8AA1-4775-9233-A14374D88E7B}">
      <text>
        <r>
          <rPr>
            <sz val="11"/>
            <color rgb="FF000000"/>
            <rFont val="Aptos Narrow"/>
            <family val="2"/>
            <scheme val="minor"/>
          </rPr>
          <t>======
ID#AAABMFKNDRA
Canalyst    (2024-04-17 02:07:42)
Assumption by Canalyst</t>
        </r>
      </text>
    </comment>
    <comment ref="AZ214" authorId="0" shapeId="0" xr:uid="{FDA446A5-287B-4E58-BEA8-3E167D18A9AE}">
      <text>
        <r>
          <rPr>
            <sz val="11"/>
            <color rgb="FF000000"/>
            <rFont val="Aptos Narrow"/>
            <family val="2"/>
            <scheme val="minor"/>
          </rPr>
          <t>======
ID#AAABMFKNDS8
Canalyst    (2024-04-17 02:07:42)
Assumption by Canalyst</t>
        </r>
      </text>
    </comment>
    <comment ref="BA214" authorId="0" shapeId="0" xr:uid="{F89F3E0E-239A-486C-8FAD-5331D4271CFA}">
      <text>
        <r>
          <rPr>
            <sz val="11"/>
            <color rgb="FF000000"/>
            <rFont val="Aptos Narrow"/>
            <family val="2"/>
            <scheme val="minor"/>
          </rPr>
          <t>======
ID#AAABMEX2nKM
Canalyst    (2024-04-17 02:07:42)
Assumption by Canalyst</t>
        </r>
      </text>
    </comment>
    <comment ref="BB214" authorId="0" shapeId="0" xr:uid="{2FB80957-AA15-4BA2-BBBD-A8CC0D972C91}">
      <text>
        <r>
          <rPr>
            <sz val="11"/>
            <color rgb="FF000000"/>
            <rFont val="Aptos Narrow"/>
            <family val="2"/>
            <scheme val="minor"/>
          </rPr>
          <t>======
ID#AAABMFKNC4Q
Canalyst    (2024-04-17 02:07:42)
Assumption by Canalyst</t>
        </r>
      </text>
    </comment>
    <comment ref="BC214" authorId="0" shapeId="0" xr:uid="{0DBDDA21-1885-491A-81B0-9D2D9D5261D0}">
      <text>
        <r>
          <rPr>
            <sz val="11"/>
            <color rgb="FF000000"/>
            <rFont val="Aptos Narrow"/>
            <family val="2"/>
            <scheme val="minor"/>
          </rPr>
          <t>======
ID#AAABMFKNC_0
Canalyst    (2024-04-17 02:07:42)
Assumption by Canalyst</t>
        </r>
      </text>
    </comment>
    <comment ref="BE214" authorId="0" shapeId="0" xr:uid="{D679A949-0D1C-47C5-9222-36012267744E}">
      <text>
        <r>
          <rPr>
            <sz val="11"/>
            <color rgb="FF000000"/>
            <rFont val="Aptos Narrow"/>
            <family val="2"/>
            <scheme val="minor"/>
          </rPr>
          <t>======
ID#AAABMFKNDRo
Canalyst    (2024-04-17 02:07:42)
Assumption by Canalyst</t>
        </r>
      </text>
    </comment>
    <comment ref="BF214" authorId="0" shapeId="0" xr:uid="{12AAC954-39C3-4001-8ACB-DCC386DED728}">
      <text>
        <r>
          <rPr>
            <sz val="11"/>
            <color rgb="FF000000"/>
            <rFont val="Aptos Narrow"/>
            <family val="2"/>
            <scheme val="minor"/>
          </rPr>
          <t>======
ID#AAABMFKNDFo
Canalyst    (2024-04-17 02:07:42)
Assumption by Canalyst</t>
        </r>
      </text>
    </comment>
    <comment ref="BG214" authorId="0" shapeId="0" xr:uid="{02FB0663-ABC0-453F-B475-E265E219EF71}">
      <text>
        <r>
          <rPr>
            <sz val="11"/>
            <color rgb="FF000000"/>
            <rFont val="Aptos Narrow"/>
            <family val="2"/>
            <scheme val="minor"/>
          </rPr>
          <t>======
ID#AAABMFKNDSs
Canalyst    (2024-04-17 02:07:42)
Assumption by Canalyst</t>
        </r>
      </text>
    </comment>
    <comment ref="BH214" authorId="0" shapeId="0" xr:uid="{656D1154-B15B-415D-8BD5-9E3722CA37FF}">
      <text>
        <r>
          <rPr>
            <sz val="11"/>
            <color rgb="FF000000"/>
            <rFont val="Aptos Narrow"/>
            <family val="2"/>
            <scheme val="minor"/>
          </rPr>
          <t>======
ID#AAABMFKNDHw
Canalyst    (2024-04-17 02:07:42)
Assumption by Canalyst</t>
        </r>
      </text>
    </comment>
    <comment ref="AK219" authorId="0" shapeId="0" xr:uid="{AD45CB37-74E0-41E0-BBD7-D9C9EDD53145}">
      <text>
        <r>
          <rPr>
            <sz val="11"/>
            <color rgb="FF000000"/>
            <rFont val="Aptos Narrow"/>
            <family val="2"/>
            <scheme val="minor"/>
          </rPr>
          <t>======
ID#AAABMEc8ZI0
Canalyst (RE)    (2024-04-17 02:07:42)
Due to acquisitions of new restaurant concepts, the company resegmented. Data has been restated</t>
        </r>
      </text>
    </comment>
    <comment ref="AL219" authorId="0" shapeId="0" xr:uid="{8BD4EFAE-9B63-43A2-877E-C9780D9B9D27}">
      <text>
        <r>
          <rPr>
            <sz val="11"/>
            <color rgb="FF000000"/>
            <rFont val="Aptos Narrow"/>
            <family val="2"/>
            <scheme val="minor"/>
          </rPr>
          <t>======
ID#AAABMFKNDZY
Canalyst (RE)    (2024-04-17 02:07:42)
Due to acquisitions of new restaurant concepts, the company resegmented. Data has been restated</t>
        </r>
      </text>
    </comment>
    <comment ref="AM219" authorId="0" shapeId="0" xr:uid="{A5462E06-DD48-4AE6-858E-EAFFF77F3AF8}">
      <text>
        <r>
          <rPr>
            <sz val="11"/>
            <color rgb="FF000000"/>
            <rFont val="Aptos Narrow"/>
            <family val="2"/>
            <scheme val="minor"/>
          </rPr>
          <t>======
ID#AAABMEc8ZIs
Canalyst (RE)    (2024-04-17 02:07:42)
Due to acquisitions of new restaurant concepts, the company resegmented. Data has been restated</t>
        </r>
      </text>
    </comment>
    <comment ref="AP219" authorId="0" shapeId="0" xr:uid="{622C2D54-7431-4D62-B1C3-DDBC0124523B}">
      <text>
        <r>
          <rPr>
            <sz val="11"/>
            <color rgb="FF000000"/>
            <rFont val="Aptos Narrow"/>
            <family val="2"/>
            <scheme val="minor"/>
          </rPr>
          <t>======
ID#AAABMFKNDKc
Canalyst (RE)    (2024-04-17 02:07:42)
Impairments to certain segments which are reported to one decimal.</t>
        </r>
      </text>
    </comment>
    <comment ref="AS219" authorId="0" shapeId="0" xr:uid="{79B163F5-BB60-42CB-B392-28642A48ABCB}">
      <text>
        <r>
          <rPr>
            <sz val="11"/>
            <color rgb="FF000000"/>
            <rFont val="Aptos Narrow"/>
            <family val="2"/>
            <scheme val="minor"/>
          </rPr>
          <t>======
ID#AAABMFKNDLY
Canalyst (RE)    (2024-04-17 02:07:42)
Hardcoded as reported</t>
        </r>
      </text>
    </comment>
    <comment ref="A223" authorId="0" shapeId="0" xr:uid="{B5D346DD-5E67-42E7-9EE8-B242ADEC827B}">
      <text>
        <r>
          <rPr>
            <sz val="11"/>
            <color rgb="FF000000"/>
            <rFont val="Aptos Narrow"/>
            <family val="2"/>
            <scheme val="minor"/>
          </rPr>
          <t>======
ID#AAABMFKNDU8
Canalyst (RE)    (2024-04-17 02:07:42)
Beginning in Q4-2019, the company consolidated the "other and "unallocated corporate expenses" along with Fox Restaurants Concepts operating income</t>
        </r>
      </text>
    </comment>
    <comment ref="A224" authorId="0" shapeId="0" xr:uid="{6365BB78-72E2-4C45-995D-CA5A9CE46186}">
      <text>
        <r>
          <rPr>
            <sz val="11"/>
            <color rgb="FF000000"/>
            <rFont val="Aptos Narrow"/>
            <family val="2"/>
            <scheme val="minor"/>
          </rPr>
          <t>======
ID#AAABMFKNC4w
Canalyst (MH)    (2024-04-17 02:07:42)
Includes Grand Lux Café, RockSugar Pan Asian Kitchen, bakery division, and international licensing operations</t>
        </r>
      </text>
    </comment>
    <comment ref="A231" authorId="0" shapeId="0" xr:uid="{25DB0177-F768-4D35-8567-AA74085B48FB}">
      <text>
        <r>
          <rPr>
            <sz val="11"/>
            <color rgb="FF000000"/>
            <rFont val="Aptos Narrow"/>
            <family val="2"/>
            <scheme val="minor"/>
          </rPr>
          <t>======
ID#AAABMFKNDVI
Canalyst (MH)    (2024-04-17 02:07:42)
Includes Grand Lux Café, RockSugar Pan Asian Kitchen, bakery division, and international licensing operations</t>
        </r>
      </text>
    </comment>
    <comment ref="AM236" authorId="0" shapeId="0" xr:uid="{7BF59817-87EF-4DC6-8FF9-F4E191EEF791}">
      <text>
        <r>
          <rPr>
            <sz val="11"/>
            <color rgb="FF000000"/>
            <rFont val="Aptos Narrow"/>
            <family val="2"/>
            <scheme val="minor"/>
          </rPr>
          <t>======
ID#AAABMFKNDHU
Canalyst (RE)    (2024-04-17 02:07:42)
Formula adjusted to include acquisition of North Italia and FRC restaurants</t>
        </r>
      </text>
    </comment>
    <comment ref="AN248" authorId="0" shapeId="0" xr:uid="{6F77B465-155A-4874-9D7A-375B52A443A3}">
      <text>
        <r>
          <rPr>
            <sz val="11"/>
            <color rgb="FF000000"/>
            <rFont val="Aptos Narrow"/>
            <family val="2"/>
            <scheme val="minor"/>
          </rPr>
          <t>======
ID#AAABMFKNC4E
Canalyst (RE)    (2024-04-17 02:07:42)
For the quarter, 17% was total off-premise, 35% of that was delivery; 13%, online ordering; and phone-in, walk-in about -- right around 50%</t>
        </r>
      </text>
    </comment>
    <comment ref="AP248" authorId="0" shapeId="0" xr:uid="{4130FE81-13D4-46B2-B62A-F678A44F7AFC}">
      <text>
        <r>
          <rPr>
            <sz val="11"/>
            <color rgb="FF000000"/>
            <rFont val="Aptos Narrow"/>
            <family val="2"/>
            <scheme val="minor"/>
          </rPr>
          <t>======
ID#AAABMFKNDL0
Canalyst (RZ)    (2024-04-17 02:07:42)
reflecting the acceleration that began from the social distancing and shelter-in-place orders</t>
        </r>
      </text>
    </comment>
    <comment ref="A256" authorId="0" shapeId="0" xr:uid="{C233D910-7578-4403-A59F-5628B6F61687}">
      <text>
        <r>
          <rPr>
            <sz val="11"/>
            <color rgb="FF000000"/>
            <rFont val="Aptos Narrow"/>
            <family val="2"/>
            <scheme val="minor"/>
          </rPr>
          <t>======
ID#AAABMFKNDB8
Canalyst (RE)    (2024-04-17 02:07:42)
Company calculates it as restaurant level EBITDA/invested capital per restaurant.</t>
        </r>
      </text>
    </comment>
    <comment ref="AJ256" authorId="0" shapeId="0" xr:uid="{BD07C28A-BF06-4695-A322-A99603DF2CED}">
      <text>
        <r>
          <rPr>
            <sz val="11"/>
            <color rgb="FF000000"/>
            <rFont val="Aptos Narrow"/>
            <family val="2"/>
            <scheme val="minor"/>
          </rPr>
          <t>======
ID#AAABMFKNDX8
Canalyst (RE)    (2024-04-17 02:07:42)
Stopped reporting</t>
        </r>
      </text>
    </comment>
    <comment ref="AO258" authorId="0" shapeId="0" xr:uid="{9BC52A77-C28F-4325-8024-8CAE44972188}">
      <text>
        <r>
          <rPr>
            <sz val="11"/>
            <color rgb="FF000000"/>
            <rFont val="Aptos Narrow"/>
            <family val="2"/>
            <scheme val="minor"/>
          </rPr>
          <t>======
ID#AAABMFKNDSg
Canalyst (RZ)    (2024-04-17 02:07:42)
flat</t>
        </r>
      </text>
    </comment>
    <comment ref="AP258" authorId="0" shapeId="0" xr:uid="{5EBD93CB-BF71-4047-8D8D-7D6E75623435}">
      <text>
        <r>
          <rPr>
            <sz val="11"/>
            <color rgb="FF000000"/>
            <rFont val="Aptos Narrow"/>
            <family val="2"/>
            <scheme val="minor"/>
          </rPr>
          <t>======
ID#AAABMFKNDVQ
Canalyst (RZ)    (2024-04-17 02:07:42)
not reported</t>
        </r>
      </text>
    </comment>
    <comment ref="A268" authorId="0" shapeId="0" xr:uid="{6A12D395-D4CF-42D3-96FA-5D167A3F0DFC}">
      <text>
        <r>
          <rPr>
            <sz val="11"/>
            <color rgb="FF000000"/>
            <rFont val="Aptos Narrow"/>
            <family val="2"/>
            <scheme val="minor"/>
          </rPr>
          <t>======
ID#AAABMFKNDP4
Canalyst (YF)    (2024-04-17 02:07:42)
Reported as 'Other charges' in FY2013 and before.</t>
        </r>
      </text>
    </comment>
    <comment ref="A306" authorId="0" shapeId="0" xr:uid="{36738A47-4DD2-4270-9582-FD38936C8691}">
      <text>
        <r>
          <rPr>
            <sz val="11"/>
            <color rgb="FF000000"/>
            <rFont val="Aptos Narrow"/>
            <family val="2"/>
            <scheme val="minor"/>
          </rPr>
          <t>======
ID#AAABMFKNDVU
Canalyst (QB)    (2024-04-17 02:07:42)
Cheesecake Factory only. Excludes impact of North Italia, Other FRC, and Other restaurants.</t>
        </r>
      </text>
    </comment>
    <comment ref="A307" authorId="0" shapeId="0" xr:uid="{6A82AA49-B468-4163-AFB6-1709737E143E}">
      <text>
        <r>
          <rPr>
            <sz val="11"/>
            <color rgb="FF000000"/>
            <rFont val="Aptos Narrow"/>
            <family val="2"/>
            <scheme val="minor"/>
          </rPr>
          <t>======
ID#AAABMFKNC90
Canalyst (QB)    (2024-04-17 02:07:42)
Cheesecake Factory only. Excludes impact of North Italia, Other FRC, and Other restaurants.</t>
        </r>
      </text>
    </comment>
    <comment ref="A308" authorId="0" shapeId="0" xr:uid="{28A5E1FB-776C-4DD5-91EA-F1BF94D337E7}">
      <text>
        <r>
          <rPr>
            <sz val="11"/>
            <color rgb="FF000000"/>
            <rFont val="Aptos Narrow"/>
            <family val="2"/>
            <scheme val="minor"/>
          </rPr>
          <t>======
ID#AAABMFKNC4Y
Canalyst (QB)    (2024-04-17 02:07:42)
Cheesecake Factory only. Excludes impact of North Italia, Other FRC, and Other restaurants.</t>
        </r>
      </text>
    </comment>
    <comment ref="AN340" authorId="0" shapeId="0" xr:uid="{0D3F61EE-B126-432F-AC1E-DC93F5A8F338}">
      <text>
        <r>
          <rPr>
            <sz val="11"/>
            <color rgb="FF000000"/>
            <rFont val="Aptos Narrow"/>
            <family val="2"/>
            <scheme val="minor"/>
          </rPr>
          <t>======
ID#AAABMFKNC7U
Canalyst (RE)    (2024-04-17 02:07:42)
Hardcoded as reported</t>
        </r>
      </text>
    </comment>
    <comment ref="AN343" authorId="0" shapeId="0" xr:uid="{EF884BBC-4A05-4EE7-97DA-309B29EC77AB}">
      <text>
        <r>
          <rPr>
            <sz val="11"/>
            <color rgb="FF000000"/>
            <rFont val="Aptos Narrow"/>
            <family val="2"/>
            <scheme val="minor"/>
          </rPr>
          <t>======
ID#AAABMFKNDMc
Canalyst (RE)    (2024-04-17 02:07:42)
Hardcoded as reported</t>
        </r>
      </text>
    </comment>
    <comment ref="A360" authorId="0" shapeId="0" xr:uid="{FB1347AE-A003-49CB-B566-66EE3C4CBB7C}">
      <text>
        <r>
          <rPr>
            <sz val="11"/>
            <color rgb="FF000000"/>
            <rFont val="Aptos Narrow"/>
            <family val="2"/>
            <scheme val="minor"/>
          </rPr>
          <t>======
ID#AAABMFKNDYA
Canalyst (MH)    (2024-04-17 02:07:42)
Begins reporting adjusted numbers quarterly on Q3, 2016.</t>
        </r>
      </text>
    </comment>
    <comment ref="A362" authorId="0" shapeId="0" xr:uid="{61EED5C7-AC81-4BB9-A6C8-D600A6E746C7}">
      <text>
        <r>
          <rPr>
            <sz val="11"/>
            <color rgb="FF000000"/>
            <rFont val="Aptos Narrow"/>
            <family val="2"/>
            <scheme val="minor"/>
          </rPr>
          <t>======
ID#AAABMFKNDCM
Canalyst (TK)    (2024-04-17 02:07:42)
Primarily related to healthcare and meal benefits for furloughed staff members; recorded in labor and other operating costs on the income statement.</t>
        </r>
      </text>
    </comment>
    <comment ref="A380" authorId="0" shapeId="0" xr:uid="{CDA09F42-92F6-431E-8713-509FE1A9E9BF}">
      <text>
        <r>
          <rPr>
            <sz val="11"/>
            <color rgb="FF000000"/>
            <rFont val="Aptos Narrow"/>
            <family val="2"/>
            <scheme val="minor"/>
          </rPr>
          <t>======
ID#AAABMFKNC7o
Canalyst (RE)    (2024-04-17 02:07:42)
Other company-owned restaurants revenue has been estimated</t>
        </r>
      </text>
    </comment>
    <comment ref="A381" authorId="0" shapeId="0" xr:uid="{1C1E786E-F23B-44CB-A3C3-CCB3EE87CB09}">
      <text>
        <r>
          <rPr>
            <sz val="11"/>
            <color rgb="FF000000"/>
            <rFont val="Aptos Narrow"/>
            <family val="2"/>
            <scheme val="minor"/>
          </rPr>
          <t>======
ID#AAABMFKNC3w
Canalyst (RE)    (2024-04-17 02:07:42)
Includes mainly external bakery sales and estimated calculation of revenues from licensees</t>
        </r>
      </text>
    </comment>
    <comment ref="AR393" authorId="0" shapeId="0" xr:uid="{F96CB04C-39F6-4546-8C9E-7DA138B0B1C9}">
      <text>
        <r>
          <rPr>
            <sz val="11"/>
            <color rgb="FF000000"/>
            <rFont val="Aptos Narrow"/>
            <family val="2"/>
            <scheme val="minor"/>
          </rPr>
          <t>======
ID#AAABMFKNDVs
Canalyst (RE)    (2024-04-17 02:07:42)
Formula adjusted as there is a rounding error for SBC in the CFS</t>
        </r>
      </text>
    </comment>
    <comment ref="AS393" authorId="0" shapeId="0" xr:uid="{CEEA76B1-7D78-4341-A5F6-B807FA5DF7E7}">
      <text>
        <r>
          <rPr>
            <sz val="11"/>
            <color rgb="FF000000"/>
            <rFont val="Aptos Narrow"/>
            <family val="2"/>
            <scheme val="minor"/>
          </rPr>
          <t>======
ID#AAABMFKNDHo
Canalyst (RE)    (2024-04-17 02:07:42)
Formula adjusted as there is a rounding error for SBC in the CFS</t>
        </r>
      </text>
    </comment>
    <comment ref="A412" authorId="0" shapeId="0" xr:uid="{73BCD251-D6D8-46A0-961C-FCE8281B19BB}">
      <text>
        <r>
          <rPr>
            <sz val="11"/>
            <color rgb="FF000000"/>
            <rFont val="Aptos Narrow"/>
            <family val="2"/>
            <scheme val="minor"/>
          </rPr>
          <t>======
ID#AAABMFKNC9c
Canalyst (MH)    (2024-04-17 02:07:42)
Company adjusts on an annual basis</t>
        </r>
      </text>
    </comment>
    <comment ref="AV420" authorId="0" shapeId="0" xr:uid="{74CC3CD8-87FB-4C9A-AEF1-55E324F5D80D}">
      <text>
        <r>
          <rPr>
            <sz val="11"/>
            <color rgb="FF000000"/>
            <rFont val="Aptos Narrow"/>
            <family val="2"/>
            <scheme val="minor"/>
          </rPr>
          <t>======
ID#AAABMFKNDHc
Canalyst (SS)    (2024-04-17 02:07:42)
Reported as $0.37.</t>
        </r>
      </text>
    </comment>
    <comment ref="AQ421" authorId="0" shapeId="0" xr:uid="{28D085E5-EA11-427A-A320-6F598CD45714}">
      <text>
        <r>
          <rPr>
            <sz val="11"/>
            <color rgb="FF000000"/>
            <rFont val="Aptos Narrow"/>
            <family val="2"/>
            <scheme val="minor"/>
          </rPr>
          <t>======
ID#AAABMFKNDWw
Canalyst (RE)    (2024-04-17 02:07:42)
Reported as -$0.90 in Q2-2021</t>
        </r>
      </text>
    </comment>
    <comment ref="AQ426" authorId="0" shapeId="0" xr:uid="{37833A05-9F5E-40D5-8D84-25B09EDE485D}">
      <text>
        <r>
          <rPr>
            <sz val="11"/>
            <color rgb="FF000000"/>
            <rFont val="Aptos Narrow"/>
            <family val="2"/>
            <scheme val="minor"/>
          </rPr>
          <t>======
ID#AAABMFKNDVM
Canalyst (RE)    (2024-04-17 02:07:42)
Reported as 50,893,967 in Q2-2021</t>
        </r>
      </text>
    </comment>
    <comment ref="AX426" authorId="0" shapeId="0" xr:uid="{FB8906C5-4A0D-46C3-A171-A947193ED639}">
      <text>
        <r>
          <rPr>
            <sz val="11"/>
            <color rgb="FF000000"/>
            <rFont val="Aptos Narrow"/>
            <family val="2"/>
            <scheme val="minor"/>
          </rPr>
          <t>======
ID#AAABMFKNDYw
Canalyst (RE)    (2024-04-17 02:07:42)
Reported basic adjusted share count. Estimated impact to calculate diluted impact. Confirmed by matching with reported EPS value</t>
        </r>
      </text>
    </comment>
    <comment ref="AY426" authorId="0" shapeId="0" xr:uid="{357BB70D-9647-4EDD-9ECA-4CA60E46F423}">
      <text>
        <r>
          <rPr>
            <sz val="11"/>
            <color rgb="FF000000"/>
            <rFont val="Aptos Narrow"/>
            <family val="2"/>
            <scheme val="minor"/>
          </rPr>
          <t>======
ID#AAABMEc8ZHk
Canalyst (RE)    (2024-04-17 02:07:42)
Reported basic adjusted share count. Estimated impact to calculate diluted impact. Confirmed by matching with reported EPS value</t>
        </r>
      </text>
    </comment>
    <comment ref="A435" authorId="0" shapeId="0" xr:uid="{687188E5-C332-4008-B197-4C55777BD7CB}">
      <text>
        <r>
          <rPr>
            <sz val="11"/>
            <color rgb="FF000000"/>
            <rFont val="Aptos Narrow"/>
            <family val="2"/>
            <scheme val="minor"/>
          </rPr>
          <t>======
ID#AAABMFKNDYI
Canalyst (DT)    (2024-04-17 02:07:42)
Line item is primary comprised of restricted stock rather than RSUs.</t>
        </r>
      </text>
    </comment>
    <comment ref="A436" authorId="0" shapeId="0" xr:uid="{5D184B27-C014-4443-9BCA-56B6F0849B6D}">
      <text>
        <r>
          <rPr>
            <sz val="11"/>
            <color rgb="FF000000"/>
            <rFont val="Aptos Narrow"/>
            <family val="2"/>
            <scheme val="minor"/>
          </rPr>
          <t>======
ID#AAABMFKNC3Q
Canalyst (DT)    (2024-04-17 02:07:42)
Slightly understated as RSUs are subtracted from this # as well.</t>
        </r>
      </text>
    </comment>
    <comment ref="A444" authorId="0" shapeId="0" xr:uid="{A6E7381C-77FB-447B-AA4D-632476BA7F8F}">
      <text>
        <r>
          <rPr>
            <sz val="11"/>
            <color rgb="FF000000"/>
            <rFont val="Aptos Narrow"/>
            <family val="2"/>
            <scheme val="minor"/>
          </rPr>
          <t>======
ID#AAABMFKNDVw
Canalyst    (2024-04-17 02:07:42)
In periods where EPS is negative, this amount is calculated using the closest prior period where EPS was positive.</t>
        </r>
      </text>
    </comment>
    <comment ref="A480" authorId="0" shapeId="0" xr:uid="{CE6EC9DC-62D1-4AF0-BEE3-3A11DEBD4840}">
      <text>
        <r>
          <rPr>
            <sz val="11"/>
            <color rgb="FF000000"/>
            <rFont val="Aptos Narrow"/>
            <family val="2"/>
            <scheme val="minor"/>
          </rPr>
          <t>======
ID#AAABMFKNDEM
Canalyst (KE)    (2024-04-17 02:07:42)
ESPP does not exist</t>
        </r>
      </text>
    </comment>
    <comment ref="A503" authorId="0" shapeId="0" xr:uid="{36899FC6-1129-4079-B791-D102E07E9ED3}">
      <text>
        <r>
          <rPr>
            <sz val="11"/>
            <color rgb="FF000000"/>
            <rFont val="Aptos Narrow"/>
            <family val="2"/>
            <scheme val="minor"/>
          </rPr>
          <t>======
ID#AAABMEX2nKc
Canalyst (RE)    (2024-04-17 02:07:42)
Includes preferred dividends</t>
        </r>
      </text>
    </comment>
    <comment ref="AQ503" authorId="0" shapeId="0" xr:uid="{A5C24AC0-5EAD-47F7-9B82-04510C8146CA}">
      <text>
        <r>
          <rPr>
            <sz val="11"/>
            <color rgb="FF000000"/>
            <rFont val="Aptos Narrow"/>
            <family val="2"/>
            <scheme val="minor"/>
          </rPr>
          <t>======
ID#AAABMFKNC9I
Canalyst (RE)    (2024-04-17 02:07:42)
Includes preferred dividends</t>
        </r>
      </text>
    </comment>
    <comment ref="AR503" authorId="0" shapeId="0" xr:uid="{79064EDD-1363-4A34-9830-E44782907F48}">
      <text>
        <r>
          <rPr>
            <sz val="11"/>
            <color rgb="FF000000"/>
            <rFont val="Aptos Narrow"/>
            <family val="2"/>
            <scheme val="minor"/>
          </rPr>
          <t>======
ID#AAABMFKNC_g
Canalyst (RE)    (2024-04-17 02:07:42)
Includes preferred dividends</t>
        </r>
      </text>
    </comment>
    <comment ref="AS503" authorId="0" shapeId="0" xr:uid="{9BD38E59-DE51-4058-9B10-12DC1CB4CCDD}">
      <text>
        <r>
          <rPr>
            <sz val="11"/>
            <color rgb="FF000000"/>
            <rFont val="Aptos Narrow"/>
            <family val="2"/>
            <scheme val="minor"/>
          </rPr>
          <t>======
ID#AAABMFKNDCE
Canalyst (RE)    (2024-04-17 02:07:42)
Includes preferred dividends</t>
        </r>
      </text>
    </comment>
    <comment ref="AT503" authorId="0" shapeId="0" xr:uid="{321C910F-3E60-4CDF-9D1A-6BB12ED14C61}">
      <text>
        <r>
          <rPr>
            <sz val="11"/>
            <color rgb="FF000000"/>
            <rFont val="Aptos Narrow"/>
            <family val="2"/>
            <scheme val="minor"/>
          </rPr>
          <t>======
ID#AAABMFKNDZE
Canalyst (RE)    (2024-04-17 02:07:42)
Includes preferred dividends</t>
        </r>
      </text>
    </comment>
    <comment ref="AU503" authorId="0" shapeId="0" xr:uid="{5F148435-1A66-4046-949B-FA791F44E1B4}">
      <text>
        <r>
          <rPr>
            <sz val="11"/>
            <color rgb="FF000000"/>
            <rFont val="Aptos Narrow"/>
            <family val="2"/>
            <scheme val="minor"/>
          </rPr>
          <t>======
ID#AAABMFKNDAs
Canalyst (XfW)    (2024-04-17 02:07:42)
included 2.2mm cash dividends previously accrued on restricted stock awards that vested during the quarter</t>
        </r>
      </text>
    </comment>
    <comment ref="AV503" authorId="0" shapeId="0" xr:uid="{E0E22C0A-0383-42A7-AA75-A5768B7B80C1}">
      <text>
        <r>
          <rPr>
            <sz val="11"/>
            <color rgb="FF000000"/>
            <rFont val="Aptos Narrow"/>
            <family val="2"/>
            <scheme val="minor"/>
          </rPr>
          <t>======
ID#AAABMFKNDJ4
Canalyst (SS)    (2024-04-17 02:07:42)
Includes preferred dividends.</t>
        </r>
      </text>
    </comment>
    <comment ref="AQ504" authorId="0" shapeId="0" xr:uid="{BE2456D0-18A6-4924-81BD-C28629483E8F}">
      <text>
        <r>
          <rPr>
            <sz val="11"/>
            <color rgb="FF000000"/>
            <rFont val="Aptos Narrow"/>
            <family val="2"/>
            <scheme val="minor"/>
          </rPr>
          <t>======
ID#AAABMFKNDOE
Canalyst (TK)    (2024-04-17 02:07:42)
As of May 5, 2020, the company has suspended dividends to preserve liquidity, in conjunction with the terms of the credit facility amendment's</t>
        </r>
      </text>
    </comment>
    <comment ref="BJ504" authorId="0" shapeId="0" xr:uid="{75432742-18EB-44EF-8CE4-9D64735AB08E}">
      <text>
        <r>
          <rPr>
            <sz val="11"/>
            <color rgb="FF000000"/>
            <rFont val="Aptos Narrow"/>
            <family val="2"/>
            <scheme val="minor"/>
          </rPr>
          <t>======
ID#AAABMEc8ZJA
Canalyst (SA)    (2024-04-17 02:07:42)
quarterly dividend of $0.27 per share to be paid on March 19, 2024 to shareholders of record at the close of business on March 6, 2024.</t>
        </r>
      </text>
    </comment>
    <comment ref="AQ507" authorId="0" shapeId="0" xr:uid="{E425CEE9-EB1E-4ADB-BE4D-F372083CE93C}">
      <text>
        <r>
          <rPr>
            <sz val="11"/>
            <color rgb="FF000000"/>
            <rFont val="Aptos Narrow"/>
            <family val="2"/>
            <scheme val="minor"/>
          </rPr>
          <t>======
ID#AAABMFKNDE8
Canalyst (TK)    (2024-04-17 02:07:42)
Company announced the closing on a $200 million convertible preferred investment from affiliates of Roark Capital on April 20, 2020. As of May 5, 2020, the company has suspended share repurchases to preserve liquidity, in conjunction with the terms of the credit facility amendment.</t>
        </r>
      </text>
    </comment>
    <comment ref="BJ507" authorId="0" shapeId="0" xr:uid="{AC1D470A-7885-4FA3-885A-652D7BB18522}">
      <text>
        <r>
          <rPr>
            <sz val="11"/>
            <color rgb="FF000000"/>
            <rFont val="Aptos Narrow"/>
            <family val="2"/>
            <scheme val="minor"/>
          </rPr>
          <t>======
ID#AAABMFKNC6g
Canalyst (SA)    (2024-04-17 02:07:42)
Our Board of Directors has authorized a share repurchase program of up to 61.0 million shares, of which approximately 4.5 million shares remained available for repurchase as of January 2, 2024.</t>
        </r>
      </text>
    </comment>
    <comment ref="AQ684" authorId="0" shapeId="0" xr:uid="{AD8A2A3E-DBE2-4827-9A9B-641403E4C840}">
      <text>
        <r>
          <rPr>
            <sz val="11"/>
            <color rgb="FF000000"/>
            <rFont val="Aptos Narrow"/>
            <family val="2"/>
            <scheme val="minor"/>
          </rPr>
          <t>======
ID#AAABMFKNC6Y
Canalyst (TK)    (2024-04-17 02:07:42)
Company announced the closing on a $200 million convertible preferred investment from affiliates of Roark Capital on April 20, 2020. As of May 5, 2020, the company has suspended share repurchases to preserve liquidity, in conjunction with the terms of the credit facility amendment.</t>
        </r>
      </text>
    </comment>
    <comment ref="D727" authorId="0" shapeId="0" xr:uid="{87C7F298-C179-4009-AF18-5CA769348F0C}">
      <text>
        <r>
          <rPr>
            <sz val="11"/>
            <color rgb="FF000000"/>
            <rFont val="Aptos Narrow"/>
            <family val="2"/>
            <scheme val="minor"/>
          </rPr>
          <t>======
ID#AAABMFKNDWE
Canalyst (MA)    (2024-04-17 02:07:42)
company stop reporting Amortization separately</t>
        </r>
      </text>
    </comment>
    <comment ref="E727" authorId="0" shapeId="0" xr:uid="{022BA5CF-E847-47A3-AC36-400EED0BE7AE}">
      <text>
        <r>
          <rPr>
            <sz val="11"/>
            <color rgb="FF000000"/>
            <rFont val="Aptos Narrow"/>
            <family val="2"/>
            <scheme val="minor"/>
          </rPr>
          <t>======
ID#AAABMFKNDO4
Canalyst (MA)    (2024-04-17 02:07:42)
company stop reporting Amortization separately</t>
        </r>
      </text>
    </comment>
    <comment ref="F727" authorId="0" shapeId="0" xr:uid="{D7E3B54A-B029-45F6-8F91-8E483C5DD634}">
      <text>
        <r>
          <rPr>
            <sz val="11"/>
            <color rgb="FF000000"/>
            <rFont val="Aptos Narrow"/>
            <family val="2"/>
            <scheme val="minor"/>
          </rPr>
          <t>======
ID#AAABMFKNDBE
Canalyst (MA)    (2024-04-17 02:07:42)
company stop reporting Amortization separately</t>
        </r>
      </text>
    </comment>
    <comment ref="G727" authorId="0" shapeId="0" xr:uid="{335579D5-C770-490F-A129-E1BC21084C01}">
      <text>
        <r>
          <rPr>
            <sz val="11"/>
            <color rgb="FF000000"/>
            <rFont val="Aptos Narrow"/>
            <family val="2"/>
            <scheme val="minor"/>
          </rPr>
          <t>======
ID#AAABMFKNC9o
Canalyst (MA)    (2024-04-17 02:07:42)
company stop reporting Amortization separately</t>
        </r>
      </text>
    </comment>
    <comment ref="H727" authorId="0" shapeId="0" xr:uid="{8B86F6EC-C891-43EF-930A-6A3F5F5ADC80}">
      <text>
        <r>
          <rPr>
            <sz val="11"/>
            <color rgb="FF000000"/>
            <rFont val="Aptos Narrow"/>
            <family val="2"/>
            <scheme val="minor"/>
          </rPr>
          <t>======
ID#AAABMFKNDTs
Canalyst (MA)    (2024-04-17 02:07:42)
company stop reporting Amortization separately</t>
        </r>
      </text>
    </comment>
    <comment ref="I727" authorId="0" shapeId="0" xr:uid="{0DDD416A-B089-4CEC-96CE-AEC6ECDC7E72}">
      <text>
        <r>
          <rPr>
            <sz val="11"/>
            <color rgb="FF000000"/>
            <rFont val="Aptos Narrow"/>
            <family val="2"/>
            <scheme val="minor"/>
          </rPr>
          <t>======
ID#AAABMEc8ZHo
Canalyst (MA)    (2024-04-17 02:07:42)
company stop reporting Amortization separately</t>
        </r>
      </text>
    </comment>
    <comment ref="J727" authorId="0" shapeId="0" xr:uid="{72978CBA-996B-4709-97F0-9244B9FF39C1}">
      <text>
        <r>
          <rPr>
            <sz val="11"/>
            <color rgb="FF000000"/>
            <rFont val="Aptos Narrow"/>
            <family val="2"/>
            <scheme val="minor"/>
          </rPr>
          <t>======
ID#AAABMFKNC6c
Canalyst (MA)    (2024-04-17 02:07:42)
company stop reporting Amortization separately</t>
        </r>
      </text>
    </comment>
    <comment ref="K727" authorId="0" shapeId="0" xr:uid="{188BE1AB-356D-4B7F-9465-AEDBF36A2A8E}">
      <text>
        <r>
          <rPr>
            <sz val="11"/>
            <color rgb="FF000000"/>
            <rFont val="Aptos Narrow"/>
            <family val="2"/>
            <scheme val="minor"/>
          </rPr>
          <t>======
ID#AAABMFKNDK0
Canalyst (MA)    (2024-04-17 02:07:42)
company stop reporting Amortization separately</t>
        </r>
      </text>
    </comment>
    <comment ref="L727" authorId="0" shapeId="0" xr:uid="{F58F3BDB-475B-40D7-9308-4516CA80D557}">
      <text>
        <r>
          <rPr>
            <sz val="11"/>
            <color rgb="FF000000"/>
            <rFont val="Aptos Narrow"/>
            <family val="2"/>
            <scheme val="minor"/>
          </rPr>
          <t>======
ID#AAABMFKNDFc
Canalyst (MA)    (2024-04-17 02:07:42)
company stop reporting Amortization separately</t>
        </r>
      </text>
    </comment>
    <comment ref="M727" authorId="0" shapeId="0" xr:uid="{48703748-E937-47F0-8ECE-8825B463BCA6}">
      <text>
        <r>
          <rPr>
            <sz val="11"/>
            <color rgb="FF000000"/>
            <rFont val="Aptos Narrow"/>
            <family val="2"/>
            <scheme val="minor"/>
          </rPr>
          <t>======
ID#AAABMFKNC4o
Canalyst (MA)    (2024-04-17 02:07:42)
company stop reporting Amortization separately</t>
        </r>
      </text>
    </comment>
    <comment ref="N727" authorId="0" shapeId="0" xr:uid="{9C3D8D2D-A016-47E0-AD56-92889133559F}">
      <text>
        <r>
          <rPr>
            <sz val="11"/>
            <color rgb="FF000000"/>
            <rFont val="Aptos Narrow"/>
            <family val="2"/>
            <scheme val="minor"/>
          </rPr>
          <t>======
ID#AAABMFKNC4s
Canalyst (MA)    (2024-04-17 02:07:42)
company stop reporting Amortization separately</t>
        </r>
      </text>
    </comment>
    <comment ref="O727" authorId="0" shapeId="0" xr:uid="{BE8F67C5-ED69-41CF-8CA4-49E803FED279}">
      <text>
        <r>
          <rPr>
            <sz val="11"/>
            <color rgb="FF000000"/>
            <rFont val="Aptos Narrow"/>
            <family val="2"/>
            <scheme val="minor"/>
          </rPr>
          <t>======
ID#AAABMFKNDC0
Canalyst (MA)    (2024-04-17 02:07:42)
company stop reporting Amortization separately</t>
        </r>
      </text>
    </comment>
    <comment ref="P727" authorId="0" shapeId="0" xr:uid="{E6E166E4-5068-4AA7-A38F-65A007635C61}">
      <text>
        <r>
          <rPr>
            <sz val="11"/>
            <color rgb="FF000000"/>
            <rFont val="Aptos Narrow"/>
            <family val="2"/>
            <scheme val="minor"/>
          </rPr>
          <t>======
ID#AAABMFKNDLc
Canalyst (MA)    (2024-04-17 02:07:42)
company stop reporting Amortization separately</t>
        </r>
      </text>
    </comment>
    <comment ref="Q727" authorId="0" shapeId="0" xr:uid="{E0924E0E-7886-431C-9384-B1591A7655C9}">
      <text>
        <r>
          <rPr>
            <sz val="11"/>
            <color rgb="FF000000"/>
            <rFont val="Aptos Narrow"/>
            <family val="2"/>
            <scheme val="minor"/>
          </rPr>
          <t>======
ID#AAABMEc8ZIw
Canalyst (MA)    (2024-04-17 02:07:42)
company stop reporting Amortization separately</t>
        </r>
      </text>
    </comment>
    <comment ref="R727" authorId="0" shapeId="0" xr:uid="{AF8565F5-FF9C-4DB4-BE34-CD2B3E9A386C}">
      <text>
        <r>
          <rPr>
            <sz val="11"/>
            <color rgb="FF000000"/>
            <rFont val="Aptos Narrow"/>
            <family val="2"/>
            <scheme val="minor"/>
          </rPr>
          <t>======
ID#AAABMFKNDNs
Canalyst (MA)    (2024-04-17 02:07:42)
company stop reporting Amortization separately</t>
        </r>
      </text>
    </comment>
    <comment ref="S727" authorId="0" shapeId="0" xr:uid="{BAE6165D-BA71-430A-9151-F88DF48E9C7D}">
      <text>
        <r>
          <rPr>
            <sz val="11"/>
            <color rgb="FF000000"/>
            <rFont val="Aptos Narrow"/>
            <family val="2"/>
            <scheme val="minor"/>
          </rPr>
          <t>======
ID#AAABMFKNDGQ
Canalyst (MA)    (2024-04-17 02:07:42)
company stop reporting Amortization separately</t>
        </r>
      </text>
    </comment>
    <comment ref="T727" authorId="0" shapeId="0" xr:uid="{DD67E072-6F53-40DC-BF84-699C4DC5B9FA}">
      <text>
        <r>
          <rPr>
            <sz val="11"/>
            <color rgb="FF000000"/>
            <rFont val="Aptos Narrow"/>
            <family val="2"/>
            <scheme val="minor"/>
          </rPr>
          <t>======
ID#AAABMFKNDIc
Canalyst (MA)    (2024-04-17 02:07:42)
company stop reporting Amortization separately</t>
        </r>
      </text>
    </comment>
    <comment ref="U727" authorId="0" shapeId="0" xr:uid="{3970B8D1-590E-44FE-B168-2D6166D268C0}">
      <text>
        <r>
          <rPr>
            <sz val="11"/>
            <color rgb="FF000000"/>
            <rFont val="Aptos Narrow"/>
            <family val="2"/>
            <scheme val="minor"/>
          </rPr>
          <t>======
ID#AAABMEc8ZHg
Canalyst (MA)    (2024-04-17 02:07:42)
company stop reporting Amortization separately</t>
        </r>
      </text>
    </comment>
    <comment ref="V727" authorId="0" shapeId="0" xr:uid="{3F6926F9-9D1F-49DD-A94F-C8CD2D79E242}">
      <text>
        <r>
          <rPr>
            <sz val="11"/>
            <color rgb="FF000000"/>
            <rFont val="Aptos Narrow"/>
            <family val="2"/>
            <scheme val="minor"/>
          </rPr>
          <t>======
ID#AAABMFKNDJI
Canalyst (MA)    (2024-04-17 02:07:42)
company stop reporting Amortization separately</t>
        </r>
      </text>
    </comment>
    <comment ref="W727" authorId="0" shapeId="0" xr:uid="{8CFBFD60-F543-43BA-AE72-BD5E101472FB}">
      <text>
        <r>
          <rPr>
            <sz val="11"/>
            <color rgb="FF000000"/>
            <rFont val="Aptos Narrow"/>
            <family val="2"/>
            <scheme val="minor"/>
          </rPr>
          <t>======
ID#AAABMFKNDKM
Canalyst (MA)    (2024-04-17 02:07:42)
company stop reporting Amortization separately</t>
        </r>
      </text>
    </comment>
    <comment ref="X727" authorId="0" shapeId="0" xr:uid="{1197B885-9CDF-40D2-9939-D01AC421381F}">
      <text>
        <r>
          <rPr>
            <sz val="11"/>
            <color rgb="FF000000"/>
            <rFont val="Aptos Narrow"/>
            <family val="2"/>
            <scheme val="minor"/>
          </rPr>
          <t>======
ID#AAABMFKNDX4
Canalyst (MA)    (2024-04-17 02:07:42)
company stop reporting Amortization separately</t>
        </r>
      </text>
    </comment>
    <comment ref="Y727" authorId="0" shapeId="0" xr:uid="{058A90D0-45B7-4BCA-9F29-246D31E09E76}">
      <text>
        <r>
          <rPr>
            <sz val="11"/>
            <color rgb="FF000000"/>
            <rFont val="Aptos Narrow"/>
            <family val="2"/>
            <scheme val="minor"/>
          </rPr>
          <t>======
ID#AAABMEc8ZIE
Canalyst (MA)    (2024-04-17 02:07:42)
company stop reporting Amortization separately</t>
        </r>
      </text>
    </comment>
    <comment ref="Z727" authorId="0" shapeId="0" xr:uid="{77258ABC-6F69-41E3-84CC-1C3F80D030C6}">
      <text>
        <r>
          <rPr>
            <sz val="11"/>
            <color rgb="FF000000"/>
            <rFont val="Aptos Narrow"/>
            <family val="2"/>
            <scheme val="minor"/>
          </rPr>
          <t>======
ID#AAABMEc8ZII
Canalyst (MA)    (2024-04-17 02:07:42)
company stop reporting Amortization separately</t>
        </r>
      </text>
    </comment>
    <comment ref="AA727" authorId="0" shapeId="0" xr:uid="{3B5CBB57-6071-46AE-9414-BB4C2EF99978}">
      <text>
        <r>
          <rPr>
            <sz val="11"/>
            <color rgb="FF000000"/>
            <rFont val="Aptos Narrow"/>
            <family val="2"/>
            <scheme val="minor"/>
          </rPr>
          <t>======
ID#AAABMFKNDI8
Canalyst (MA)    (2024-04-17 02:07:42)
company stop reporting Amortization separately</t>
        </r>
      </text>
    </comment>
    <comment ref="AB727" authorId="0" shapeId="0" xr:uid="{16910BAD-7865-42BA-B6B6-8B16083F4C55}">
      <text>
        <r>
          <rPr>
            <sz val="11"/>
            <color rgb="FF000000"/>
            <rFont val="Aptos Narrow"/>
            <family val="2"/>
            <scheme val="minor"/>
          </rPr>
          <t>======
ID#AAABMFKNC_M
Canalyst (MA)    (2024-04-17 02:07:42)
company stop reporting Amortization separately</t>
        </r>
      </text>
    </comment>
    <comment ref="AC727" authorId="0" shapeId="0" xr:uid="{7B94EFDC-FF4B-4124-AD97-F00B37A79880}">
      <text>
        <r>
          <rPr>
            <sz val="11"/>
            <color rgb="FF000000"/>
            <rFont val="Aptos Narrow"/>
            <family val="2"/>
            <scheme val="minor"/>
          </rPr>
          <t>======
ID#AAABMFKNDFg
Canalyst (MA)    (2024-04-17 02:07:42)
company stop reporting Amortization separately</t>
        </r>
      </text>
    </comment>
    <comment ref="AD727" authorId="0" shapeId="0" xr:uid="{920DBE08-2C0C-4F6B-A1D9-79D538D46DE3}">
      <text>
        <r>
          <rPr>
            <sz val="11"/>
            <color rgb="FF000000"/>
            <rFont val="Aptos Narrow"/>
            <family val="2"/>
            <scheme val="minor"/>
          </rPr>
          <t>======
ID#AAABMFKNC9U
Canalyst (MA)    (2024-04-17 02:07:42)
company stop reporting Amortization separately</t>
        </r>
      </text>
    </comment>
    <comment ref="AF727" authorId="0" shapeId="0" xr:uid="{AD86F4DF-FF95-4800-B883-8455FD1AE413}">
      <text>
        <r>
          <rPr>
            <sz val="11"/>
            <color rgb="FF000000"/>
            <rFont val="Aptos Narrow"/>
            <family val="2"/>
            <scheme val="minor"/>
          </rPr>
          <t>======
ID#AAABMEc8ZIY
Canalyst (MA)    (2024-04-17 02:07:42)
only reported annually assumed zero</t>
        </r>
      </text>
    </comment>
    <comment ref="AG727" authorId="0" shapeId="0" xr:uid="{B5290321-DB4D-497B-8A4A-F24AF3ED7B54}">
      <text>
        <r>
          <rPr>
            <sz val="11"/>
            <color rgb="FF000000"/>
            <rFont val="Aptos Narrow"/>
            <family val="2"/>
            <scheme val="minor"/>
          </rPr>
          <t>======
ID#AAABMFKNDZg
Canalyst (MA)    (2024-04-17 02:07:43)
only reported annually assumed zero</t>
        </r>
      </text>
    </comment>
    <comment ref="AH727" authorId="0" shapeId="0" xr:uid="{8AFE47E0-02E5-49E9-9ADB-863FB06C6999}">
      <text>
        <r>
          <rPr>
            <sz val="11"/>
            <color rgb="FF000000"/>
            <rFont val="Aptos Narrow"/>
            <family val="2"/>
            <scheme val="minor"/>
          </rPr>
          <t>======
ID#AAABMFKNDTQ
Canalyst (MA)    (2024-04-17 02:07:42)
only reported annually assumed zero</t>
        </r>
      </text>
    </comment>
    <comment ref="AI727" authorId="0" shapeId="0" xr:uid="{B62DF9DB-25E7-4B1A-A701-F85D76637CE6}">
      <text>
        <r>
          <rPr>
            <sz val="11"/>
            <color rgb="FF000000"/>
            <rFont val="Aptos Narrow"/>
            <family val="2"/>
            <scheme val="minor"/>
          </rPr>
          <t>======
ID#AAABMFKNC60
Canalyst (MA)    (2024-04-17 02:07:42)
only reported annually assumed zero</t>
        </r>
      </text>
    </comment>
    <comment ref="AK727" authorId="0" shapeId="0" xr:uid="{5D745BB8-A4D3-4834-B4A7-F9FDDE166F77}">
      <text>
        <r>
          <rPr>
            <sz val="11"/>
            <color rgb="FF000000"/>
            <rFont val="Aptos Narrow"/>
            <family val="2"/>
            <scheme val="minor"/>
          </rPr>
          <t>======
ID#AAABMFKNC4c
Canalyst (MA)    (2024-04-17 02:07:42)
only reported annually assumed zero</t>
        </r>
      </text>
    </comment>
    <comment ref="AL727" authorId="0" shapeId="0" xr:uid="{280A4AE1-F35A-4F9B-9D0B-1C24C8183ED4}">
      <text>
        <r>
          <rPr>
            <sz val="11"/>
            <color rgb="FF000000"/>
            <rFont val="Aptos Narrow"/>
            <family val="2"/>
            <scheme val="minor"/>
          </rPr>
          <t>======
ID#AAABMFKNDP0
Canalyst (MA)    (2024-04-17 02:07:42)
only reported annually assumed zero</t>
        </r>
      </text>
    </comment>
    <comment ref="AM727" authorId="0" shapeId="0" xr:uid="{7938DA75-23A1-4980-B1D7-06B3A895E4DC}">
      <text>
        <r>
          <rPr>
            <sz val="11"/>
            <color rgb="FF000000"/>
            <rFont val="Aptos Narrow"/>
            <family val="2"/>
            <scheme val="minor"/>
          </rPr>
          <t>======
ID#AAABMFKNC8w
Canalyst (MA)    (2024-04-17 02:07:42)
only reported annually assumed zero</t>
        </r>
      </text>
    </comment>
    <comment ref="AN727" authorId="0" shapeId="0" xr:uid="{C32A12B7-A299-49DB-A22E-A8F39D93A541}">
      <text>
        <r>
          <rPr>
            <sz val="11"/>
            <color rgb="FF000000"/>
            <rFont val="Aptos Narrow"/>
            <family val="2"/>
            <scheme val="minor"/>
          </rPr>
          <t>======
ID#AAABMFKNDFk
Canalyst (MA)    (2024-04-17 02:07:42)
only reported annually assumed zero</t>
        </r>
      </text>
    </comment>
    <comment ref="AP727" authorId="0" shapeId="0" xr:uid="{FD8541A1-50E6-42FB-9C1A-F41F7B9EC753}">
      <text>
        <r>
          <rPr>
            <sz val="11"/>
            <color rgb="FF000000"/>
            <rFont val="Aptos Narrow"/>
            <family val="2"/>
            <scheme val="minor"/>
          </rPr>
          <t>======
ID#AAABMFKNC74
Canalyst (MA)    (2024-04-17 02:07:42)
only reported annually assumed zero</t>
        </r>
      </text>
    </comment>
    <comment ref="AQ727" authorId="0" shapeId="0" xr:uid="{907CA231-1CC7-4500-87D7-68A7681146F2}">
      <text>
        <r>
          <rPr>
            <sz val="11"/>
            <color rgb="FF000000"/>
            <rFont val="Aptos Narrow"/>
            <family val="2"/>
            <scheme val="minor"/>
          </rPr>
          <t>======
ID#AAABMFKNDNc
Canalyst (MA)    (2024-04-17 02:07:42)
only reported annually assumed zero</t>
        </r>
      </text>
    </comment>
    <comment ref="AR727" authorId="0" shapeId="0" xr:uid="{2A70CD5B-2AE4-44C9-ADFD-1DD7E5416B1D}">
      <text>
        <r>
          <rPr>
            <sz val="11"/>
            <color rgb="FF000000"/>
            <rFont val="Aptos Narrow"/>
            <family val="2"/>
            <scheme val="minor"/>
          </rPr>
          <t>======
ID#AAABMFKNC3E
Canalyst (MA)    (2024-04-17 02:07:42)
only reported annually assumed zero</t>
        </r>
      </text>
    </comment>
    <comment ref="AS727" authorId="0" shapeId="0" xr:uid="{F94B0EFD-54A3-41B8-915D-4E9BE8842CE7}">
      <text>
        <r>
          <rPr>
            <sz val="11"/>
            <color rgb="FF000000"/>
            <rFont val="Aptos Narrow"/>
            <family val="2"/>
            <scheme val="minor"/>
          </rPr>
          <t>======
ID#AAABMFKNDWI
Canalyst (MA)    (2024-04-17 02:07:42)
only reported annually assumed zero</t>
        </r>
      </text>
    </comment>
    <comment ref="AU727" authorId="0" shapeId="0" xr:uid="{850EE476-C7A2-4EBB-AA1D-14E70ED97D95}">
      <text>
        <r>
          <rPr>
            <sz val="11"/>
            <color rgb="FF000000"/>
            <rFont val="Aptos Narrow"/>
            <family val="2"/>
            <scheme val="minor"/>
          </rPr>
          <t>======
ID#AAABMFKNDNA
Canalyst (MA)    (2024-04-17 02:07:42)
estimated</t>
        </r>
      </text>
    </comment>
    <comment ref="AU733" authorId="0" shapeId="0" xr:uid="{C2790AE7-6A17-4EF6-B58E-22DD3141917D}">
      <text>
        <r>
          <rPr>
            <sz val="11"/>
            <color rgb="FF000000"/>
            <rFont val="Aptos Narrow"/>
            <family val="2"/>
            <scheme val="minor"/>
          </rPr>
          <t>======
ID#AAABMFKNDA8
Canalyst (MA)    (2024-04-17 02:07:42)
based on estimate</t>
        </r>
      </text>
    </comment>
    <comment ref="AX733" authorId="0" shapeId="0" xr:uid="{4AFC8F3B-306F-49B4-AD4C-E745FF87776B}">
      <text>
        <r>
          <rPr>
            <sz val="11"/>
            <color rgb="FF000000"/>
            <rFont val="Aptos Narrow"/>
            <family val="2"/>
            <scheme val="minor"/>
          </rPr>
          <t>======
ID#AAABMFKNDIs
Canalyst (MA)    (2024-04-17 02:07:42)
based on estimated Q1</t>
        </r>
      </text>
    </comment>
    <comment ref="BJ778" authorId="0" shapeId="0" xr:uid="{9DD8EFD1-981D-41F2-A591-738F2631A18F}">
      <text>
        <r>
          <rPr>
            <sz val="11"/>
            <color rgb="FF000000"/>
            <rFont val="Aptos Narrow"/>
            <family val="2"/>
            <scheme val="minor"/>
          </rPr>
          <t>======
ID#AAABMFKNDFw
Canalyst (RE)    (2024-04-17 02:07:42)
Deferred consideration included within here and paydowns have been adjusted in this line</t>
        </r>
      </text>
    </comment>
    <comment ref="BK778" authorId="0" shapeId="0" xr:uid="{00CF9FD7-9373-447A-985B-BED1EBFEB4D6}">
      <text>
        <r>
          <rPr>
            <sz val="11"/>
            <color rgb="FF000000"/>
            <rFont val="Aptos Narrow"/>
            <family val="2"/>
            <scheme val="minor"/>
          </rPr>
          <t>======
ID#AAABMFKNDGU
Canalyst (RE)    (2024-04-17 02:07:42)
Deferred consideration included within here and paydowns have been adjusted in this line</t>
        </r>
      </text>
    </comment>
    <comment ref="BL778" authorId="0" shapeId="0" xr:uid="{F5EF545A-3E35-4C0C-B89D-FB824A614672}">
      <text>
        <r>
          <rPr>
            <sz val="11"/>
            <color rgb="FF000000"/>
            <rFont val="Aptos Narrow"/>
            <family val="2"/>
            <scheme val="minor"/>
          </rPr>
          <t>======
ID#AAABMFKNDUM
Canalyst (RE)    (2024-04-17 02:07:42)
Deferred consideration included within here and paydowns have been adjusted in this line</t>
        </r>
      </text>
    </comment>
    <comment ref="BM778" authorId="0" shapeId="0" xr:uid="{909590CC-69B2-49F0-848E-C4264DDF54D9}">
      <text>
        <r>
          <rPr>
            <sz val="11"/>
            <color rgb="FF000000"/>
            <rFont val="Aptos Narrow"/>
            <family val="2"/>
            <scheme val="minor"/>
          </rPr>
          <t>======
ID#AAABMFKNDSE
Canalyst (RE)    (2024-04-17 02:07:42)
Deferred consideration included within here and paydowns have been adjusted in this line</t>
        </r>
      </text>
    </comment>
    <comment ref="BN778" authorId="0" shapeId="0" xr:uid="{F750593E-FD4B-431A-B511-F8C14ED275DB}">
      <text>
        <r>
          <rPr>
            <sz val="11"/>
            <color rgb="FF000000"/>
            <rFont val="Aptos Narrow"/>
            <family val="2"/>
            <scheme val="minor"/>
          </rPr>
          <t>======
ID#AAABMFKNDXE
Canalyst (RE)    (2024-04-17 02:07:42)
Deferred consideration included within here and paydowns have been adjusted in this line</t>
        </r>
      </text>
    </comment>
    <comment ref="BO778" authorId="0" shapeId="0" xr:uid="{C6C4E6ED-8810-4C06-92EE-2F75FF69268C}">
      <text>
        <r>
          <rPr>
            <sz val="11"/>
            <color rgb="FF000000"/>
            <rFont val="Aptos Narrow"/>
            <family val="2"/>
            <scheme val="minor"/>
          </rPr>
          <t>======
ID#AAABMFKNDEY
Canalyst (RE)    (2024-04-17 02:07:42)
Deferred consideration included within here and paydowns have been adjusted in this line</t>
        </r>
      </text>
    </comment>
    <comment ref="BP778" authorId="0" shapeId="0" xr:uid="{5DA037F3-18E4-440D-8B48-52441894AB4B}">
      <text>
        <r>
          <rPr>
            <sz val="11"/>
            <color rgb="FF000000"/>
            <rFont val="Aptos Narrow"/>
            <family val="2"/>
            <scheme val="minor"/>
          </rPr>
          <t>======
ID#AAABMFKNDKY
Canalyst (RE)    (2024-04-17 02:07:42)
Deferred consideration included within here and paydowns have been adjusted in this line</t>
        </r>
      </text>
    </comment>
    <comment ref="BQ778" authorId="0" shapeId="0" xr:uid="{8BE852A9-985A-4AD1-AE64-1592B6786943}">
      <text>
        <r>
          <rPr>
            <sz val="11"/>
            <color rgb="FF000000"/>
            <rFont val="Aptos Narrow"/>
            <family val="2"/>
            <scheme val="minor"/>
          </rPr>
          <t>======
ID#AAABMFKNDV8
Canalyst (RE)    (2024-04-17 02:07:42)
Deferred consideration included within here and paydowns have been adjusted in this line</t>
        </r>
      </text>
    </comment>
    <comment ref="BR778" authorId="0" shapeId="0" xr:uid="{57382878-1428-4913-BFD2-C0505A576DD3}">
      <text>
        <r>
          <rPr>
            <sz val="11"/>
            <color rgb="FF000000"/>
            <rFont val="Aptos Narrow"/>
            <family val="2"/>
            <scheme val="minor"/>
          </rPr>
          <t>======
ID#AAABMFKNDR8
Canalyst (RE)    (2024-04-17 02:07:42)
Deferred consideration included within here and paydowns have been adjusted in this line</t>
        </r>
      </text>
    </comment>
    <comment ref="BS778" authorId="0" shapeId="0" xr:uid="{740644DD-C4B0-48DE-AE37-ED7E88A91EEB}">
      <text>
        <r>
          <rPr>
            <sz val="11"/>
            <color rgb="FF000000"/>
            <rFont val="Aptos Narrow"/>
            <family val="2"/>
            <scheme val="minor"/>
          </rPr>
          <t>======
ID#AAABMFKNDZc
Canalyst (RE)    (2024-04-17 02:07:42)
Deferred consideration included within here and paydowns have been adjusted in this line</t>
        </r>
      </text>
    </comment>
    <comment ref="BT778" authorId="0" shapeId="0" xr:uid="{83FA6F13-5B5D-4DB9-BAD7-CA53182DE626}">
      <text>
        <r>
          <rPr>
            <sz val="11"/>
            <color rgb="FF000000"/>
            <rFont val="Aptos Narrow"/>
            <family val="2"/>
            <scheme val="minor"/>
          </rPr>
          <t>======
ID#AAABMFKNDQo
Canalyst (RE)    (2024-04-17 02:07:42)
Deferred consideration included within here and paydowns have been adjusted in this line</t>
        </r>
      </text>
    </comment>
    <comment ref="BU778" authorId="0" shapeId="0" xr:uid="{F5219D49-7577-42D8-802E-4D33A7A76F39}">
      <text>
        <r>
          <rPr>
            <sz val="11"/>
            <color rgb="FF000000"/>
            <rFont val="Aptos Narrow"/>
            <family val="2"/>
            <scheme val="minor"/>
          </rPr>
          <t>======
ID#AAABMEX2nKU
Canalyst (RE)    (2024-04-17 02:07:42)
Deferred consideration included within here and paydowns have been adjusted in this line</t>
        </r>
      </text>
    </comment>
    <comment ref="BV778" authorId="0" shapeId="0" xr:uid="{6D0482F0-FAA6-4DC3-9174-4397BB9D0736}">
      <text>
        <r>
          <rPr>
            <sz val="11"/>
            <color rgb="FF000000"/>
            <rFont val="Aptos Narrow"/>
            <family val="2"/>
            <scheme val="minor"/>
          </rPr>
          <t>======
ID#AAABMFKNDYQ
Canalyst (RE)    (2024-04-17 02:07:42)
Deferred consideration included within here and paydowns have been adjusted in this line</t>
        </r>
      </text>
    </comment>
    <comment ref="E802" authorId="0" shapeId="0" xr:uid="{89268277-E985-434A-A79F-39B4150505A8}">
      <text>
        <r>
          <rPr>
            <sz val="11"/>
            <color rgb="FF000000"/>
            <rFont val="Aptos Narrow"/>
            <family val="2"/>
            <scheme val="minor"/>
          </rPr>
          <t>======
ID#AAABMFKNC4I
Canalyst (ML)    (2024-04-17 02:07:42)
As reported.</t>
        </r>
      </text>
    </comment>
    <comment ref="Y802" authorId="0" shapeId="0" xr:uid="{043D207C-AFEC-4950-83B2-C9A2669BE9ED}">
      <text>
        <r>
          <rPr>
            <sz val="11"/>
            <color rgb="FF000000"/>
            <rFont val="Aptos Narrow"/>
            <family val="2"/>
            <scheme val="minor"/>
          </rPr>
          <t>======
ID#AAABMEc8ZH8
Canalyst (MP)    (2024-04-17 02:07:42)
As report</t>
        </r>
      </text>
    </comment>
    <comment ref="AY816" authorId="0" shapeId="0" xr:uid="{0FAE94AF-1DCF-4542-97BD-5267AE4A9D93}">
      <text>
        <r>
          <rPr>
            <sz val="11"/>
            <color rgb="FF000000"/>
            <rFont val="Aptos Narrow"/>
            <family val="2"/>
            <scheme val="minor"/>
          </rPr>
          <t>======
ID#AAABMFKNDMg
Canalyst (RE)    (2024-04-17 02:07:42)
As reported values, to verify Q1+Q2 values in 2022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<sst xmlns="http://schemas.openxmlformats.org/spreadsheetml/2006/main" count="1804" uniqueCount="961">
  <si>
    <t>Cheesecake Factory LBO Analysis</t>
  </si>
  <si>
    <t>To toggle between cases, please refer to 'Forecast Assumptions'</t>
  </si>
  <si>
    <t>Operating Model Build</t>
  </si>
  <si>
    <t>Forecast Assumptions</t>
  </si>
  <si>
    <t>Consolidated IS Build</t>
  </si>
  <si>
    <t>Consolidated BS Build</t>
  </si>
  <si>
    <t>BS Link</t>
  </si>
  <si>
    <t>CFS Link</t>
  </si>
  <si>
    <t xml:space="preserve">Revenue Build -- CK F. </t>
  </si>
  <si>
    <t>Revenue Build -- North Italia</t>
  </si>
  <si>
    <t>Revenue Build -- FRC &amp; Others</t>
  </si>
  <si>
    <t>Revenue Build -- Franchising</t>
  </si>
  <si>
    <t>Cost Build -- Aggregate</t>
  </si>
  <si>
    <t>Transaction Build</t>
  </si>
  <si>
    <t> </t>
  </si>
  <si>
    <t>Comps Analysis</t>
  </si>
  <si>
    <t xml:space="preserve">Historicals </t>
  </si>
  <si>
    <t>Transaction</t>
  </si>
  <si>
    <t>Valuation and Cash Flow</t>
  </si>
  <si>
    <t xml:space="preserve">LBO </t>
  </si>
  <si>
    <t>Historicals (Publicly Available Raw Data)</t>
  </si>
  <si>
    <t>-</t>
  </si>
  <si>
    <t>$ in millions</t>
  </si>
  <si>
    <t>2023 EBITDA</t>
  </si>
  <si>
    <t>Share Price</t>
  </si>
  <si>
    <t>Entry Purchase Multiple</t>
  </si>
  <si>
    <t>Total Shares outstanding</t>
  </si>
  <si>
    <t>Enterprise Value</t>
  </si>
  <si>
    <t>Purchase Premium</t>
  </si>
  <si>
    <t>(-Debt)</t>
  </si>
  <si>
    <t>Purchase Price per Share</t>
  </si>
  <si>
    <t>(+Cash)</t>
  </si>
  <si>
    <t>Purchase Equity Value</t>
  </si>
  <si>
    <t>(+Transaction Costs)</t>
  </si>
  <si>
    <t>Sources</t>
  </si>
  <si>
    <t>Amount</t>
  </si>
  <si>
    <t>Interest Rate</t>
  </si>
  <si>
    <t>Capita/EBITDA</t>
  </si>
  <si>
    <t>% Capital</t>
  </si>
  <si>
    <t>Revolver</t>
  </si>
  <si>
    <t>Senior Secured TL (S + 175)</t>
  </si>
  <si>
    <t>Senior Secured TL interest rate determined from S&amp;P credit rating data for cumulative 5.3x Capital/EBITDA tranche</t>
  </si>
  <si>
    <t xml:space="preserve">7.500% Senior Unsecured Notes </t>
  </si>
  <si>
    <t>Senior Secured TL interest rate determined from S&amp;P credit rating data for cumulative 5.6x Capital/EBITDA tranche</t>
  </si>
  <si>
    <t>Cash</t>
  </si>
  <si>
    <t>Existing Roark Equity</t>
  </si>
  <si>
    <t>57% Debt/Capital Buyout Financing</t>
  </si>
  <si>
    <t>New Roark Equity</t>
  </si>
  <si>
    <t>Total</t>
  </si>
  <si>
    <t>Uses</t>
  </si>
  <si>
    <t>Refinance Old Debt</t>
  </si>
  <si>
    <t>Equity Purchase</t>
  </si>
  <si>
    <t>Transaction Fees</t>
  </si>
  <si>
    <t>2028 Exit</t>
  </si>
  <si>
    <t>Returns Analysis and Value Bridge</t>
  </si>
  <si>
    <t>EBITDA</t>
  </si>
  <si>
    <t>EV/EBITDA (entry)</t>
  </si>
  <si>
    <t>Source of Returns</t>
  </si>
  <si>
    <t>Entry Value</t>
  </si>
  <si>
    <t>Exit Value</t>
  </si>
  <si>
    <t>Attributed Returns</t>
  </si>
  <si>
    <t>EV/EBITDA (exit)</t>
  </si>
  <si>
    <t>Entry Equity</t>
  </si>
  <si>
    <t>EBITDA Expansion</t>
  </si>
  <si>
    <t>(-) Outstanding debt</t>
  </si>
  <si>
    <t>Multiple Re-Rate</t>
  </si>
  <si>
    <t>(+) Cash</t>
  </si>
  <si>
    <t>Fees</t>
  </si>
  <si>
    <t>Equity Value</t>
  </si>
  <si>
    <t>Debt Paydown</t>
  </si>
  <si>
    <t>Exit Equity</t>
  </si>
  <si>
    <t>Equity Investment</t>
  </si>
  <si>
    <t>MOIC</t>
  </si>
  <si>
    <t>Holding Period (yrs)</t>
  </si>
  <si>
    <t>Growth</t>
  </si>
  <si>
    <t>IRR</t>
  </si>
  <si>
    <t>EV/EBITDA</t>
  </si>
  <si>
    <t>LBO Value Creation</t>
  </si>
  <si>
    <t>% Return</t>
  </si>
  <si>
    <t>Total Returns</t>
  </si>
  <si>
    <t>Exit Multiple</t>
  </si>
  <si>
    <t xml:space="preserve"> </t>
  </si>
  <si>
    <t>FCF Build</t>
  </si>
  <si>
    <t>Tax Rate</t>
  </si>
  <si>
    <t>2024E</t>
  </si>
  <si>
    <t>2025E</t>
  </si>
  <si>
    <t>2026E</t>
  </si>
  <si>
    <t>2027E</t>
  </si>
  <si>
    <t>2028E</t>
  </si>
  <si>
    <t>EBIT</t>
  </si>
  <si>
    <t>UFCF Build</t>
  </si>
  <si>
    <t>(-) Interest Expense</t>
  </si>
  <si>
    <t>EBT</t>
  </si>
  <si>
    <t>(-) Taxes on EBIT</t>
  </si>
  <si>
    <t>(-) Tax Expense</t>
  </si>
  <si>
    <t>(+) D&amp;A</t>
  </si>
  <si>
    <t>Net Income</t>
  </si>
  <si>
    <t>(+/-) Changes in NWC</t>
  </si>
  <si>
    <t>(-) CapEx</t>
  </si>
  <si>
    <t>UFCF</t>
  </si>
  <si>
    <t>(+) SBC</t>
  </si>
  <si>
    <t>Cash Flow from Operations</t>
  </si>
  <si>
    <t>Cumulative Owned Stores</t>
  </si>
  <si>
    <t>New Store Openings</t>
  </si>
  <si>
    <t>Cash Flow from Investing</t>
  </si>
  <si>
    <t>Per Store Upront CapEx (mn)</t>
  </si>
  <si>
    <t>Maintenance CapEx/Store</t>
  </si>
  <si>
    <t>(-) Revolver Repayment</t>
  </si>
  <si>
    <t>Total CapEx</t>
  </si>
  <si>
    <t>(-) TL Repayment</t>
  </si>
  <si>
    <t>(-) Notes Repayment</t>
  </si>
  <si>
    <t>Cash Flow from Financing</t>
  </si>
  <si>
    <t>Beginning Cash</t>
  </si>
  <si>
    <t>Change in Cash</t>
  </si>
  <si>
    <t>Ending Cash</t>
  </si>
  <si>
    <t xml:space="preserve">Active Assumptions </t>
  </si>
  <si>
    <t>2023A</t>
  </si>
  <si>
    <t>Case Toggle:</t>
  </si>
  <si>
    <t>Base Case</t>
  </si>
  <si>
    <t>AlcBev Spend/Customer</t>
  </si>
  <si>
    <t>Food Spend/Customer</t>
  </si>
  <si>
    <t>Bear Case</t>
  </si>
  <si>
    <t>Dessert Spend/Customer</t>
  </si>
  <si>
    <t>Table Turnover Rate</t>
  </si>
  <si>
    <t>Bull Case</t>
  </si>
  <si>
    <t>New Stores - CK F.</t>
  </si>
  <si>
    <t>New Stores - North Italia</t>
  </si>
  <si>
    <t>New Stores - FRC &amp; Others</t>
  </si>
  <si>
    <t>New Franchises - South America</t>
  </si>
  <si>
    <t>inability to pass on COGS escalation to customers</t>
  </si>
  <si>
    <t>Olive Garden</t>
  </si>
  <si>
    <t>Bloomin' Brands</t>
  </si>
  <si>
    <t>SSS Growth, Franchise</t>
  </si>
  <si>
    <t xml:space="preserve">SSS Growth, North Italia </t>
  </si>
  <si>
    <t>SSS Growth, FRC &amp; Others</t>
  </si>
  <si>
    <t>Cash Beginning Balance:</t>
  </si>
  <si>
    <t>(+) Free Cash Flow</t>
  </si>
  <si>
    <t>Cash Availble for Repayment of Debt</t>
  </si>
  <si>
    <t>Revolver (Max: $100)</t>
  </si>
  <si>
    <t>Beginning Balance</t>
  </si>
  <si>
    <t>Repayment</t>
  </si>
  <si>
    <t>Interest Expense</t>
  </si>
  <si>
    <t>Rate</t>
  </si>
  <si>
    <t>Ending Balance</t>
  </si>
  <si>
    <t>Revolver Capacity</t>
  </si>
  <si>
    <t>Within Capacity?</t>
  </si>
  <si>
    <t>Senior Secured TL</t>
  </si>
  <si>
    <t>Principal Repayment</t>
  </si>
  <si>
    <t>Senior Unsecured Notes</t>
  </si>
  <si>
    <t>Leverage Calculations</t>
  </si>
  <si>
    <t>Total Beginning Debt</t>
  </si>
  <si>
    <t>Beginning Net Debt</t>
  </si>
  <si>
    <t>Total Interest Expense</t>
  </si>
  <si>
    <t>Leverage (Debt/EBITDA)</t>
  </si>
  <si>
    <t>Interest Coverage (EBITDA/Interest)</t>
  </si>
  <si>
    <t>Period Ended</t>
  </si>
  <si>
    <t>Projected</t>
  </si>
  <si>
    <t>Q1-2014</t>
  </si>
  <si>
    <t>Q2-2014</t>
  </si>
  <si>
    <t>Q3-2014</t>
  </si>
  <si>
    <t>Q4-2014</t>
  </si>
  <si>
    <t>FY2014</t>
  </si>
  <si>
    <t>Q1-2015</t>
  </si>
  <si>
    <t>Q2-2015</t>
  </si>
  <si>
    <t>Q3-2015</t>
  </si>
  <si>
    <t>Q4-2015</t>
  </si>
  <si>
    <t>FY2015</t>
  </si>
  <si>
    <t>Q1-2016</t>
  </si>
  <si>
    <t>Q2-2016</t>
  </si>
  <si>
    <t>Q3-2016</t>
  </si>
  <si>
    <t>Q4-2016</t>
  </si>
  <si>
    <t>FY2016</t>
  </si>
  <si>
    <t>Q1-2017</t>
  </si>
  <si>
    <t>Q2-2017</t>
  </si>
  <si>
    <t>Q3-2017</t>
  </si>
  <si>
    <t>Q4-2017</t>
  </si>
  <si>
    <t>FY2017</t>
  </si>
  <si>
    <t>Q1-2018</t>
  </si>
  <si>
    <t>Q2-2018</t>
  </si>
  <si>
    <t>Q3-2018</t>
  </si>
  <si>
    <t>Q4-2018</t>
  </si>
  <si>
    <t>FY2018</t>
  </si>
  <si>
    <t>Q1-2019</t>
  </si>
  <si>
    <t>Q2-2019</t>
  </si>
  <si>
    <t>Q3-2019</t>
  </si>
  <si>
    <t>Q4-2019</t>
  </si>
  <si>
    <t>FY2019</t>
  </si>
  <si>
    <t>Q1-2020</t>
  </si>
  <si>
    <t>Q2-2020</t>
  </si>
  <si>
    <t>Q3-2020</t>
  </si>
  <si>
    <t>Q4-2020</t>
  </si>
  <si>
    <t>FY2020</t>
  </si>
  <si>
    <t>Q1-2021</t>
  </si>
  <si>
    <t>Q2-2021</t>
  </si>
  <si>
    <t>Q3-2021</t>
  </si>
  <si>
    <t>Q4-2021</t>
  </si>
  <si>
    <t>FY2021</t>
  </si>
  <si>
    <t>Q1-2022</t>
  </si>
  <si>
    <t>Q2-2022</t>
  </si>
  <si>
    <t>Q3-2022</t>
  </si>
  <si>
    <t>Q4-2022</t>
  </si>
  <si>
    <t>FY2022</t>
  </si>
  <si>
    <t>Q1-2023</t>
  </si>
  <si>
    <t>Q2-2023</t>
  </si>
  <si>
    <t>Q3-2023</t>
  </si>
  <si>
    <t>Q4-2023</t>
  </si>
  <si>
    <t>FY2023</t>
  </si>
  <si>
    <t>FY2024E</t>
  </si>
  <si>
    <t>FY2025E</t>
  </si>
  <si>
    <t>FY2026E</t>
  </si>
  <si>
    <t>FY2027E</t>
  </si>
  <si>
    <t>FY2028E</t>
  </si>
  <si>
    <t>Restaurant-level revenue</t>
  </si>
  <si>
    <t>Cheesecake Factory</t>
  </si>
  <si>
    <t xml:space="preserve">North Italia </t>
  </si>
  <si>
    <t>FRC &amp; all other restaurant</t>
  </si>
  <si>
    <t>Bakery revenue</t>
  </si>
  <si>
    <t>Bakery % of CKF &amp; Franchise</t>
  </si>
  <si>
    <t>Franchise revenue</t>
  </si>
  <si>
    <t>Total Revenue</t>
  </si>
  <si>
    <t>year-on-year growth (%)</t>
  </si>
  <si>
    <t>Restaurant-level operating expenses</t>
  </si>
  <si>
    <t>Total number of restaurants (non franchise)</t>
  </si>
  <si>
    <t>Labor expenses</t>
  </si>
  <si>
    <t>Labor as % revenue</t>
  </si>
  <si>
    <t>F&amp;B Cost of Sales</t>
  </si>
  <si>
    <t>G&amp;A</t>
  </si>
  <si>
    <t>D&amp;A</t>
  </si>
  <si>
    <t>Other operating expense</t>
  </si>
  <si>
    <t>Adjusted EBIT (No Adjustments)</t>
  </si>
  <si>
    <t>Add back: D&amp;A</t>
  </si>
  <si>
    <t>Add back: SBC</t>
  </si>
  <si>
    <t>Adjusted EBITDA (No Adjustments)</t>
  </si>
  <si>
    <t>Interest expense</t>
  </si>
  <si>
    <t>Current tax</t>
  </si>
  <si>
    <t>Net Income to Common Shareholders</t>
  </si>
  <si>
    <t>Net Working Capital</t>
  </si>
  <si>
    <t>Accounts Receivable</t>
  </si>
  <si>
    <t>% Revenue</t>
  </si>
  <si>
    <t>Inventory</t>
  </si>
  <si>
    <t>Accounts Payable</t>
  </si>
  <si>
    <t>Prepaid Expenses</t>
  </si>
  <si>
    <t>Accrued Expenses</t>
  </si>
  <si>
    <t xml:space="preserve">Change in NWC </t>
  </si>
  <si>
    <t>Cash Change</t>
  </si>
  <si>
    <t>CapEx</t>
  </si>
  <si>
    <t>% CapEx</t>
  </si>
  <si>
    <t>% PP&amp;E</t>
  </si>
  <si>
    <t xml:space="preserve">PP&amp;E </t>
  </si>
  <si>
    <t>Actual</t>
  </si>
  <si>
    <t>Cheesecake Factory Revenue Build</t>
  </si>
  <si>
    <t>The Cheesecake Factory restaurants - BoP, # of restaurants</t>
  </si>
  <si>
    <t>CF restaurants opened, # of restaurants</t>
  </si>
  <si>
    <t>CF restaurants closed, # of restaurants</t>
  </si>
  <si>
    <t>The Cheesecake Factory restaurants - EoP, # of restaurants</t>
  </si>
  <si>
    <t>Y/Y CF restaurant growth, %</t>
  </si>
  <si>
    <t>The Cheesecake Factory restaurants - Average, # of restaurants</t>
  </si>
  <si>
    <t>Total Operating Weeks</t>
  </si>
  <si>
    <t>Operating Weeks / Store</t>
  </si>
  <si>
    <t>Table Turnover Metrics</t>
  </si>
  <si>
    <t>Average Cheque Size / Customer</t>
  </si>
  <si>
    <t>Number of Customers Served / Week</t>
  </si>
  <si>
    <t>Average Table Size</t>
  </si>
  <si>
    <t>Number of Tables Served / Week</t>
  </si>
  <si>
    <t>Operating Hours / Week</t>
  </si>
  <si>
    <t># Tables, Average/Store</t>
  </si>
  <si>
    <t>Tables Served / Hour</t>
  </si>
  <si>
    <t>Table Turnover (per hour)</t>
  </si>
  <si>
    <t>Cheque Mix</t>
  </si>
  <si>
    <t>Sales from off-premise business, %</t>
  </si>
  <si>
    <t>Sales from alcoholic beverages, %</t>
  </si>
  <si>
    <t xml:space="preserve">     Spend per Customer</t>
  </si>
  <si>
    <t>Sales from desserts, %</t>
  </si>
  <si>
    <t>Sales from on-premise food</t>
  </si>
  <si>
    <t>Spend per Customer</t>
  </si>
  <si>
    <t>Average sales per Cheesecake factory restaurant, mm</t>
  </si>
  <si>
    <t>Average sales per productive square foot, $/sq ft</t>
  </si>
  <si>
    <t>Average check per customer, $/check</t>
  </si>
  <si>
    <t>Spend Growth Metrics</t>
  </si>
  <si>
    <t>Cheesecake Factory Menu pricing growth, %</t>
  </si>
  <si>
    <t>Cheesecake Factory Menu mix growth, %</t>
  </si>
  <si>
    <t>Cheesecake Factory Average check growth, %</t>
  </si>
  <si>
    <t>Cheesecake Factory Customer traffic growth, %</t>
  </si>
  <si>
    <t xml:space="preserve">Aggregate Revenue </t>
  </si>
  <si>
    <t>Weekly Store Level Revenue (avg in $k)</t>
  </si>
  <si>
    <t>Annual Store Level Revenue (avg in $mm)</t>
  </si>
  <si>
    <t>The Cheesecake Factory revenue, mm</t>
  </si>
  <si>
    <t>North Italia Revenue Build</t>
  </si>
  <si>
    <t>North Italia restaurants - BoP, # of restaurants</t>
  </si>
  <si>
    <t>NI restaurants opened, # of restaurants</t>
  </si>
  <si>
    <t>NI restaurants closed, # of restaurants</t>
  </si>
  <si>
    <t>North Italia restaurants - EoP, # of restaurants</t>
  </si>
  <si>
    <t>Y/Y NI restaurant growth, %</t>
  </si>
  <si>
    <t>North Italia restaurants - Average, # of restaurants</t>
  </si>
  <si>
    <t>North Italia Revenue, mm</t>
  </si>
  <si>
    <t>Consolidated Below from Forecast Assumptions</t>
  </si>
  <si>
    <t>FRC Revenue Build</t>
  </si>
  <si>
    <t>Fox Restaurant Concepts restaurants - BoP, # of restaurants</t>
  </si>
  <si>
    <t>Fox Restaurant Concepts opened, # of restaurants</t>
  </si>
  <si>
    <t>Fox Restaurant Concepts closed, # of restaurants</t>
  </si>
  <si>
    <t>Fox Restaurant Concepts restaurants - EoP, # of restaurants</t>
  </si>
  <si>
    <t>Fox Restaurant Concepts restaurants - Average, # of restaurants</t>
  </si>
  <si>
    <t>FRC Revenue</t>
  </si>
  <si>
    <t>FRC Sales/Store</t>
  </si>
  <si>
    <t xml:space="preserve">Other  Restaurants </t>
  </si>
  <si>
    <t>Grand Lux Cafe restaurants BoP, # of restaurants</t>
  </si>
  <si>
    <t>Grand Lux Number of restaurants opened, # of restaurants</t>
  </si>
  <si>
    <t>Grand Lux Number of restaurants closed, # of restaurants</t>
  </si>
  <si>
    <t>Grand Lux Cafe restaurants EoP, # of restaurants</t>
  </si>
  <si>
    <t>RockSugar Southeast Asian Kitchen restaurants BOP, # of restaurants</t>
  </si>
  <si>
    <t>RockSugar Number of restaurants opened, # of restaurants</t>
  </si>
  <si>
    <t>RockSugar Number of restaurants closed, # of restaurants</t>
  </si>
  <si>
    <t>RockSugar Southeast Asian Kitchen restaurants EoP, # of restaurants</t>
  </si>
  <si>
    <t>Social Monk Asian Kitchen BoP, # of restaurants</t>
  </si>
  <si>
    <t>Social Monk Number of restaurants opened, # of restaurants</t>
  </si>
  <si>
    <t>Social Monk Number of restaurants closed, # of restaurants</t>
  </si>
  <si>
    <t>Social Monk Asian Kitchen EoP, # of restaurants</t>
  </si>
  <si>
    <t>Flower Child restaurants BOP, # of restaurants</t>
  </si>
  <si>
    <t>Flower Child restaurants opened, # of restaurants</t>
  </si>
  <si>
    <t>Flower Child restaurants closed, # of restaurants</t>
  </si>
  <si>
    <t>Flower Child restaurants EoP, # of restaurants</t>
  </si>
  <si>
    <t>Other restaurants - BoP, # of restaurants</t>
  </si>
  <si>
    <t>Other restaurants opened, # of restaurants</t>
  </si>
  <si>
    <t>Other restaurants closed, # of restaurants</t>
  </si>
  <si>
    <t>Other restaurants - EoP, # of restaurants</t>
  </si>
  <si>
    <t>Other restaurants -- total revenue</t>
  </si>
  <si>
    <t>Net restaurants change</t>
  </si>
  <si>
    <t>Total FRC &amp; Others Restaurants EOP</t>
  </si>
  <si>
    <t>Franchising Revenue Build</t>
  </si>
  <si>
    <t>Kingdom of Saudi Arabia, # of restaurants</t>
  </si>
  <si>
    <t>Kuwait, # of restaurants</t>
  </si>
  <si>
    <t>Lebanon, # of restaurants</t>
  </si>
  <si>
    <t>Qatar, # of restaurants</t>
  </si>
  <si>
    <t>United Arab Emirates, # of restaurants</t>
  </si>
  <si>
    <t>Bahrain, # of restaurants</t>
  </si>
  <si>
    <t>Middle East Licensee restaurants, # of restaurants</t>
  </si>
  <si>
    <t>Mexico licensee restaurants, # of restaurants</t>
  </si>
  <si>
    <t>Beijing, # of restaurants</t>
  </si>
  <si>
    <t>Shanghai, # of restaurants</t>
  </si>
  <si>
    <t>Chengdu, # of restaurants</t>
  </si>
  <si>
    <t>Chinese mainland, # of restaurants</t>
  </si>
  <si>
    <t>Hong Kong, # of restaurants</t>
  </si>
  <si>
    <t>Macau, # of restaurants</t>
  </si>
  <si>
    <t>Special administrative regions, # of restaurants</t>
  </si>
  <si>
    <t>China licensee restaurants, # of restaurants</t>
  </si>
  <si>
    <t>Thailand licensee restaurants, # of restaurants</t>
  </si>
  <si>
    <t>new sa fran</t>
  </si>
  <si>
    <t>South America licensee restaurants, # of restaurants</t>
  </si>
  <si>
    <t>Total Franchisees, # of restaurants</t>
  </si>
  <si>
    <t>Net Change in Total Franchisees, # of restaurants</t>
  </si>
  <si>
    <t>Avg # of Franchisees, # of restaurants</t>
  </si>
  <si>
    <t>Total Number of Systemwide restaurants EOY</t>
  </si>
  <si>
    <t>Royalty rate (Estimated), %</t>
  </si>
  <si>
    <t>Percentage of restaurants franchised, %</t>
  </si>
  <si>
    <t>International Franchisees Sales going to Parent Company (Estimated), mm</t>
  </si>
  <si>
    <t>Sales per franchise</t>
  </si>
  <si>
    <t>International Franchisees Sales (Estimated), mm</t>
  </si>
  <si>
    <t>Cheesecake Factory Cost Build</t>
  </si>
  <si>
    <t>Total number of employees across all subsidiaries</t>
  </si>
  <si>
    <t>Consolidated Food and Beverage</t>
  </si>
  <si>
    <t>Consolidated Labor Expense</t>
  </si>
  <si>
    <t>Consolidated Other Operating Costs</t>
  </si>
  <si>
    <t>Consolidated General and Administrative Expenses</t>
  </si>
  <si>
    <t>Consolidated Depreciation and Amortization</t>
  </si>
  <si>
    <t>Consolidated Impairment of assets and lease terminations</t>
  </si>
  <si>
    <t>Consolidated Acquisition-related costs</t>
  </si>
  <si>
    <t>Consolidated Acquisition-related contingent consideration, compensation and amortization expenses</t>
  </si>
  <si>
    <t>Consolidated Pre-Opening Costs</t>
  </si>
  <si>
    <t>Consolidated Operating Margin  (%)</t>
  </si>
  <si>
    <t>Total costs, mm</t>
  </si>
  <si>
    <t>Cheesecake Factory CFS</t>
  </si>
  <si>
    <t>Current Assets</t>
  </si>
  <si>
    <t>Cash and cash equivalents</t>
  </si>
  <si>
    <t>Accounts receivable</t>
  </si>
  <si>
    <t>Other receivables</t>
  </si>
  <si>
    <t>Total Account Receivable</t>
  </si>
  <si>
    <t>Income tax receivable</t>
  </si>
  <si>
    <t>Inventories</t>
  </si>
  <si>
    <t>Prepaid expenses</t>
  </si>
  <si>
    <t>Deferred income taxes</t>
  </si>
  <si>
    <t>Total Current Assets</t>
  </si>
  <si>
    <t>Non-Current Assets</t>
  </si>
  <si>
    <t>Property and equipment, net</t>
  </si>
  <si>
    <t>Intangible assets, net</t>
  </si>
  <si>
    <t>Operating lease assets</t>
  </si>
  <si>
    <t>Prepaid rent</t>
  </si>
  <si>
    <t>Investments in unconsolidated affiliates</t>
  </si>
  <si>
    <t>Other</t>
  </si>
  <si>
    <t>Total Non-Current Assets</t>
  </si>
  <si>
    <t>Total Assets</t>
  </si>
  <si>
    <t>Current Liabilities</t>
  </si>
  <si>
    <t>Accounts payable</t>
  </si>
  <si>
    <t>Income taxes payable</t>
  </si>
  <si>
    <t>Gift card liabilities</t>
  </si>
  <si>
    <t>Operating lease liabilities</t>
  </si>
  <si>
    <t>Other accrued expenses</t>
  </si>
  <si>
    <t>Total Current Liabilities</t>
  </si>
  <si>
    <t>Non-Current Liabilities</t>
  </si>
  <si>
    <t>Income tax payable</t>
  </si>
  <si>
    <t>Deferred rent</t>
  </si>
  <si>
    <t>Deemed landlord financing liability</t>
  </si>
  <si>
    <t>Long term debt</t>
  </si>
  <si>
    <t>Other noncurrent liabilities</t>
  </si>
  <si>
    <t>Convertible preferred stock</t>
  </si>
  <si>
    <t>Total Non-Current liabilities</t>
  </si>
  <si>
    <t>Total Liabilities</t>
  </si>
  <si>
    <t>Shareholders' Equity</t>
  </si>
  <si>
    <t>Common stock</t>
  </si>
  <si>
    <t>Additional paid-in capital</t>
  </si>
  <si>
    <t>Retained earnings</t>
  </si>
  <si>
    <t>Accumulated other comprehensive loss</t>
  </si>
  <si>
    <t>Treasury stock</t>
  </si>
  <si>
    <t>Total SE</t>
  </si>
  <si>
    <t>Total Liabilities &amp; SE</t>
  </si>
  <si>
    <t>Net income</t>
  </si>
  <si>
    <t>Depreciation and amortization expenses</t>
  </si>
  <si>
    <t>Impairment of assets and lease terminations</t>
  </si>
  <si>
    <t>Stock-based compensation</t>
  </si>
  <si>
    <t>Loss from investments in unconsolidated affiliates</t>
  </si>
  <si>
    <t>Tax impact of stock options exercised, net of cancellations</t>
  </si>
  <si>
    <t>Excess tax benefit related to stock options exercised</t>
  </si>
  <si>
    <t>Cash Flow from Operations without Working Capital</t>
  </si>
  <si>
    <t>Accounts and other receivable</t>
  </si>
  <si>
    <t>Income taxes receivable/payable</t>
  </si>
  <si>
    <t>Operating lease assets/liabilities</t>
  </si>
  <si>
    <t>Other assets</t>
  </si>
  <si>
    <t>Lease terminations</t>
  </si>
  <si>
    <t>Realized loss on derivative financial instruments</t>
  </si>
  <si>
    <t>Net Cash Flow from Operations</t>
  </si>
  <si>
    <t>Additions to property and equipment</t>
  </si>
  <si>
    <t>Additions to intangible assets</t>
  </si>
  <si>
    <t>Loans made to unconsolidated affiliates</t>
  </si>
  <si>
    <t>Sales of available-for-sale securities</t>
  </si>
  <si>
    <t>Proceeds from variable life insurance contract</t>
  </si>
  <si>
    <t>Acquisitions</t>
  </si>
  <si>
    <t>Divestitures</t>
  </si>
  <si>
    <t>Net Cash Flow from Investing</t>
  </si>
  <si>
    <t>Acquisition-related deferred consideration</t>
  </si>
  <si>
    <t>Deemed landlord financing proceeds</t>
  </si>
  <si>
    <t>Deemed landlord financing payments</t>
  </si>
  <si>
    <t>Borrowings on credit facility</t>
  </si>
  <si>
    <t>Repayments on credit facility</t>
  </si>
  <si>
    <t>Convertible debt issuance</t>
  </si>
  <si>
    <t>Convertible debt direct and incremental costs</t>
  </si>
  <si>
    <t>Proceeds from exercise of stock options</t>
  </si>
  <si>
    <t>Repayment of credit facility</t>
  </si>
  <si>
    <t>Cash dividends paid</t>
  </si>
  <si>
    <t>Preferred stock issuance</t>
  </si>
  <si>
    <t>Preferred stock direct costs</t>
  </si>
  <si>
    <t>Preferred stock cash-settled conversion</t>
  </si>
  <si>
    <t>Preferred stock conversion direct and incremental costs</t>
  </si>
  <si>
    <t>Preferred stock dividends paid</t>
  </si>
  <si>
    <t>Common stock issuance</t>
  </si>
  <si>
    <t>Common stock issuance direct and incremental costs</t>
  </si>
  <si>
    <t>Treasury stock purchases</t>
  </si>
  <si>
    <t>Payment for future treasury stock purchases under accelerated stock repurchase agreement</t>
  </si>
  <si>
    <t>Net Cash Flow from Financing</t>
  </si>
  <si>
    <t>Foreign Exchange Adjustments</t>
  </si>
  <si>
    <t>Net Change in Cash</t>
  </si>
  <si>
    <t>Interest paid</t>
  </si>
  <si>
    <t>Income taxes paid</t>
  </si>
  <si>
    <t>Casual Dining Comparables</t>
  </si>
  <si>
    <t>Company Name</t>
  </si>
  <si>
    <t>Total Mkt Cap</t>
  </si>
  <si>
    <t>LTM Net Debt</t>
  </si>
  <si>
    <t>Net Debt/EBITDA</t>
  </si>
  <si>
    <t>TEV/Total Revenue</t>
  </si>
  <si>
    <t>TEV/EBITDA before excluding operating leases</t>
  </si>
  <si>
    <t>Price/Diluted EPS Before Extra</t>
  </si>
  <si>
    <t>The Cheesecake Factory, Inc. (CAKE)</t>
  </si>
  <si>
    <t>Texas Roadhouse, Inc. (TXRH)</t>
  </si>
  <si>
    <t>Brinker International, Inc. (EAT)</t>
  </si>
  <si>
    <t>Bloomin' Brands, Inc. (BLMN)</t>
  </si>
  <si>
    <t>Domino's Pizza, Inc. (DPZ)</t>
  </si>
  <si>
    <t>16.951.0</t>
  </si>
  <si>
    <t>Darden Restaurants, Inc. (DRI)</t>
  </si>
  <si>
    <t>Cracker Barrel Old Country Store, Inc. (CBRL)</t>
  </si>
  <si>
    <t>Median</t>
  </si>
  <si>
    <t>Mean</t>
  </si>
  <si>
    <t>High</t>
  </si>
  <si>
    <t>Low</t>
  </si>
  <si>
    <t>FY2009</t>
  </si>
  <si>
    <t>Growth Analysis</t>
  </si>
  <si>
    <t>The Cheesecake Factory Restaurants revenue growth, %</t>
  </si>
  <si>
    <t>North Italia Restaurants revenue growth, %</t>
  </si>
  <si>
    <t>Other FRC Restaurants revenue growth, %</t>
  </si>
  <si>
    <t>External bakery sales growth, %</t>
  </si>
  <si>
    <t>International licensing revenue growth (Estimated), %</t>
  </si>
  <si>
    <t>Other restaurants revenue growth (Estimated), %</t>
  </si>
  <si>
    <t>Other revenue growth, %</t>
  </si>
  <si>
    <t>Total Revenue Growth, %</t>
  </si>
  <si>
    <t>The Cheesecake Factory comparable restaurant sales growth per period, %</t>
  </si>
  <si>
    <t>North Italia comparable restaurant sales growth, %</t>
  </si>
  <si>
    <t>Grand Lux comparable restaurant sales growth per period, %</t>
  </si>
  <si>
    <t>Total comparable restaurant sales growth per period, %</t>
  </si>
  <si>
    <t>Segmented Results - Revenue Breakdown (FS)</t>
  </si>
  <si>
    <t>North Italia revenue, mm</t>
  </si>
  <si>
    <t>Other FRC revenue, mm</t>
  </si>
  <si>
    <t>External bakery sales, mm</t>
  </si>
  <si>
    <t>International licensing revenues (Estimated), mm</t>
  </si>
  <si>
    <t>Other restaurants revenue (Estimated), mm</t>
  </si>
  <si>
    <t>Other revenue, mm</t>
  </si>
  <si>
    <t>Total Revenue, mm</t>
  </si>
  <si>
    <t>Segmented Results - Costs Breakdown (MD&amp;A/FS)</t>
  </si>
  <si>
    <t>Cost of Sales, mm</t>
  </si>
  <si>
    <t>Labor Expenses, mm</t>
  </si>
  <si>
    <t>Other Operating Costs and Expenses, mm</t>
  </si>
  <si>
    <t>General and Administrative Expenses, mm</t>
  </si>
  <si>
    <t>Depreciation and Amortization expenses, mm</t>
  </si>
  <si>
    <t>Preopening Costs, mm</t>
  </si>
  <si>
    <t>Total Costs and Expenses, mm</t>
  </si>
  <si>
    <t>Labor expenses SBC, mm</t>
  </si>
  <si>
    <t>Other operating costs and expenses SBC, mm</t>
  </si>
  <si>
    <t>General and administrative expenses SBC, mm</t>
  </si>
  <si>
    <t>Total SBC, mm</t>
  </si>
  <si>
    <t>Cumulative Depreciation of PPE, mm</t>
  </si>
  <si>
    <t>Cumulative Amortization of intangibles, mm</t>
  </si>
  <si>
    <t>Total Cumulative D&amp;A, mm</t>
  </si>
  <si>
    <t>Operating Stats - The Cheesecake Factory (PR)</t>
  </si>
  <si>
    <t>CF comp restaurants - EoP (Calculated), # of restaurants</t>
  </si>
  <si>
    <t>CF comp restaurants - Average (Calculated), # of restaurants</t>
  </si>
  <si>
    <t>CF new restaurants - EoP (Calculated), # of restaurants</t>
  </si>
  <si>
    <t>CF new restaurants - Average (Calculated), # of restaurants</t>
  </si>
  <si>
    <t>CF sales per comp restaurant (Calculated), k$/restaurant</t>
  </si>
  <si>
    <t>CF sales per new restaurant (Calculated), k$/restaurant</t>
  </si>
  <si>
    <t>The Cheesecake Factory Sales Per Restaurant (Calculated), k$/restaurant</t>
  </si>
  <si>
    <t>CF comp restaurant operating weeks (Calculated), weeks</t>
  </si>
  <si>
    <t>CF 13-18 month new restaurant operating weeks (Calculated), weeks</t>
  </si>
  <si>
    <t>CF LTM new restaurant operating weeks (Calculated), weeks</t>
  </si>
  <si>
    <t>CF new restaurant operating weeks (Calculated), weeks</t>
  </si>
  <si>
    <t>The Cheesecake Factory Total Operating Weeks, weeks</t>
  </si>
  <si>
    <t>CF comp adjusted restaurant prior year sales base per operating week (Calculated), k$/week</t>
  </si>
  <si>
    <t>CF comp restaurant sales per operating week (Calculated), k$/week</t>
  </si>
  <si>
    <t>CF new restaurant sales per operating week (Calculated), k$/week</t>
  </si>
  <si>
    <t>The Cheesecake Factory Total Sales Per Operating Week (Calculated), k$/week</t>
  </si>
  <si>
    <t>Menu pricing growth, %</t>
  </si>
  <si>
    <t>Menu mix growth, %</t>
  </si>
  <si>
    <t>Average check growth, %</t>
  </si>
  <si>
    <t>Customer traffic growth, %</t>
  </si>
  <si>
    <t>CF new restaurant productivity (Calculated), %</t>
  </si>
  <si>
    <t>CF net closed productivity (Estimated), %</t>
  </si>
  <si>
    <t>CF closed restaurant and other impact on comp base (Calculated), %</t>
  </si>
  <si>
    <t>CF sales from comp restaurants (Calculated), mm</t>
  </si>
  <si>
    <t>CF sales from new restaurants (Calculated), mm</t>
  </si>
  <si>
    <t>The Cheesecake Factory Revenue, mm</t>
  </si>
  <si>
    <t>CF impact of base change, %</t>
  </si>
  <si>
    <t>CF 13-18 month new store growth, %</t>
  </si>
  <si>
    <t>CF LTM new store growth, %</t>
  </si>
  <si>
    <t>CF non-comparable sales growth, %</t>
  </si>
  <si>
    <t>The Cheesecake Factory Restaurants Revenue Growth, %</t>
  </si>
  <si>
    <t>Operating Stats - North Italia (PR)</t>
  </si>
  <si>
    <t>NI comp restaurants - EoP, # of restaurants</t>
  </si>
  <si>
    <t>NI comp restaurants - Average, # of restaurants</t>
  </si>
  <si>
    <t>NI new restaurants - EoP, # of restaurants</t>
  </si>
  <si>
    <t>NI new restaurants - Average, # of restaurants</t>
  </si>
  <si>
    <t>NI sales per comp restaurant, k$/restaurant</t>
  </si>
  <si>
    <t>NI sales per new restaurant, k$/restaurant</t>
  </si>
  <si>
    <t>North Italia Sales Per Restaurant, k$/restaurant</t>
  </si>
  <si>
    <t>NI comp restaurant operating weeks, weeks</t>
  </si>
  <si>
    <t>NI 13-18 month new restaurant operating weeks (Calculated), weeks</t>
  </si>
  <si>
    <t>NI LTM new restaurant operating weeks (Calculated), weeks</t>
  </si>
  <si>
    <t>NI new restaurant operating weeks, weeks</t>
  </si>
  <si>
    <t>North Italia Total Operating Weeks, weeks</t>
  </si>
  <si>
    <t>NI comp adjusted restaurant prior year sales base per operating week, k$/week</t>
  </si>
  <si>
    <t>NI comp restaurant sales per operating week, k$/week</t>
  </si>
  <si>
    <t>NI new restaurant sales per operating week, k$/week</t>
  </si>
  <si>
    <t>North Italia Total Sales Per Operating Week, k$/week</t>
  </si>
  <si>
    <t>NI new restaurant productivity, %</t>
  </si>
  <si>
    <t>NI net closed productivity (estimated), %</t>
  </si>
  <si>
    <t>NI closed restaurant impact on comp base, %</t>
  </si>
  <si>
    <t>NI sales from comp restaurants, mm</t>
  </si>
  <si>
    <t>NI sales from new restaurants, mm</t>
  </si>
  <si>
    <t>NI Impact of base change, %</t>
  </si>
  <si>
    <t>NI 13-18 month new store growth, %</t>
  </si>
  <si>
    <t>NI LTM new store growth, %</t>
  </si>
  <si>
    <t>NI non-comparable sales growth, %</t>
  </si>
  <si>
    <t>North Italia Revenue Growth, %</t>
  </si>
  <si>
    <t>NMF</t>
  </si>
  <si>
    <t>Operating Stats - Fox Restaurant Concept Brands (PR)</t>
  </si>
  <si>
    <t>FRC restaurant growth, %</t>
  </si>
  <si>
    <t>Sales Per Other FRC restaurants (Calculated), k$/restaurant</t>
  </si>
  <si>
    <t>Y/Y Sales per North Italia restaurant growth, %</t>
  </si>
  <si>
    <t>Operating Stats - Other Restaurants (MD&amp;A)</t>
  </si>
  <si>
    <t>Y/Y Other restaurant growth, %</t>
  </si>
  <si>
    <t>Other restaurants - Average, # of restaurants</t>
  </si>
  <si>
    <t>Sales Per Avg Other Restaurant (Calculated), $k/restaurant</t>
  </si>
  <si>
    <t>Sales per avg other restaurant growth, %</t>
  </si>
  <si>
    <t>Operating Stats - International Franchisees (MD&amp;A)</t>
  </si>
  <si>
    <t>Productivity of franchisees vs. company-owned stores (Estimated), %</t>
  </si>
  <si>
    <t>Segmented Results - Operating Income Breakdown (FS)</t>
  </si>
  <si>
    <t>Restated</t>
  </si>
  <si>
    <t>The Cheesecake Factory restaurants operating income, mm</t>
  </si>
  <si>
    <t>North Italia restaurants operating income, mm</t>
  </si>
  <si>
    <t>Other FRC operating income, mm</t>
  </si>
  <si>
    <t>Other operating income, mm</t>
  </si>
  <si>
    <t>Other operating income (Historical), mm</t>
  </si>
  <si>
    <t>Unallocated corporate expenses, mm</t>
  </si>
  <si>
    <t>Total Operating Income, mm</t>
  </si>
  <si>
    <t>The Cheesecake Factory restaurants operating margin, %</t>
  </si>
  <si>
    <t>North Italia restaurants operating margin, %</t>
  </si>
  <si>
    <t>Other FRC operating margin, %</t>
  </si>
  <si>
    <t>Other operating margin, %</t>
  </si>
  <si>
    <t>Total Operating Income Margin, %</t>
  </si>
  <si>
    <t>Key Metrics - Restaurant Breakdown (PR)</t>
  </si>
  <si>
    <t>Total Company Owned Restaurants - BoP, # of restaurants</t>
  </si>
  <si>
    <t>Total company owned restaurants opened, # of restaurants</t>
  </si>
  <si>
    <t>Total company owned restaurants closed, # of restaurants</t>
  </si>
  <si>
    <t>Net Change in company owned restaurants, # of restaurants</t>
  </si>
  <si>
    <t>Total Company Owned Restaurants - EoP, # of restaurants</t>
  </si>
  <si>
    <t>Total Company Owned Restaurants - Average, # of restaurants</t>
  </si>
  <si>
    <t>Total Systemwide Restaurants - BoP, # of restaurants</t>
  </si>
  <si>
    <t>Net Change in systemwide restaurants, # of restaurants</t>
  </si>
  <si>
    <t>Total Systemwide Restaurants - EoP, # of restaurants</t>
  </si>
  <si>
    <t>Total Systemwide Restaurants - Average, # of restaurants</t>
  </si>
  <si>
    <t>Key Metrics - Cheesecake Factory Statistics (FS)</t>
  </si>
  <si>
    <t>Comparable restaurants return on invested capital, %</t>
  </si>
  <si>
    <t>Casual Dining industry comparable sale growth, %</t>
  </si>
  <si>
    <t>Key Metrics - Lease Cost and Rent Expense (FS)</t>
  </si>
  <si>
    <t>Operating lease expense, mm</t>
  </si>
  <si>
    <t>Variable lease expense, mm</t>
  </si>
  <si>
    <t>Short-term lease expense, mm</t>
  </si>
  <si>
    <t>Total Lease Expense, mm</t>
  </si>
  <si>
    <t>Straight-lined minimum base rent, mm</t>
  </si>
  <si>
    <t>Contingent rent, mm</t>
  </si>
  <si>
    <t>Common area maintenance and taxes, mm</t>
  </si>
  <si>
    <t>Total Rent Expense, mm</t>
  </si>
  <si>
    <t>Key Metrics - Employee Count (FS)</t>
  </si>
  <si>
    <t>Total employees, # of employees</t>
  </si>
  <si>
    <t>Key Metrics - Dashboard Metrics</t>
  </si>
  <si>
    <t>Company Owned Store Sales, mm</t>
  </si>
  <si>
    <t>Franchise System Sales, mm</t>
  </si>
  <si>
    <t>Systemwide Sales, mm</t>
  </si>
  <si>
    <t>Y/Y Systemwide Sales growth, %</t>
  </si>
  <si>
    <t>Company Owned AUV, k$/restaurant</t>
  </si>
  <si>
    <t>Franchise AUV, k$/restaurant</t>
  </si>
  <si>
    <t>Systemwide AUV, k$/restaurant</t>
  </si>
  <si>
    <t>LTM Company Owned Store Sales, mm</t>
  </si>
  <si>
    <t>LTM Franchise System Sales, mm</t>
  </si>
  <si>
    <t>LTM Systemwide Sales, mm</t>
  </si>
  <si>
    <t>LTM Company Owned Store Revenue, mm</t>
  </si>
  <si>
    <t>LTM Franchise Revenue, mm</t>
  </si>
  <si>
    <t>LTM Other Revenue, mm</t>
  </si>
  <si>
    <t>LTM Total Revenue, mm</t>
  </si>
  <si>
    <t>LTM Company Owned AUV, k$/restaurant</t>
  </si>
  <si>
    <t>LTM Franchise AUV, k$/restaurant</t>
  </si>
  <si>
    <t>LTM Systemwide AUV, k$/restaurant</t>
  </si>
  <si>
    <t>LTM Franchise Revenue as a % of LTM Franchise System Sales, %</t>
  </si>
  <si>
    <t>LTM Product Costs, %</t>
  </si>
  <si>
    <t>LTM Labor Expense, %</t>
  </si>
  <si>
    <t>LTM Occupancy and Other OPEX, %</t>
  </si>
  <si>
    <t>LTM Rest-Level Expense Margin, %</t>
  </si>
  <si>
    <t>LTM Rest-Level Profit Margin, %</t>
  </si>
  <si>
    <t>Y/Y LTM Rest-Level Profit Margin Improvement, %</t>
  </si>
  <si>
    <t>LTM Average Check Impact on Company Owned SSSG, %</t>
  </si>
  <si>
    <t>LTM Traffic Impact on Company Owned SSSG, %</t>
  </si>
  <si>
    <t>LTM Company Owned SSSG, %</t>
  </si>
  <si>
    <t>LTM Systemwide Sales Growth, %</t>
  </si>
  <si>
    <t>Margin Analysis</t>
  </si>
  <si>
    <t>Product Costs Margin, %</t>
  </si>
  <si>
    <t>Labor Expense Margin, %</t>
  </si>
  <si>
    <t>Other Operating Expense Margin, %</t>
  </si>
  <si>
    <t>Restaurant Level Operating Costs Margin, %</t>
  </si>
  <si>
    <t>Restaurant Level Operating Profit Margin, %</t>
  </si>
  <si>
    <t>Product Costs Margin Improvement, %</t>
  </si>
  <si>
    <t>Labor Expense Margin Improvement, %</t>
  </si>
  <si>
    <t>Other Operating Expense Margin Improvement, %</t>
  </si>
  <si>
    <t>Restaurant Level Operating Profit Margin Improvement, %</t>
  </si>
  <si>
    <t>G&amp;A Margin, %</t>
  </si>
  <si>
    <t>EBIT Margin, %</t>
  </si>
  <si>
    <t>Adjusted EBIT Margin - (No Adjustments), %</t>
  </si>
  <si>
    <t>Consensus Estimates - Adjusted EBIT Margin, %</t>
  </si>
  <si>
    <t>Add back: D&amp;A Margin, %</t>
  </si>
  <si>
    <t>Add back: SBC Margin, %</t>
  </si>
  <si>
    <t>EBITDA Margin, %</t>
  </si>
  <si>
    <t>Adjusted EBITDA Margin - (No Adjustments), %</t>
  </si>
  <si>
    <t>Consensus Estimates - Adjusted EBITDA Margin, %</t>
  </si>
  <si>
    <t>Income Statement - As Reported</t>
  </si>
  <si>
    <t>Revenues</t>
  </si>
  <si>
    <t>Cost of sales</t>
  </si>
  <si>
    <t>Other operating costs and expenses</t>
  </si>
  <si>
    <t>General and administrative expenses</t>
  </si>
  <si>
    <t>Acquisition-related costs</t>
  </si>
  <si>
    <t>Acquisition-related contingent consideration, compensation and amortization expenses</t>
  </si>
  <si>
    <t>Preopening costs</t>
  </si>
  <si>
    <t>Total costs and expenses</t>
  </si>
  <si>
    <t>Income from operations</t>
  </si>
  <si>
    <t>Loss on investment in unconsolidated affiliates</t>
  </si>
  <si>
    <t>Interest and other expense, net</t>
  </si>
  <si>
    <t>Income before income taxes</t>
  </si>
  <si>
    <t>Income tax provision</t>
  </si>
  <si>
    <t>Dividends on preferred stock</t>
  </si>
  <si>
    <t>Direct and incremental preferred stock issuance costs</t>
  </si>
  <si>
    <t>Undistributed earnings allocated to Series A preferred stock</t>
  </si>
  <si>
    <t>Net income available to common stockholders</t>
  </si>
  <si>
    <t>IS Check</t>
  </si>
  <si>
    <t>Adjusted Numbers - As Reported</t>
  </si>
  <si>
    <t>COVID-19 related costs</t>
  </si>
  <si>
    <t>Gain on investment in unconsolidated affiliates</t>
  </si>
  <si>
    <t>Deferred tax revaluation</t>
  </si>
  <si>
    <t>Partial IRS settlement</t>
  </si>
  <si>
    <t>Unwinding of interest rate collars</t>
  </si>
  <si>
    <t>Chairman and CEO employment agreement</t>
  </si>
  <si>
    <t>Realization of investment in variable life insurance contract</t>
  </si>
  <si>
    <t>Loss on investment</t>
  </si>
  <si>
    <t>Acquisition costs</t>
  </si>
  <si>
    <t>Uncertain tax position related to tenant improvement allowances</t>
  </si>
  <si>
    <t>Termination of interest rate swap</t>
  </si>
  <si>
    <t>Tax effect on adjustments</t>
  </si>
  <si>
    <t>Adjusted net income</t>
  </si>
  <si>
    <t>Revised Income Statement</t>
  </si>
  <si>
    <t>Franchise &amp; other revenue</t>
  </si>
  <si>
    <t>Consensus Estimates - Adjusted EBIT</t>
  </si>
  <si>
    <t>Other items</t>
  </si>
  <si>
    <t>One-time item</t>
  </si>
  <si>
    <t>Deferred tax</t>
  </si>
  <si>
    <t>Net Income from Continued Operation</t>
  </si>
  <si>
    <t>Discontinued Operations</t>
  </si>
  <si>
    <t>Net Income to NCI</t>
  </si>
  <si>
    <t>Preferred stock dividends</t>
  </si>
  <si>
    <t>Adjustments for Convertible Securities</t>
  </si>
  <si>
    <t>Diluted Net Income to Common Shareholders</t>
  </si>
  <si>
    <t>Non-GAAP Adjustments</t>
  </si>
  <si>
    <t>Non-GAAP Adjustments for Dilutive Securities</t>
  </si>
  <si>
    <t>Adjusted Net Income</t>
  </si>
  <si>
    <t>Current tax rate</t>
  </si>
  <si>
    <t>Deferred tax rate</t>
  </si>
  <si>
    <t>Earnings Per Share - WAB</t>
  </si>
  <si>
    <t>Earnings Per Share - WAD</t>
  </si>
  <si>
    <t>Adjusted Earnings Per Share - WAD</t>
  </si>
  <si>
    <t>Shares Outstanding - WAB</t>
  </si>
  <si>
    <t>Shares Outstanding - WAD</t>
  </si>
  <si>
    <t>Adjusted Shares Outstanding - WAD</t>
  </si>
  <si>
    <t>Share Count Analysis</t>
  </si>
  <si>
    <t>Last Working Day, date</t>
  </si>
  <si>
    <t>End of Period Stock Price, $/share</t>
  </si>
  <si>
    <t>EoP Common Stock Issued, mm shares</t>
  </si>
  <si>
    <t>EoP Treasury Stock, mm shares</t>
  </si>
  <si>
    <t>EoP Common Stock Outstanding, mm shares</t>
  </si>
  <si>
    <t>EoP Common Stock Outstanding excl. RSAs and RSUs, mm shares</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</si>
  <si>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</si>
  <si>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</si>
  <si>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</si>
  <si>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</si>
  <si>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</si>
  <si>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</si>
  <si>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Dilutive Shares, mm shares</t>
  </si>
  <si>
    <t>Diluted share count to basic share count ratio, x</t>
  </si>
  <si>
    <t>EoP Total Diluted Common Stock Outstanding, mm shares</t>
  </si>
  <si>
    <t>Cumulative BoP Total Stock Options Outstanding, mm options</t>
  </si>
  <si>
    <t>Cumulative Granted Stock Options, mm options</t>
  </si>
  <si>
    <t>Cumulative Exercised Stock Options, mm options</t>
  </si>
  <si>
    <t>Cumulative Forfeited or Canceled Stock Options, mm options</t>
  </si>
  <si>
    <t>Cumulative EoP Total Stock Options Outstanding, mm options</t>
  </si>
  <si>
    <t>BoP Total Stock Options Outstanding, mm options</t>
  </si>
  <si>
    <t>Granted Stock Options, mm options</t>
  </si>
  <si>
    <t>Exercised Stock Options, mm options</t>
  </si>
  <si>
    <t>Forfeited or Canceled Stock Options, mm options</t>
  </si>
  <si>
    <t>EoP Total Stock Options Outstanding, mm options</t>
  </si>
  <si>
    <t>Cumulative BoP Weighted Average Exercise Price, $/share</t>
  </si>
  <si>
    <t>Cumulative Granted Average Exercise Price, $/share</t>
  </si>
  <si>
    <t>Cumulative Exercised Average Exercise Price, $/share</t>
  </si>
  <si>
    <t>Cumulative Forfeited or Canceled Average Exercise Price, $/share</t>
  </si>
  <si>
    <t>Cumulative EoP Weighted Average Exercise Price, $/share</t>
  </si>
  <si>
    <t>BoP Weighted Average Exercise Price, $/share</t>
  </si>
  <si>
    <t>Granted Average Exercise Price, $/share</t>
  </si>
  <si>
    <t>Exercised Average Exercise Price, $/share</t>
  </si>
  <si>
    <t>Forfeited or Canceled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</si>
  <si>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</si>
  <si>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</si>
  <si>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</si>
  <si>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</si>
  <si>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EoP Unvested RSAs and RSUs, mm shares</t>
  </si>
  <si>
    <t>EoP Unvested RSA and RSU Price, $/share</t>
  </si>
  <si>
    <t>EoP ESPP Obligations, mm shares</t>
  </si>
  <si>
    <t>EoP Others, mm shares</t>
  </si>
  <si>
    <t>EoP Potentially Dilutive Securities, mm shares</t>
  </si>
  <si>
    <t>Canalyst EoP Fully Diluted Shares Outstanding, mm shares</t>
  </si>
  <si>
    <t>Cover Page Common Stock Outstanding, mm shares</t>
  </si>
  <si>
    <t>Date of Cover Page Share Count, date</t>
  </si>
  <si>
    <t>Canalyst Cover Page Fully Diluted Shares Outstanding, mm shares</t>
  </si>
  <si>
    <t>Cash Flow Summary</t>
  </si>
  <si>
    <t>Operating Cash Flow before WC</t>
  </si>
  <si>
    <t>Change in Working Capital</t>
  </si>
  <si>
    <t>Operating Cash Flow after WC</t>
  </si>
  <si>
    <t>Cash Flow Per Diluted Share before WC</t>
  </si>
  <si>
    <t>Cash Flow Per Diluted Share</t>
  </si>
  <si>
    <t>Consensus Estimates - Cash Flow Per Diluted Share</t>
  </si>
  <si>
    <t>Capex</t>
  </si>
  <si>
    <t>Divestiture</t>
  </si>
  <si>
    <t>Dividend Paid</t>
  </si>
  <si>
    <t>Dividend Per Share</t>
  </si>
  <si>
    <t>Net Debt Issuance (Repayment)</t>
  </si>
  <si>
    <t>Net Share Issuance (Buybacks)</t>
  </si>
  <si>
    <t>Estimated Share Price for Issuance/Buybacks, USD</t>
  </si>
  <si>
    <t>FCF (before WC), Pre Div</t>
  </si>
  <si>
    <t>FCF (before WC), Post Div, Pre A/D</t>
  </si>
  <si>
    <t>FCF (before WC), Post Div, Post A/D</t>
  </si>
  <si>
    <t>FCF (before WC), Post Div, Debt, Buyback, A/D</t>
  </si>
  <si>
    <t>FCF, Pre Div</t>
  </si>
  <si>
    <t>FCF, Post Div, Pre A/D</t>
  </si>
  <si>
    <t>FCF, Post Div, Post A/D</t>
  </si>
  <si>
    <t>FCF, Post Div, Debt, Buyback, A/D</t>
  </si>
  <si>
    <t>Balance Sheet Summary</t>
  </si>
  <si>
    <t>ST Debt</t>
  </si>
  <si>
    <t>LT Debt</t>
  </si>
  <si>
    <t>Debt</t>
  </si>
  <si>
    <t>Operating Lease Liabilities</t>
  </si>
  <si>
    <t>Net Debt</t>
  </si>
  <si>
    <t>Effective Interest Rate on Debt</t>
  </si>
  <si>
    <t>Interest Income</t>
  </si>
  <si>
    <t>Effective Interest Rate on Cash</t>
  </si>
  <si>
    <t>Net Interest Expense (Income)</t>
  </si>
  <si>
    <t>Effective Net Interest Rate on Debt</t>
  </si>
  <si>
    <t>EBITDA / Net Interest Expense</t>
  </si>
  <si>
    <t>Net Debt / EBITDA</t>
  </si>
  <si>
    <t>Net Debt / Cash Flow</t>
  </si>
  <si>
    <t>Valuation</t>
  </si>
  <si>
    <t>EoP</t>
  </si>
  <si>
    <t>Enterprise Value Components</t>
  </si>
  <si>
    <t>Noncontrolling Interest</t>
  </si>
  <si>
    <t>Preferred Shares</t>
  </si>
  <si>
    <t>Other EV Components</t>
  </si>
  <si>
    <t>Cumulative Cash Flow Statement</t>
  </si>
  <si>
    <t>CFO</t>
  </si>
  <si>
    <t>CFO before WC</t>
  </si>
  <si>
    <t>Net CFO</t>
  </si>
  <si>
    <t>CFI</t>
  </si>
  <si>
    <t>Net CFI</t>
  </si>
  <si>
    <t>CFF</t>
  </si>
  <si>
    <t>Net CFF</t>
  </si>
  <si>
    <t>FX</t>
  </si>
  <si>
    <t>Net Change in Cash Balance</t>
  </si>
  <si>
    <t>Beginning Cash Balance</t>
  </si>
  <si>
    <t>Ending Cash Balance</t>
  </si>
  <si>
    <t>Cash Flow Statement</t>
  </si>
  <si>
    <t>CF Check</t>
  </si>
  <si>
    <t>Working Capital Forecasting</t>
  </si>
  <si>
    <t>Total Account Receivable, % of LTM Sales</t>
  </si>
  <si>
    <t>Inventories, % of LTM Sales</t>
  </si>
  <si>
    <t>Accounts payable, % of LTM Sales</t>
  </si>
  <si>
    <t>Gift card liabilities, % of LTM Sales</t>
  </si>
  <si>
    <t>Other accrued expenses, % of LTM Sales</t>
  </si>
  <si>
    <t>Total Account Receivable, Y/Y Change, %</t>
  </si>
  <si>
    <t>Inventories, Y/Y Change, %</t>
  </si>
  <si>
    <t>Accounts payable, Y/Y Change, %</t>
  </si>
  <si>
    <t>Gift card liabilities, Y/Y Change, %</t>
  </si>
  <si>
    <t>Other accrued expenses, Y/Y Change, %</t>
  </si>
  <si>
    <t>D&amp;A Forecasting</t>
  </si>
  <si>
    <t>PP&amp;E BoP, mm</t>
  </si>
  <si>
    <t>Depreciation of fixed assets, mm</t>
  </si>
  <si>
    <t>Capex of PP&amp;E, mm</t>
  </si>
  <si>
    <t>Other net additions to PP&amp;E, mm</t>
  </si>
  <si>
    <t>PP&amp;E EoP, mm</t>
  </si>
  <si>
    <t>Intangibles BoP, mm</t>
  </si>
  <si>
    <t>Amortization of intangibles, mm</t>
  </si>
  <si>
    <t>Capex of intangibles, mm</t>
  </si>
  <si>
    <t>Other net additions to intangibles, mm</t>
  </si>
  <si>
    <t>Intangibles EoP, mm</t>
  </si>
  <si>
    <t>Depreciation as percentage of PP&amp;E BoP, %</t>
  </si>
  <si>
    <t>Amortization as percentage of Intangibles BoP, %</t>
  </si>
  <si>
    <t>Implied life of fixed assets, yr</t>
  </si>
  <si>
    <t>Implied life of intangibles, yr</t>
  </si>
  <si>
    <t>D&amp;A of PPE and Intangibles, mm</t>
  </si>
  <si>
    <t>Capex of PPE and Intangibles, mm</t>
  </si>
  <si>
    <t>Percentage of capex allocated to intangible assets, %</t>
  </si>
  <si>
    <t>Balance Sheet</t>
  </si>
  <si>
    <t>NCI</t>
  </si>
  <si>
    <t>BS Check</t>
  </si>
  <si>
    <t>Model Checks</t>
  </si>
  <si>
    <t>Net Income on Revised IS = NI on CF statement</t>
  </si>
  <si>
    <t>Net Income on Reported IS = NI on Revised</t>
  </si>
  <si>
    <t>Cash is Positive</t>
  </si>
  <si>
    <t>Debt is Positive</t>
  </si>
  <si>
    <t>Segmented Revenue = Revenue</t>
  </si>
  <si>
    <t>Cash Flow is not Repeated</t>
  </si>
  <si>
    <t>SSS is not Repeated</t>
  </si>
  <si>
    <t>Income Statement is not Repeated</t>
  </si>
  <si>
    <t>Balance Sheet is not Repeated</t>
  </si>
  <si>
    <t>Ending CF = Ending Cumulative CF</t>
  </si>
  <si>
    <t>Capex is Updated</t>
  </si>
  <si>
    <t>Margin is Updated</t>
  </si>
  <si>
    <t>Adjusted Numbers FY = Sum of Qs</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</si>
  <si>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</si>
  <si>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</si>
  <si>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</si>
  <si>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</si>
  <si>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</si>
  <si>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</si>
  <si>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</si>
  <si>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</si>
  <si>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</si>
  <si>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</si>
  <si>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CAKE_US</t>
  </si>
  <si>
    <t>CAKE US</t>
  </si>
  <si>
    <t>NASDAQ:CAKE</t>
  </si>
  <si>
    <t>CAKE-US</t>
  </si>
  <si>
    <t>CAKE.OQ</t>
  </si>
  <si>
    <t>Valuation Toggle Table</t>
  </si>
  <si>
    <t>Avg</t>
  </si>
  <si>
    <t>Key Outputs</t>
  </si>
  <si>
    <t>KPI Data</t>
  </si>
  <si>
    <t>MO_RIS_REV</t>
  </si>
  <si>
    <t>MO_RIS_NI_NONGAAP_Diluted</t>
  </si>
  <si>
    <t>MO_RIS_EPS_WAD_Adj</t>
  </si>
  <si>
    <t>MO_RIS_EBITDA_Adj</t>
  </si>
  <si>
    <t>MO_MA_EBITDA_Adj</t>
  </si>
  <si>
    <t>MO_OS_EmployeeCount</t>
  </si>
  <si>
    <t>MO_KPI_Stores_CompanyOwned</t>
  </si>
  <si>
    <t>MO_KPI_Stores_Franchised</t>
  </si>
  <si>
    <t>MO_KPI_Stores</t>
  </si>
  <si>
    <t>MO_KPI_Sales_SystemWide_LTM</t>
  </si>
  <si>
    <t>MO_KPI_AUV_SystemWide_LTM</t>
  </si>
  <si>
    <t>MO_KPI_Franchise_TotalRate_LTM</t>
  </si>
  <si>
    <t>MO_KPI_RestLevelProfitMargin_LTM</t>
  </si>
  <si>
    <t>MO_KPI_SSSG_CompanyOwned_LTM</t>
  </si>
  <si>
    <t>MO_KPI_NetNewStores</t>
  </si>
  <si>
    <t>MO_KPI_FranchiseStorePerc</t>
  </si>
  <si>
    <t>MO_KPI_REV_Franchise_LTM</t>
  </si>
  <si>
    <t>MO_KPI_ProductCostMargin_LTM</t>
  </si>
  <si>
    <t>MO_KPI_LaborExpenseMargin_LTM</t>
  </si>
  <si>
    <t>MO_KPI_RestLevelProfitMargin_Improvement_LTM</t>
  </si>
  <si>
    <t>MO_KPI_SSSG_AverageCheck_LTM</t>
  </si>
  <si>
    <t>MO_KPI_SSSG_Traffic_LTM</t>
  </si>
  <si>
    <t>Quarterly Guidance Table</t>
  </si>
  <si>
    <t>Reporting Date</t>
  </si>
  <si>
    <t>Applicable Period</t>
  </si>
  <si>
    <t>Annual Guidance Table</t>
  </si>
  <si>
    <t>Is Latest</t>
  </si>
  <si>
    <t>Consensus Estimate Table</t>
  </si>
  <si>
    <t>FY or FQ</t>
  </si>
  <si>
    <t>Period</t>
  </si>
  <si>
    <t>Stock Price Table</t>
  </si>
  <si>
    <t>Fiscal Period Start Date</t>
  </si>
  <si>
    <t>Is Historical Period</t>
  </si>
  <si>
    <t>Real-Time Off Source</t>
  </si>
  <si>
    <t>Bloomberg</t>
  </si>
  <si>
    <t>Capital IQ</t>
  </si>
  <si>
    <t>FactSet</t>
  </si>
  <si>
    <t>Refinitiv</t>
  </si>
  <si>
    <t>Last Working Day In Period</t>
  </si>
  <si>
    <t>Stock Price EoP</t>
  </si>
  <si>
    <t>FX EoP</t>
  </si>
  <si>
    <t>General Table</t>
  </si>
  <si>
    <t>Last Price</t>
  </si>
  <si>
    <t>Last Price Date</t>
  </si>
  <si>
    <t>Real-Time Stock Price</t>
  </si>
  <si>
    <t>Last Price Formula</t>
  </si>
  <si>
    <t>Apply Trade Currency Scaling</t>
  </si>
  <si>
    <t>Trade Currency</t>
  </si>
  <si>
    <t>Trade Currency Hardcoded</t>
  </si>
  <si>
    <t>USD</t>
  </si>
  <si>
    <t>Model Sheet Currency Hardcoded</t>
  </si>
  <si>
    <t>Most Recent FX</t>
  </si>
  <si>
    <t>Most Recent FX Hardcoded</t>
  </si>
  <si>
    <t>MRFP Column Number</t>
  </si>
  <si>
    <t>Most Recent Fiscal Period (MRFP)</t>
  </si>
  <si>
    <t>Current Fiscal Year</t>
  </si>
  <si>
    <t>First Forecast Fiscal Year</t>
  </si>
  <si>
    <t>KPI Count</t>
  </si>
  <si>
    <t>Data Source Index</t>
  </si>
  <si>
    <t>Canalyst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</si>
</sst>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6" formatCode="&quot;$&quot;#,##0_);[Red]\(&quot;$&quot;#,##0\)"/>
    <numFmt numFmtId="8" formatCode="&quot;$&quot;#,##0.00_);[Red]\(&quot;$&quot;#,##0.00\)"/>
    <numFmt numFmtId="44" formatCode="_(&quot;$&quot;* #,##0.00_);_(&quot;$&quot;* \(#,##0.00\);_(&quot;$&quot;* &quot;-&quot;??_);_(@_)"/>
    <numFmt numFmtId="43" formatCode="_(* #,##0.00_);_(* \(#,##0.00\);_(* &quot;-&quot;??_);_(@_)"/>
    <numFmt numFmtId="164" formatCode="_(* #,##0.0_);_(* \(#,##0.0\);_(* &quot;-&quot;??_)"/>
    <numFmt numFmtId="165" formatCode="_(* #,##0.0_);_(* \(#,##0.0\);_(* &quot;-&quot;??_);_(@_)"/>
    <numFmt numFmtId="166" formatCode="_(* #,##0.0_);_(* \(#,##0.0\);_(* &quot;-&quot;??_);_(&quot;Ticker :   &quot;@_)"/>
    <numFmt numFmtId="167" formatCode=";;;"/>
    <numFmt numFmtId="168" formatCode="_(* #,##0.0_);_(* \(#,##0.0\);_(* &quot; - &quot;??_);_(&quot;Last Price (&quot;@&quot;) &quot;_)"/>
    <numFmt numFmtId="169" formatCode="_(&quot;$&quot;* 0.00_);_(&quot;$&quot;* \(0.00\);_(&quot;$&quot;* &quot;-&quot;??_);_(@_)"/>
    <numFmt numFmtId="170" formatCode="_(* #,##0.0_);_(* \(#,##0.0\);_(* &quot;-&quot;??_);_(&quot;Real-Time Stock Price :   &quot;@_)"/>
    <numFmt numFmtId="171" formatCode="_(* #,##0.0_);_(* \(#,##0.0\);_(* &quot;-&quot;??_);_(&quot;Model Sheet Currency :   &quot;@_)"/>
    <numFmt numFmtId="172" formatCode="_(* 0.0%_);_(* \-0.0%_);_(* &quot;-&quot;??_);_(@_)"/>
    <numFmt numFmtId="173" formatCode="_(* #,##0_);_(* \(#,##0\);_(* &quot;-&quot;??_);_(@_)"/>
    <numFmt numFmtId="174" formatCode="_(&quot;$&quot;* #,##0_);_(&quot;$&quot;* \(#,##0\);_(&quot;$&quot;* &quot;-&quot;??_);_(@_)"/>
    <numFmt numFmtId="175" formatCode="_(* 0.0\ \x_);\ _(* &quot;n/a&quot;_);_(* &quot;-&quot;??_);_(@_)"/>
    <numFmt numFmtId="176" formatCode="_(* #,##0.000_);_(* \(#,##0.000\);_(* &quot;-&quot;??_);_(@_)"/>
    <numFmt numFmtId="177" formatCode="_(&quot;$&quot;* 0_);_(&quot;$&quot;* \(0\);_(&quot;$&quot;* &quot;-&quot;??_);_(@_)"/>
    <numFmt numFmtId="178" formatCode="m/dd/yy"/>
    <numFmt numFmtId="179" formatCode="_(&quot;$&quot;* #,##0.00_);_(&quot;$&quot;* \(#,##0.00\);_(&quot;$&quot;* &quot; - &quot;??_);_(@_)"/>
    <numFmt numFmtId="180" formatCode="_(* 0.000\ \x_);\ _(* &quot;n/a&quot;_);_(* &quot;-&quot;??_);_(@_)"/>
    <numFmt numFmtId="181" formatCode="m\-d\-yy"/>
    <numFmt numFmtId="182" formatCode="_(&quot;$&quot;* 0.000_);_(&quot;$&quot;* \(0.000\);_(&quot;$&quot;* &quot;-&quot;??_);_(@_)"/>
    <numFmt numFmtId="183" formatCode="_(&quot;$&quot;* 0.00_);_(&quot;$&quot;* \(0.00\);_(&quot;$&quot;* &quot; - &quot;??_);_(@_)"/>
    <numFmt numFmtId="184" formatCode="_(\$* 0.00_);_(\$* \(0.00\);_(\$* &quot;-&quot;??_);_(@\ * \ &quot;Toggle  &gt;&gt;&gt;&quot;_)"/>
    <numFmt numFmtId="185" formatCode="_(\$* 0.00_);_(\$* \(0.00\);_(\$* &quot; - &quot;??_);_(@_)"/>
    <numFmt numFmtId="186" formatCode="_(* #,##0.0_);_(* \(#,##0.0\);_(* &quot;-&quot;??_);_(&quot;Canalyst Ticker &gt;&gt; &quot;@_)"/>
    <numFmt numFmtId="187" formatCode="_(* #,##0.0_);_(* \(#,##0.0\);_(* &quot;-&quot;??_);_(&quot;Bloomberg &gt;&gt; &quot;@_)"/>
    <numFmt numFmtId="188" formatCode="_(* #,##0.0_);_(* \(#,##0.0\);_(* &quot;-&quot;??_);_(&quot;Capital IQ &gt;&gt; &quot;@_)"/>
    <numFmt numFmtId="189" formatCode="_(* #,##0.0_);_(* \(#,##0.0\);_(* &quot;-&quot;??_);_(&quot;FactSet &gt;&gt; &quot;@_)"/>
    <numFmt numFmtId="190" formatCode="_(* #,##0.0_);_(* \(#,##0.0\);_(* &quot; -&quot;??_);_(&quot;Refinitiv &gt;&gt; &quot;@_)"/>
    <numFmt numFmtId="191" formatCode="_(&quot;$&quot;* #,##0.000_);_(&quot;$&quot;* \(#,##0.000\);_(&quot;$&quot;* &quot;-&quot;??_);_(@_)"/>
    <numFmt numFmtId="192" formatCode="yyyy\-mm\-dd"/>
    <numFmt numFmtId="193" formatCode="[$-409]d\-mmm;@"/>
    <numFmt numFmtId="194" formatCode="#,##0.0\x"/>
    <numFmt numFmtId="195" formatCode="&quot;$&quot;#,##0.00"/>
    <numFmt numFmtId="196" formatCode="0.0.\x"/>
    <numFmt numFmtId="197" formatCode="0.00_);\(0.00\)"/>
    <numFmt numFmtId="198" formatCode="0.00\x"/>
    <numFmt numFmtId="199" formatCode="0.0%"/>
    <numFmt numFmtId="200" formatCode="0.0\x"/>
    <numFmt numFmtId="201" formatCode="_(* #,##0.0000_);_(* \(#,##0.0000\);_(* &quot;-&quot;??_);_(@_)"/>
    <numFmt numFmtId="202" formatCode="0.0"/>
    <numFmt numFmtId="203" formatCode="_(&quot;$&quot;* #,##0.0_);_(&quot;$&quot;* \(#,##0.0\);_(&quot;$&quot;* &quot;-&quot;??_);_(@_)"/>
    <numFmt numFmtId="204" formatCode="0.0\×"/>
    <numFmt numFmtId="205" formatCode="0.00\×"/>
  </numFmts>
  <fonts count="62" x14ac:knownFonts="1">
    <font>
      <sz val="11"/>
      <color theme="1"/>
      <name val="Aptos Narrow"/>
      <family val="2"/>
      <scheme val="minor"/>
    </font>
    <font>
      <b/>
      <sz val="11"/>
      <color theme="1"/>
      <name val="Aptos Narrow"/>
      <family val="2"/>
      <scheme val="minor"/>
    </font>
    <font>
      <sz val="11"/>
      <color rgb="FF000000"/>
      <name val="Aptos Narrow"/>
      <family val="2"/>
      <scheme val="minor"/>
    </font>
    <font>
      <u/>
      <sz val="20"/>
      <color theme="10"/>
      <name val="Calibri"/>
      <family val="2"/>
    </font>
    <font>
      <sz val="11"/>
      <color rgb="FF000000"/>
      <name val="Calibri"/>
      <family val="2"/>
    </font>
    <font>
      <sz val="11"/>
      <color theme="1"/>
      <name val="Calibri"/>
      <family val="2"/>
    </font>
    <font>
      <b/>
      <sz val="11"/>
      <color theme="1"/>
      <name val="Calibri"/>
      <family val="2"/>
    </font>
    <font>
      <b/>
      <sz val="11"/>
      <color rgb="FF0000FC"/>
      <name val="Calibri"/>
      <family val="2"/>
    </font>
    <font>
      <b/>
      <sz val="11"/>
      <color rgb="FF000000"/>
      <name val="Calibri"/>
      <family val="2"/>
    </font>
    <font>
      <sz val="11"/>
      <color rgb="FF0000FC"/>
      <name val="Calibri"/>
      <family val="2"/>
    </font>
    <font>
      <b/>
      <sz val="11"/>
      <color rgb="FFFFFFFF"/>
      <name val="Calibri"/>
      <family val="2"/>
    </font>
    <font>
      <i/>
      <sz val="11"/>
      <color theme="1"/>
      <name val="Calibri"/>
      <family val="2"/>
    </font>
    <font>
      <i/>
      <sz val="11"/>
      <color rgb="FF000000"/>
      <name val="Calibri"/>
      <family val="2"/>
    </font>
    <font>
      <i/>
      <sz val="11"/>
      <color rgb="FF0000FC"/>
      <name val="Calibri"/>
      <family val="2"/>
    </font>
    <font>
      <b/>
      <i/>
      <sz val="11"/>
      <color rgb="FF000000"/>
      <name val="Calibri"/>
      <family val="2"/>
    </font>
    <font>
      <b/>
      <i/>
      <sz val="11"/>
      <color theme="1"/>
      <name val="Calibri"/>
      <family val="2"/>
    </font>
    <font>
      <b/>
      <i/>
      <sz val="11"/>
      <color rgb="FF0000FC"/>
      <name val="Calibri"/>
      <family val="2"/>
    </font>
    <font>
      <sz val="11"/>
      <color rgb="FFFFFFFF"/>
      <name val="Calibri"/>
      <family val="2"/>
    </font>
    <font>
      <b/>
      <i/>
      <sz val="11"/>
      <color theme="1"/>
      <name val="Aptos Narrow"/>
      <family val="2"/>
      <scheme val="minor"/>
    </font>
    <font>
      <i/>
      <sz val="11"/>
      <color theme="1"/>
      <name val="Aptos Narrow"/>
      <family val="2"/>
      <scheme val="minor"/>
    </font>
    <font>
      <sz val="11"/>
      <color theme="1"/>
      <name val="Aptos Narrow"/>
      <family val="2"/>
      <scheme val="minor"/>
    </font>
    <font>
      <sz val="11"/>
      <color rgb="FF0000FC"/>
      <name val="Aptos Narrow"/>
      <family val="2"/>
      <scheme val="minor"/>
    </font>
    <font>
      <b/>
      <sz val="11"/>
      <color rgb="FF000000"/>
      <name val="Aptos Narrow"/>
      <family val="2"/>
      <scheme val="minor"/>
    </font>
    <font>
      <b/>
      <sz val="11"/>
      <color rgb="FF0000FC"/>
      <name val="Aptos Narrow"/>
      <family val="2"/>
      <scheme val="minor"/>
    </font>
    <font>
      <sz val="11"/>
      <color theme="1"/>
      <name val="Aptos Narrow"/>
      <family val="2"/>
      <scheme val="minor"/>
    </font>
    <font>
      <i/>
      <sz val="11"/>
      <color theme="1"/>
      <name val="Arial"/>
      <family val="2"/>
    </font>
    <font>
      <sz val="11"/>
      <color theme="1"/>
      <name val="Arial"/>
      <family val="2"/>
    </font>
    <font>
      <sz val="11"/>
      <color theme="9"/>
      <name val="Aptos Narrow"/>
      <family val="2"/>
      <scheme val="minor"/>
    </font>
    <font>
      <sz val="11"/>
      <color rgb="FF0070C0"/>
      <name val="Aptos Narrow"/>
      <family val="2"/>
      <scheme val="minor"/>
    </font>
    <font>
      <u val="double"/>
      <sz val="11"/>
      <color theme="1"/>
      <name val="Aptos Narrow"/>
      <family val="2"/>
      <scheme val="minor"/>
    </font>
    <font>
      <i/>
      <sz val="12"/>
      <color theme="1"/>
      <name val="Arial"/>
      <family val="2"/>
    </font>
    <font>
      <sz val="12"/>
      <color theme="1"/>
      <name val="Arial"/>
      <family val="2"/>
    </font>
    <font>
      <b/>
      <sz val="12"/>
      <color theme="1"/>
      <name val="Arial"/>
      <family val="2"/>
    </font>
    <font>
      <sz val="12"/>
      <color theme="9"/>
      <name val="Arial"/>
      <family val="2"/>
    </font>
    <font>
      <b/>
      <sz val="12"/>
      <color theme="9"/>
      <name val="Arial"/>
      <family val="2"/>
    </font>
    <font>
      <sz val="12"/>
      <color theme="9" tint="-0.249977111117893"/>
      <name val="Arial"/>
      <family val="2"/>
    </font>
    <font>
      <b/>
      <sz val="11"/>
      <color theme="1"/>
      <name val="Arial"/>
      <family val="2"/>
    </font>
    <font>
      <sz val="11"/>
      <color theme="9"/>
      <name val="Arial"/>
      <family val="2"/>
    </font>
    <font>
      <sz val="11"/>
      <color theme="0"/>
      <name val="Arial"/>
      <family val="2"/>
    </font>
    <font>
      <sz val="11"/>
      <name val="Aptos Narrow"/>
      <family val="2"/>
      <scheme val="minor"/>
    </font>
    <font>
      <sz val="11"/>
      <color rgb="FF000000"/>
      <name val="Aptos Narrow"/>
      <family val="2"/>
    </font>
    <font>
      <sz val="11"/>
      <color theme="0"/>
      <name val="Aptos Narrow"/>
      <family val="2"/>
      <scheme val="minor"/>
    </font>
    <font>
      <sz val="11"/>
      <color theme="9"/>
      <name val="Calibri"/>
      <family val="2"/>
    </font>
    <font>
      <sz val="11"/>
      <color rgb="FF0070C0"/>
      <name val="Calibri"/>
      <family val="2"/>
    </font>
    <font>
      <b/>
      <i/>
      <sz val="11"/>
      <color theme="1"/>
      <name val="Arial"/>
      <family val="2"/>
    </font>
    <font>
      <sz val="11"/>
      <color rgb="FF000000"/>
      <name val="Arial"/>
      <family val="2"/>
    </font>
    <font>
      <b/>
      <i/>
      <sz val="16"/>
      <color theme="1"/>
      <name val="Arial"/>
      <family val="2"/>
    </font>
    <font>
      <b/>
      <sz val="11"/>
      <color rgb="FF000000"/>
      <name val="Arial"/>
      <family val="2"/>
    </font>
    <font>
      <sz val="11"/>
      <color theme="9" tint="-0.249977111117893"/>
      <name val="Arial"/>
      <family val="2"/>
    </font>
    <font>
      <sz val="11"/>
      <color rgb="FF0000FC"/>
      <name val="Arial"/>
      <family val="2"/>
    </font>
    <font>
      <sz val="11"/>
      <name val="Arial"/>
      <family val="2"/>
    </font>
    <font>
      <b/>
      <sz val="11"/>
      <color rgb="FF0000FC"/>
      <name val="Arial"/>
      <family val="2"/>
    </font>
    <font>
      <sz val="11"/>
      <color rgb="FF00B050"/>
      <name val="Arial"/>
      <family val="2"/>
    </font>
    <font>
      <i/>
      <sz val="11"/>
      <color rgb="FF000000"/>
      <name val="Arial"/>
      <family val="2"/>
    </font>
    <font>
      <b/>
      <sz val="11"/>
      <color theme="0"/>
      <name val="Calibri"/>
      <family val="2"/>
    </font>
    <font>
      <sz val="11"/>
      <color rgb="FF000000"/>
      <name val="Aptos Narrow"/>
    </font>
    <font>
      <b/>
      <sz val="36"/>
      <color rgb="FF000000"/>
      <name val="Aptos Narrow"/>
    </font>
    <font>
      <sz val="36"/>
      <color rgb="FF000000"/>
      <name val="Aptos Narrow"/>
    </font>
    <font>
      <b/>
      <i/>
      <sz val="20"/>
      <color rgb="FF000000"/>
      <name val="Aptos Narrow"/>
    </font>
    <font>
      <b/>
      <sz val="18"/>
      <color rgb="FF000000"/>
      <name val="Aptos Narrow"/>
    </font>
    <font>
      <sz val="16"/>
      <color rgb="FF000000"/>
      <name val="Aptos Narrow"/>
    </font>
    <font>
      <sz val="18"/>
      <color rgb="FF000000"/>
      <name val="Aptos Narrow"/>
    </font>
  </fonts>
  <fills count="27">
    <fill>
      <patternFill patternType="none"/>
    </fill>
    <fill>
      <patternFill patternType="gray125"/>
    </fill>
    <fill>
      <patternFill patternType="solid">
        <fgColor rgb="FFFFFFFF"/>
        <bgColor rgb="FFFFFFFF"/>
      </patternFill>
    </fill>
    <fill>
      <patternFill patternType="solid">
        <fgColor rgb="FFF2F2F2"/>
        <bgColor rgb="FFF2F2F2"/>
      </patternFill>
    </fill>
    <fill>
      <patternFill patternType="solid">
        <fgColor rgb="FF000000"/>
        <bgColor rgb="FF000000"/>
      </patternFill>
    </fill>
    <fill>
      <patternFill patternType="solid">
        <fgColor rgb="FFC6EFCE"/>
        <bgColor rgb="FFC6EFCE"/>
      </patternFill>
    </fill>
    <fill>
      <patternFill patternType="solid">
        <fgColor theme="3" tint="0.89999084444715716"/>
        <bgColor indexed="64"/>
      </patternFill>
    </fill>
    <fill>
      <patternFill patternType="solid">
        <fgColor theme="3" tint="0.89999084444715716"/>
        <bgColor rgb="FFFFFFFF"/>
      </patternFill>
    </fill>
    <fill>
      <patternFill patternType="solid">
        <fgColor theme="3" tint="0.89999084444715716"/>
        <bgColor rgb="FFF2F2F2"/>
      </patternFill>
    </fill>
    <fill>
      <patternFill patternType="solid">
        <fgColor rgb="FFEFF7FA"/>
        <bgColor rgb="FFFFFFFF"/>
      </patternFill>
    </fill>
    <fill>
      <patternFill patternType="solid">
        <fgColor rgb="FFEFF7FA"/>
        <bgColor indexed="64"/>
      </patternFill>
    </fill>
    <fill>
      <patternFill patternType="solid">
        <fgColor rgb="FFEFF7FA"/>
        <bgColor rgb="FFF2F2F2"/>
      </patternFill>
    </fill>
    <fill>
      <patternFill patternType="solid">
        <fgColor rgb="FFF7FBFD"/>
        <bgColor rgb="FFF2F2F2"/>
      </patternFill>
    </fill>
    <fill>
      <patternFill patternType="solid">
        <fgColor rgb="FFF7FBFD"/>
        <bgColor rgb="FFFFFFFF"/>
      </patternFill>
    </fill>
    <fill>
      <patternFill patternType="solid">
        <fgColor rgb="FFF7FBFD"/>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bgColor rgb="FFFFFFFF"/>
      </patternFill>
    </fill>
    <fill>
      <patternFill patternType="solid">
        <fgColor theme="3" tint="0.749992370372631"/>
        <bgColor indexed="64"/>
      </patternFill>
    </fill>
    <fill>
      <patternFill patternType="solid">
        <fgColor rgb="FFFFFF00"/>
        <bgColor indexed="64"/>
      </patternFill>
    </fill>
    <fill>
      <patternFill patternType="solid">
        <fgColor rgb="FFC0E6F5"/>
        <bgColor indexed="64"/>
      </patternFill>
    </fill>
    <fill>
      <patternFill patternType="solid">
        <fgColor rgb="FFDAE9F8"/>
        <bgColor rgb="FFF2F2F2"/>
      </patternFill>
    </fill>
    <fill>
      <patternFill patternType="solid">
        <fgColor rgb="FFDAE9F8"/>
        <bgColor indexed="64"/>
      </patternFill>
    </fill>
    <fill>
      <patternFill patternType="solid">
        <fgColor rgb="FFDAE9F8"/>
        <bgColor rgb="FFFFFFFF"/>
      </patternFill>
    </fill>
    <fill>
      <patternFill patternType="solid">
        <fgColor theme="1" tint="0.249977111117893"/>
        <bgColor indexed="64"/>
      </patternFill>
    </fill>
    <fill>
      <patternFill patternType="solid">
        <fgColor rgb="FFDAE9F8"/>
        <bgColor rgb="FF000000"/>
      </patternFill>
    </fill>
  </fills>
  <borders count="76">
    <border>
      <left/>
      <right/>
      <top/>
      <bottom/>
      <diagonal/>
    </border>
    <border>
      <left/>
      <right style="thick">
        <color rgb="FF000000"/>
      </right>
      <top/>
      <bottom/>
      <diagonal/>
    </border>
    <border>
      <left/>
      <right/>
      <top/>
      <bottom style="thin">
        <color rgb="FF000000"/>
      </bottom>
      <diagonal/>
    </border>
    <border>
      <left/>
      <right style="thick">
        <color rgb="FF000000"/>
      </right>
      <top/>
      <bottom style="thin">
        <color rgb="FF000000"/>
      </bottom>
      <diagonal/>
    </border>
    <border>
      <left/>
      <right/>
      <top style="thin">
        <color rgb="FF000000"/>
      </top>
      <bottom/>
      <diagonal/>
    </border>
    <border>
      <left/>
      <right style="thick">
        <color rgb="FF000000"/>
      </right>
      <top style="thin">
        <color rgb="FF000000"/>
      </top>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diagonal/>
    </border>
    <border>
      <left style="medium">
        <color rgb="FF000000"/>
      </left>
      <right/>
      <top/>
      <bottom style="thin">
        <color rgb="FF000000"/>
      </bottom>
      <diagonal/>
    </border>
    <border>
      <left/>
      <right style="medium">
        <color rgb="FF000000"/>
      </right>
      <top style="thin">
        <color rgb="FF000000"/>
      </top>
      <bottom/>
      <diagonal/>
    </border>
    <border>
      <left style="medium">
        <color rgb="FF000000"/>
      </left>
      <right/>
      <top style="thin">
        <color rgb="FF000000"/>
      </top>
      <bottom/>
      <diagonal/>
    </border>
    <border>
      <left/>
      <right style="medium">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rgb="FF000000"/>
      </top>
      <bottom/>
      <diagonal/>
    </border>
    <border>
      <left style="medium">
        <color indexed="64"/>
      </left>
      <right/>
      <top/>
      <bottom style="thin">
        <color rgb="FF000000"/>
      </bottom>
      <diagonal/>
    </border>
    <border>
      <left style="medium">
        <color indexed="64"/>
      </left>
      <right/>
      <top/>
      <bottom style="medium">
        <color rgb="FF000000"/>
      </bottom>
      <diagonal/>
    </border>
    <border>
      <left/>
      <right style="medium">
        <color indexed="64"/>
      </right>
      <top/>
      <bottom style="thin">
        <color rgb="FF000000"/>
      </bottom>
      <diagonal/>
    </border>
    <border>
      <left/>
      <right style="medium">
        <color indexed="64"/>
      </right>
      <top style="thin">
        <color indexed="64"/>
      </top>
      <bottom/>
      <diagonal/>
    </border>
    <border>
      <left style="thin">
        <color indexed="64"/>
      </left>
      <right/>
      <top style="medium">
        <color indexed="64"/>
      </top>
      <bottom/>
      <diagonal/>
    </border>
  </borders>
  <cellStyleXfs count="5">
    <xf numFmtId="0" fontId="0" fillId="0" borderId="0"/>
    <xf numFmtId="0" fontId="2" fillId="0" borderId="0"/>
    <xf numFmtId="44" fontId="24" fillId="0" borderId="0" applyFont="0" applyFill="0" applyBorder="0" applyAlignment="0" applyProtection="0"/>
    <xf numFmtId="43" fontId="24" fillId="0" borderId="0" applyFont="0" applyFill="0" applyBorder="0" applyAlignment="0" applyProtection="0"/>
    <xf numFmtId="9" fontId="24" fillId="0" borderId="0" applyFont="0" applyFill="0" applyBorder="0" applyAlignment="0" applyProtection="0"/>
  </cellStyleXfs>
  <cellXfs count="1575">
    <xf numFmtId="0" fontId="0" fillId="0" borderId="0" xfId="0"/>
    <xf numFmtId="164" fontId="3" fillId="2" borderId="0" xfId="1" applyNumberFormat="1" applyFont="1" applyFill="1" applyAlignment="1">
      <alignment horizontal="left"/>
    </xf>
    <xf numFmtId="165" fontId="4" fillId="2" borderId="0" xfId="1" applyNumberFormat="1" applyFont="1" applyFill="1"/>
    <xf numFmtId="165" fontId="4" fillId="2" borderId="1" xfId="1" applyNumberFormat="1" applyFont="1" applyFill="1" applyBorder="1"/>
    <xf numFmtId="165" fontId="5" fillId="2" borderId="0" xfId="1" applyNumberFormat="1" applyFont="1" applyFill="1"/>
    <xf numFmtId="0" fontId="2" fillId="0" borderId="0" xfId="1"/>
    <xf numFmtId="166" fontId="5" fillId="2" borderId="0" xfId="1" applyNumberFormat="1" applyFont="1" applyFill="1" applyAlignment="1">
      <alignment horizontal="left"/>
    </xf>
    <xf numFmtId="164" fontId="4" fillId="2" borderId="0" xfId="1" applyNumberFormat="1" applyFont="1" applyFill="1" applyAlignment="1">
      <alignment horizontal="center"/>
    </xf>
    <xf numFmtId="167" fontId="5" fillId="2" borderId="0" xfId="1" applyNumberFormat="1" applyFont="1" applyFill="1"/>
    <xf numFmtId="0" fontId="4" fillId="2" borderId="0" xfId="1" applyFont="1" applyFill="1"/>
    <xf numFmtId="0" fontId="4" fillId="2" borderId="1" xfId="1" applyFont="1" applyFill="1" applyBorder="1"/>
    <xf numFmtId="0" fontId="6" fillId="2" borderId="0" xfId="1" applyFont="1" applyFill="1"/>
    <xf numFmtId="168" fontId="6" fillId="2" borderId="0" xfId="1" applyNumberFormat="1" applyFont="1" applyFill="1" applyAlignment="1">
      <alignment horizontal="left"/>
    </xf>
    <xf numFmtId="169" fontId="6" fillId="2" borderId="0" xfId="1" applyNumberFormat="1" applyFont="1" applyFill="1" applyAlignment="1">
      <alignment horizontal="center"/>
    </xf>
    <xf numFmtId="1" fontId="7" fillId="3" borderId="0" xfId="1" applyNumberFormat="1" applyFont="1" applyFill="1" applyAlignment="1">
      <alignment horizontal="center"/>
    </xf>
    <xf numFmtId="1" fontId="6" fillId="3" borderId="0" xfId="1" applyNumberFormat="1" applyFont="1" applyFill="1" applyAlignment="1">
      <alignment horizontal="center"/>
    </xf>
    <xf numFmtId="1" fontId="6" fillId="2" borderId="0" xfId="1" applyNumberFormat="1" applyFont="1" applyFill="1" applyAlignment="1">
      <alignment horizontal="center"/>
    </xf>
    <xf numFmtId="1" fontId="8" fillId="3" borderId="0" xfId="1" applyNumberFormat="1" applyFont="1" applyFill="1" applyAlignment="1">
      <alignment horizontal="center"/>
    </xf>
    <xf numFmtId="1" fontId="8" fillId="3" borderId="1" xfId="1" applyNumberFormat="1" applyFont="1" applyFill="1" applyBorder="1" applyAlignment="1">
      <alignment horizontal="center"/>
    </xf>
    <xf numFmtId="1" fontId="7" fillId="2" borderId="0" xfId="1" applyNumberFormat="1" applyFont="1" applyFill="1" applyAlignment="1">
      <alignment horizontal="center"/>
    </xf>
    <xf numFmtId="165" fontId="6" fillId="2" borderId="0" xfId="1" applyNumberFormat="1" applyFont="1" applyFill="1" applyAlignment="1">
      <alignment horizontal="center"/>
    </xf>
    <xf numFmtId="170" fontId="6" fillId="2" borderId="0" xfId="1" applyNumberFormat="1" applyFont="1" applyFill="1"/>
    <xf numFmtId="0" fontId="6" fillId="2" borderId="0" xfId="1" applyFont="1" applyFill="1" applyAlignment="1">
      <alignment horizontal="center"/>
    </xf>
    <xf numFmtId="17" fontId="9" fillId="3" borderId="0" xfId="1" applyNumberFormat="1" applyFont="1" applyFill="1" applyAlignment="1">
      <alignment horizontal="center"/>
    </xf>
    <xf numFmtId="17" fontId="9" fillId="2" borderId="0" xfId="1" applyNumberFormat="1" applyFont="1" applyFill="1" applyAlignment="1">
      <alignment horizontal="center"/>
    </xf>
    <xf numFmtId="17" fontId="4" fillId="2" borderId="0" xfId="1" applyNumberFormat="1" applyFont="1" applyFill="1" applyAlignment="1">
      <alignment horizontal="center"/>
    </xf>
    <xf numFmtId="17" fontId="5" fillId="2" borderId="0" xfId="1" applyNumberFormat="1" applyFont="1" applyFill="1" applyAlignment="1">
      <alignment horizontal="center"/>
    </xf>
    <xf numFmtId="17" fontId="9" fillId="3" borderId="1" xfId="1" applyNumberFormat="1" applyFont="1" applyFill="1" applyBorder="1" applyAlignment="1">
      <alignment horizontal="center"/>
    </xf>
    <xf numFmtId="17" fontId="4" fillId="3" borderId="0" xfId="1" applyNumberFormat="1" applyFont="1" applyFill="1" applyAlignment="1">
      <alignment horizontal="center"/>
    </xf>
    <xf numFmtId="0" fontId="5" fillId="2" borderId="0" xfId="1" applyFont="1" applyFill="1"/>
    <xf numFmtId="171" fontId="6" fillId="2" borderId="0" xfId="1" applyNumberFormat="1" applyFont="1" applyFill="1"/>
    <xf numFmtId="0" fontId="8" fillId="2" borderId="0" xfId="1" applyFont="1" applyFill="1" applyAlignment="1">
      <alignment horizontal="center"/>
    </xf>
    <xf numFmtId="0" fontId="7" fillId="3" borderId="0" xfId="1" applyFont="1" applyFill="1" applyAlignment="1">
      <alignment horizontal="center"/>
    </xf>
    <xf numFmtId="0" fontId="8" fillId="3" borderId="0" xfId="1" applyFont="1" applyFill="1" applyAlignment="1">
      <alignment horizontal="center"/>
    </xf>
    <xf numFmtId="0" fontId="8" fillId="3" borderId="1" xfId="1" applyFont="1" applyFill="1" applyBorder="1" applyAlignment="1">
      <alignment horizontal="center"/>
    </xf>
    <xf numFmtId="172" fontId="10" fillId="4" borderId="0" xfId="1" applyNumberFormat="1" applyFont="1" applyFill="1"/>
    <xf numFmtId="172" fontId="10" fillId="4" borderId="1" xfId="1" applyNumberFormat="1" applyFont="1" applyFill="1" applyBorder="1"/>
    <xf numFmtId="172" fontId="6" fillId="2" borderId="0" xfId="1" applyNumberFormat="1" applyFont="1" applyFill="1"/>
    <xf numFmtId="172" fontId="5" fillId="2" borderId="0" xfId="1" applyNumberFormat="1" applyFont="1" applyFill="1" applyAlignment="1">
      <alignment horizontal="left"/>
    </xf>
    <xf numFmtId="172" fontId="4" fillId="2" borderId="0" xfId="1" applyNumberFormat="1" applyFont="1" applyFill="1"/>
    <xf numFmtId="172" fontId="4" fillId="3" borderId="0" xfId="1" applyNumberFormat="1" applyFont="1" applyFill="1" applyAlignment="1">
      <alignment horizontal="right"/>
    </xf>
    <xf numFmtId="172" fontId="4" fillId="2" borderId="0" xfId="1" applyNumberFormat="1" applyFont="1" applyFill="1" applyAlignment="1">
      <alignment horizontal="right"/>
    </xf>
    <xf numFmtId="172" fontId="5" fillId="2" borderId="0" xfId="1" applyNumberFormat="1" applyFont="1" applyFill="1" applyAlignment="1">
      <alignment horizontal="right"/>
    </xf>
    <xf numFmtId="172" fontId="5" fillId="3" borderId="0" xfId="1" applyNumberFormat="1" applyFont="1" applyFill="1" applyAlignment="1">
      <alignment horizontal="right"/>
    </xf>
    <xf numFmtId="172" fontId="5" fillId="3" borderId="1" xfId="1" applyNumberFormat="1" applyFont="1" applyFill="1" applyBorder="1" applyAlignment="1">
      <alignment horizontal="right"/>
    </xf>
    <xf numFmtId="172" fontId="5" fillId="2" borderId="0" xfId="1" applyNumberFormat="1" applyFont="1" applyFill="1"/>
    <xf numFmtId="172" fontId="4" fillId="3" borderId="1" xfId="1" applyNumberFormat="1" applyFont="1" applyFill="1" applyBorder="1" applyAlignment="1">
      <alignment horizontal="right"/>
    </xf>
    <xf numFmtId="172" fontId="4" fillId="2" borderId="0" xfId="1" applyNumberFormat="1" applyFont="1" applyFill="1" applyAlignment="1">
      <alignment horizontal="left"/>
    </xf>
    <xf numFmtId="172" fontId="9" fillId="2" borderId="0" xfId="1" applyNumberFormat="1" applyFont="1" applyFill="1" applyAlignment="1">
      <alignment horizontal="right"/>
    </xf>
    <xf numFmtId="172" fontId="9" fillId="3" borderId="0" xfId="1" applyNumberFormat="1" applyFont="1" applyFill="1" applyAlignment="1">
      <alignment horizontal="right"/>
    </xf>
    <xf numFmtId="172" fontId="5" fillId="2" borderId="2" xfId="1" applyNumberFormat="1" applyFont="1" applyFill="1" applyBorder="1" applyAlignment="1">
      <alignment horizontal="left"/>
    </xf>
    <xf numFmtId="172" fontId="4" fillId="2" borderId="2" xfId="1" applyNumberFormat="1" applyFont="1" applyFill="1" applyBorder="1"/>
    <xf numFmtId="172" fontId="4" fillId="3" borderId="2" xfId="1" applyNumberFormat="1" applyFont="1" applyFill="1" applyBorder="1" applyAlignment="1">
      <alignment horizontal="right"/>
    </xf>
    <xf numFmtId="172" fontId="4" fillId="2" borderId="2" xfId="1" applyNumberFormat="1" applyFont="1" applyFill="1" applyBorder="1" applyAlignment="1">
      <alignment horizontal="right"/>
    </xf>
    <xf numFmtId="172" fontId="5" fillId="2" borderId="2" xfId="1" applyNumberFormat="1" applyFont="1" applyFill="1" applyBorder="1" applyAlignment="1">
      <alignment horizontal="right"/>
    </xf>
    <xf numFmtId="172" fontId="5" fillId="3" borderId="2" xfId="1" applyNumberFormat="1" applyFont="1" applyFill="1" applyBorder="1" applyAlignment="1">
      <alignment horizontal="right"/>
    </xf>
    <xf numFmtId="172" fontId="5" fillId="3" borderId="3" xfId="1" applyNumberFormat="1" applyFont="1" applyFill="1" applyBorder="1" applyAlignment="1">
      <alignment horizontal="right"/>
    </xf>
    <xf numFmtId="172" fontId="4" fillId="2" borderId="2" xfId="1" applyNumberFormat="1" applyFont="1" applyFill="1" applyBorder="1" applyAlignment="1">
      <alignment horizontal="left"/>
    </xf>
    <xf numFmtId="172" fontId="4" fillId="3" borderId="3" xfId="1" applyNumberFormat="1" applyFont="1" applyFill="1" applyBorder="1" applyAlignment="1">
      <alignment horizontal="right"/>
    </xf>
    <xf numFmtId="172" fontId="6" fillId="2" borderId="4" xfId="1" applyNumberFormat="1" applyFont="1" applyFill="1" applyBorder="1" applyAlignment="1">
      <alignment horizontal="left"/>
    </xf>
    <xf numFmtId="172" fontId="8" fillId="2" borderId="4" xfId="1" applyNumberFormat="1" applyFont="1" applyFill="1" applyBorder="1"/>
    <xf numFmtId="172" fontId="8" fillId="3" borderId="4" xfId="1" applyNumberFormat="1" applyFont="1" applyFill="1" applyBorder="1" applyAlignment="1">
      <alignment horizontal="right"/>
    </xf>
    <xf numFmtId="172" fontId="6" fillId="3" borderId="4" xfId="1" applyNumberFormat="1" applyFont="1" applyFill="1" applyBorder="1" applyAlignment="1">
      <alignment horizontal="right"/>
    </xf>
    <xf numFmtId="172" fontId="8" fillId="2" borderId="4" xfId="1" applyNumberFormat="1" applyFont="1" applyFill="1" applyBorder="1" applyAlignment="1">
      <alignment horizontal="right"/>
    </xf>
    <xf numFmtId="172" fontId="6" fillId="2" borderId="4" xfId="1" applyNumberFormat="1" applyFont="1" applyFill="1" applyBorder="1" applyAlignment="1">
      <alignment horizontal="right"/>
    </xf>
    <xf numFmtId="172" fontId="6" fillId="3" borderId="5" xfId="1" applyNumberFormat="1" applyFont="1" applyFill="1" applyBorder="1" applyAlignment="1">
      <alignment horizontal="right"/>
    </xf>
    <xf numFmtId="172" fontId="8" fillId="2" borderId="0" xfId="1" applyNumberFormat="1" applyFont="1" applyFill="1" applyAlignment="1">
      <alignment horizontal="left"/>
    </xf>
    <xf numFmtId="172" fontId="8" fillId="2" borderId="0" xfId="1" applyNumberFormat="1" applyFont="1" applyFill="1"/>
    <xf numFmtId="172" fontId="8" fillId="3" borderId="0" xfId="1" applyNumberFormat="1" applyFont="1" applyFill="1" applyAlignment="1">
      <alignment horizontal="right"/>
    </xf>
    <xf numFmtId="172" fontId="8" fillId="2" borderId="0" xfId="1" applyNumberFormat="1" applyFont="1" applyFill="1" applyAlignment="1">
      <alignment horizontal="right"/>
    </xf>
    <xf numFmtId="172" fontId="8" fillId="3" borderId="1" xfId="1" applyNumberFormat="1" applyFont="1" applyFill="1" applyBorder="1" applyAlignment="1">
      <alignment horizontal="right"/>
    </xf>
    <xf numFmtId="172" fontId="9" fillId="3" borderId="1" xfId="1" applyNumberFormat="1" applyFont="1" applyFill="1" applyBorder="1" applyAlignment="1">
      <alignment horizontal="right"/>
    </xf>
    <xf numFmtId="172" fontId="9" fillId="3" borderId="2" xfId="1" applyNumberFormat="1" applyFont="1" applyFill="1" applyBorder="1" applyAlignment="1">
      <alignment horizontal="right"/>
    </xf>
    <xf numFmtId="172" fontId="9" fillId="2" borderId="2" xfId="1" applyNumberFormat="1" applyFont="1" applyFill="1" applyBorder="1" applyAlignment="1">
      <alignment horizontal="right"/>
    </xf>
    <xf numFmtId="172" fontId="9" fillId="3" borderId="3" xfId="1" applyNumberFormat="1" applyFont="1" applyFill="1" applyBorder="1" applyAlignment="1">
      <alignment horizontal="right"/>
    </xf>
    <xf numFmtId="172" fontId="4" fillId="2" borderId="4" xfId="1" applyNumberFormat="1" applyFont="1" applyFill="1" applyBorder="1" applyAlignment="1">
      <alignment horizontal="left"/>
    </xf>
    <xf numFmtId="172" fontId="4" fillId="2" borderId="4" xfId="1" applyNumberFormat="1" applyFont="1" applyFill="1" applyBorder="1"/>
    <xf numFmtId="172" fontId="4" fillId="3" borderId="4" xfId="1" applyNumberFormat="1" applyFont="1" applyFill="1" applyBorder="1" applyAlignment="1">
      <alignment horizontal="right"/>
    </xf>
    <xf numFmtId="172" fontId="4" fillId="2" borderId="4" xfId="1" applyNumberFormat="1" applyFont="1" applyFill="1" applyBorder="1" applyAlignment="1">
      <alignment horizontal="right"/>
    </xf>
    <xf numFmtId="172" fontId="4" fillId="3" borderId="5" xfId="1" applyNumberFormat="1" applyFont="1" applyFill="1" applyBorder="1" applyAlignment="1">
      <alignment horizontal="right"/>
    </xf>
    <xf numFmtId="172" fontId="9" fillId="2" borderId="4" xfId="1" applyNumberFormat="1" applyFont="1" applyFill="1" applyBorder="1" applyAlignment="1">
      <alignment horizontal="right"/>
    </xf>
    <xf numFmtId="165" fontId="10" fillId="4" borderId="0" xfId="1" applyNumberFormat="1" applyFont="1" applyFill="1"/>
    <xf numFmtId="165" fontId="10" fillId="4" borderId="1" xfId="1" applyNumberFormat="1" applyFont="1" applyFill="1" applyBorder="1"/>
    <xf numFmtId="165" fontId="6" fillId="2" borderId="0" xfId="1" applyNumberFormat="1" applyFont="1" applyFill="1"/>
    <xf numFmtId="165" fontId="5" fillId="2" borderId="0" xfId="1" applyNumberFormat="1" applyFont="1" applyFill="1" applyAlignment="1">
      <alignment horizontal="left"/>
    </xf>
    <xf numFmtId="165" fontId="4" fillId="2" borderId="0" xfId="1" applyNumberFormat="1" applyFont="1" applyFill="1" applyAlignment="1">
      <alignment horizontal="left"/>
    </xf>
    <xf numFmtId="165" fontId="4" fillId="3" borderId="0" xfId="1" applyNumberFormat="1" applyFont="1" applyFill="1"/>
    <xf numFmtId="165" fontId="9" fillId="3" borderId="0" xfId="1" applyNumberFormat="1" applyFont="1" applyFill="1"/>
    <xf numFmtId="165" fontId="9" fillId="2" borderId="0" xfId="1" applyNumberFormat="1" applyFont="1" applyFill="1"/>
    <xf numFmtId="165" fontId="9" fillId="3" borderId="1" xfId="1" applyNumberFormat="1" applyFont="1" applyFill="1" applyBorder="1"/>
    <xf numFmtId="165" fontId="4" fillId="3" borderId="1" xfId="1" applyNumberFormat="1" applyFont="1" applyFill="1" applyBorder="1"/>
    <xf numFmtId="165" fontId="5" fillId="2" borderId="2" xfId="1" applyNumberFormat="1" applyFont="1" applyFill="1" applyBorder="1" applyAlignment="1">
      <alignment horizontal="left"/>
    </xf>
    <xf numFmtId="165" fontId="4" fillId="2" borderId="2" xfId="1" applyNumberFormat="1" applyFont="1" applyFill="1" applyBorder="1" applyAlignment="1">
      <alignment horizontal="left"/>
    </xf>
    <xf numFmtId="165" fontId="4" fillId="3" borderId="2" xfId="1" applyNumberFormat="1" applyFont="1" applyFill="1" applyBorder="1"/>
    <xf numFmtId="165" fontId="4" fillId="2" borderId="2" xfId="1" applyNumberFormat="1" applyFont="1" applyFill="1" applyBorder="1"/>
    <xf numFmtId="165" fontId="5" fillId="2" borderId="2" xfId="1" applyNumberFormat="1" applyFont="1" applyFill="1" applyBorder="1"/>
    <xf numFmtId="165" fontId="5" fillId="3" borderId="2" xfId="1" applyNumberFormat="1" applyFont="1" applyFill="1" applyBorder="1"/>
    <xf numFmtId="165" fontId="4" fillId="3" borderId="3" xfId="1" applyNumberFormat="1" applyFont="1" applyFill="1" applyBorder="1"/>
    <xf numFmtId="165" fontId="9" fillId="3" borderId="2" xfId="1" applyNumberFormat="1" applyFont="1" applyFill="1" applyBorder="1"/>
    <xf numFmtId="165" fontId="9" fillId="2" borderId="2" xfId="1" applyNumberFormat="1" applyFont="1" applyFill="1" applyBorder="1"/>
    <xf numFmtId="165" fontId="9" fillId="3" borderId="3" xfId="1" applyNumberFormat="1" applyFont="1" applyFill="1" applyBorder="1"/>
    <xf numFmtId="165" fontId="6" fillId="2" borderId="4" xfId="1" applyNumberFormat="1" applyFont="1" applyFill="1" applyBorder="1" applyAlignment="1">
      <alignment horizontal="left"/>
    </xf>
    <xf numFmtId="165" fontId="8" fillId="2" borderId="4" xfId="1" applyNumberFormat="1" applyFont="1" applyFill="1" applyBorder="1" applyAlignment="1">
      <alignment horizontal="left"/>
    </xf>
    <xf numFmtId="165" fontId="8" fillId="3" borderId="4" xfId="1" applyNumberFormat="1" applyFont="1" applyFill="1" applyBorder="1"/>
    <xf numFmtId="165" fontId="6" fillId="3" borderId="4" xfId="1" applyNumberFormat="1" applyFont="1" applyFill="1" applyBorder="1"/>
    <xf numFmtId="165" fontId="6" fillId="2" borderId="4" xfId="1" applyNumberFormat="1" applyFont="1" applyFill="1" applyBorder="1"/>
    <xf numFmtId="165" fontId="8" fillId="2" borderId="4" xfId="1" applyNumberFormat="1" applyFont="1" applyFill="1" applyBorder="1"/>
    <xf numFmtId="165" fontId="8" fillId="3" borderId="1" xfId="1" applyNumberFormat="1" applyFont="1" applyFill="1" applyBorder="1"/>
    <xf numFmtId="165" fontId="8" fillId="2" borderId="0" xfId="1" applyNumberFormat="1" applyFont="1" applyFill="1" applyAlignment="1">
      <alignment horizontal="left"/>
    </xf>
    <xf numFmtId="165" fontId="8" fillId="3" borderId="0" xfId="1" applyNumberFormat="1" applyFont="1" applyFill="1"/>
    <xf numFmtId="165" fontId="8" fillId="2" borderId="0" xfId="1" applyNumberFormat="1" applyFont="1" applyFill="1"/>
    <xf numFmtId="165" fontId="5" fillId="3" borderId="0" xfId="1" applyNumberFormat="1" applyFont="1" applyFill="1"/>
    <xf numFmtId="165" fontId="5" fillId="3" borderId="1" xfId="1" applyNumberFormat="1" applyFont="1" applyFill="1" applyBorder="1"/>
    <xf numFmtId="165" fontId="5" fillId="3" borderId="3" xfId="1" applyNumberFormat="1" applyFont="1" applyFill="1" applyBorder="1"/>
    <xf numFmtId="165" fontId="6" fillId="3" borderId="5" xfId="1" applyNumberFormat="1" applyFont="1" applyFill="1" applyBorder="1"/>
    <xf numFmtId="165" fontId="8" fillId="3" borderId="5" xfId="1" applyNumberFormat="1" applyFont="1" applyFill="1" applyBorder="1"/>
    <xf numFmtId="173" fontId="6" fillId="2" borderId="0" xfId="1" applyNumberFormat="1" applyFont="1" applyFill="1" applyAlignment="1">
      <alignment horizontal="left"/>
    </xf>
    <xf numFmtId="173" fontId="8" fillId="2" borderId="0" xfId="1" applyNumberFormat="1" applyFont="1" applyFill="1" applyAlignment="1">
      <alignment horizontal="left"/>
    </xf>
    <xf numFmtId="173" fontId="7" fillId="3" borderId="0" xfId="1" applyNumberFormat="1" applyFont="1" applyFill="1"/>
    <xf numFmtId="173" fontId="6" fillId="3" borderId="0" xfId="1" applyNumberFormat="1" applyFont="1" applyFill="1"/>
    <xf numFmtId="173" fontId="6" fillId="2" borderId="0" xfId="1" applyNumberFormat="1" applyFont="1" applyFill="1"/>
    <xf numFmtId="173" fontId="8" fillId="2" borderId="0" xfId="1" applyNumberFormat="1" applyFont="1" applyFill="1"/>
    <xf numFmtId="173" fontId="8" fillId="3" borderId="0" xfId="1" applyNumberFormat="1" applyFont="1" applyFill="1"/>
    <xf numFmtId="173" fontId="8" fillId="3" borderId="1" xfId="1" applyNumberFormat="1" applyFont="1" applyFill="1" applyBorder="1"/>
    <xf numFmtId="173" fontId="5" fillId="2" borderId="0" xfId="1" applyNumberFormat="1" applyFont="1" applyFill="1" applyAlignment="1">
      <alignment horizontal="left"/>
    </xf>
    <xf numFmtId="173" fontId="4" fillId="2" borderId="0" xfId="1" applyNumberFormat="1" applyFont="1" applyFill="1" applyAlignment="1">
      <alignment horizontal="left"/>
    </xf>
    <xf numFmtId="173" fontId="9" fillId="3" borderId="0" xfId="1" applyNumberFormat="1" applyFont="1" applyFill="1"/>
    <xf numFmtId="173" fontId="9" fillId="2" borderId="0" xfId="1" applyNumberFormat="1" applyFont="1" applyFill="1"/>
    <xf numFmtId="173" fontId="5" fillId="3" borderId="0" xfId="1" applyNumberFormat="1" applyFont="1" applyFill="1"/>
    <xf numFmtId="173" fontId="5" fillId="3" borderId="1" xfId="1" applyNumberFormat="1" applyFont="1" applyFill="1" applyBorder="1"/>
    <xf numFmtId="173" fontId="4" fillId="3" borderId="0" xfId="1" applyNumberFormat="1" applyFont="1" applyFill="1"/>
    <xf numFmtId="173" fontId="5" fillId="2" borderId="0" xfId="1" applyNumberFormat="1" applyFont="1" applyFill="1"/>
    <xf numFmtId="173" fontId="5" fillId="2" borderId="2" xfId="1" applyNumberFormat="1" applyFont="1" applyFill="1" applyBorder="1" applyAlignment="1">
      <alignment horizontal="left"/>
    </xf>
    <xf numFmtId="173" fontId="4" fillId="2" borderId="2" xfId="1" applyNumberFormat="1" applyFont="1" applyFill="1" applyBorder="1" applyAlignment="1">
      <alignment horizontal="left"/>
    </xf>
    <xf numFmtId="173" fontId="5" fillId="3" borderId="2" xfId="1" applyNumberFormat="1" applyFont="1" applyFill="1" applyBorder="1"/>
    <xf numFmtId="173" fontId="5" fillId="2" borderId="2" xfId="1" applyNumberFormat="1" applyFont="1" applyFill="1" applyBorder="1"/>
    <xf numFmtId="173" fontId="5" fillId="3" borderId="3" xfId="1" applyNumberFormat="1" applyFont="1" applyFill="1" applyBorder="1"/>
    <xf numFmtId="173" fontId="9" fillId="2" borderId="2" xfId="1" applyNumberFormat="1" applyFont="1" applyFill="1" applyBorder="1"/>
    <xf numFmtId="173" fontId="4" fillId="3" borderId="2" xfId="1" applyNumberFormat="1" applyFont="1" applyFill="1" applyBorder="1"/>
    <xf numFmtId="173" fontId="9" fillId="3" borderId="2" xfId="1" applyNumberFormat="1" applyFont="1" applyFill="1" applyBorder="1"/>
    <xf numFmtId="173" fontId="6" fillId="2" borderId="4" xfId="1" applyNumberFormat="1" applyFont="1" applyFill="1" applyBorder="1" applyAlignment="1">
      <alignment horizontal="left"/>
    </xf>
    <xf numFmtId="173" fontId="8" fillId="2" borderId="4" xfId="1" applyNumberFormat="1" applyFont="1" applyFill="1" applyBorder="1" applyAlignment="1">
      <alignment horizontal="left"/>
    </xf>
    <xf numFmtId="173" fontId="7" fillId="3" borderId="4" xfId="1" applyNumberFormat="1" applyFont="1" applyFill="1" applyBorder="1"/>
    <xf numFmtId="173" fontId="7" fillId="2" borderId="4" xfId="1" applyNumberFormat="1" applyFont="1" applyFill="1" applyBorder="1"/>
    <xf numFmtId="173" fontId="6" fillId="2" borderId="4" xfId="1" applyNumberFormat="1" applyFont="1" applyFill="1" applyBorder="1"/>
    <xf numFmtId="173" fontId="8" fillId="3" borderId="4" xfId="1" applyNumberFormat="1" applyFont="1" applyFill="1" applyBorder="1"/>
    <xf numFmtId="173" fontId="8" fillId="3" borderId="5" xfId="1" applyNumberFormat="1" applyFont="1" applyFill="1" applyBorder="1"/>
    <xf numFmtId="173" fontId="8" fillId="2" borderId="4" xfId="1" applyNumberFormat="1" applyFont="1" applyFill="1" applyBorder="1"/>
    <xf numFmtId="172" fontId="11" fillId="2" borderId="0" xfId="1" applyNumberFormat="1" applyFont="1" applyFill="1" applyAlignment="1">
      <alignment horizontal="left"/>
    </xf>
    <xf numFmtId="172" fontId="12" fillId="2" borderId="0" xfId="1" applyNumberFormat="1" applyFont="1" applyFill="1" applyAlignment="1">
      <alignment horizontal="left"/>
    </xf>
    <xf numFmtId="172" fontId="12" fillId="3" borderId="0" xfId="1" applyNumberFormat="1" applyFont="1" applyFill="1"/>
    <xf numFmtId="172" fontId="12" fillId="2" borderId="0" xfId="1" applyNumberFormat="1" applyFont="1" applyFill="1"/>
    <xf numFmtId="172" fontId="11" fillId="2" borderId="0" xfId="1" applyNumberFormat="1" applyFont="1" applyFill="1"/>
    <xf numFmtId="172" fontId="12" fillId="3" borderId="1" xfId="1" applyNumberFormat="1" applyFont="1" applyFill="1" applyBorder="1"/>
    <xf numFmtId="173" fontId="4" fillId="2" borderId="0" xfId="1" applyNumberFormat="1" applyFont="1" applyFill="1"/>
    <xf numFmtId="173" fontId="4" fillId="3" borderId="1" xfId="1" applyNumberFormat="1" applyFont="1" applyFill="1" applyBorder="1"/>
    <xf numFmtId="174" fontId="5" fillId="2" borderId="0" xfId="1" applyNumberFormat="1" applyFont="1" applyFill="1" applyAlignment="1">
      <alignment horizontal="left"/>
    </xf>
    <xf numFmtId="174" fontId="4" fillId="3" borderId="0" xfId="1" applyNumberFormat="1" applyFont="1" applyFill="1"/>
    <xf numFmtId="174" fontId="4" fillId="2" borderId="0" xfId="1" applyNumberFormat="1" applyFont="1" applyFill="1"/>
    <xf numFmtId="174" fontId="5" fillId="2" borderId="0" xfId="1" applyNumberFormat="1" applyFont="1" applyFill="1"/>
    <xf numFmtId="174" fontId="5" fillId="3" borderId="0" xfId="1" applyNumberFormat="1" applyFont="1" applyFill="1"/>
    <xf numFmtId="174" fontId="5" fillId="3" borderId="1" xfId="1" applyNumberFormat="1" applyFont="1" applyFill="1" applyBorder="1"/>
    <xf numFmtId="174" fontId="6" fillId="2" borderId="4" xfId="1" applyNumberFormat="1" applyFont="1" applyFill="1" applyBorder="1" applyAlignment="1">
      <alignment horizontal="left"/>
    </xf>
    <xf numFmtId="173" fontId="4" fillId="2" borderId="4" xfId="1" applyNumberFormat="1" applyFont="1" applyFill="1" applyBorder="1" applyAlignment="1">
      <alignment horizontal="left"/>
    </xf>
    <xf numFmtId="174" fontId="8" fillId="3" borderId="4" xfId="1" applyNumberFormat="1" applyFont="1" applyFill="1" applyBorder="1"/>
    <xf numFmtId="174" fontId="8" fillId="2" borderId="4" xfId="1" applyNumberFormat="1" applyFont="1" applyFill="1" applyBorder="1"/>
    <xf numFmtId="174" fontId="6" fillId="2" borderId="4" xfId="1" applyNumberFormat="1" applyFont="1" applyFill="1" applyBorder="1"/>
    <xf numFmtId="174" fontId="6" fillId="3" borderId="4" xfId="1" applyNumberFormat="1" applyFont="1" applyFill="1" applyBorder="1"/>
    <xf numFmtId="174" fontId="6" fillId="3" borderId="5" xfId="1" applyNumberFormat="1" applyFont="1" applyFill="1" applyBorder="1"/>
    <xf numFmtId="174" fontId="8" fillId="2" borderId="0" xfId="1" applyNumberFormat="1" applyFont="1" applyFill="1" applyAlignment="1">
      <alignment horizontal="left"/>
    </xf>
    <xf numFmtId="174" fontId="8" fillId="3" borderId="0" xfId="1" applyNumberFormat="1" applyFont="1" applyFill="1"/>
    <xf numFmtId="174" fontId="8" fillId="2" borderId="0" xfId="1" applyNumberFormat="1" applyFont="1" applyFill="1"/>
    <xf numFmtId="174" fontId="8" fillId="3" borderId="1" xfId="1" applyNumberFormat="1" applyFont="1" applyFill="1" applyBorder="1"/>
    <xf numFmtId="175" fontId="4" fillId="2" borderId="2" xfId="1" applyNumberFormat="1" applyFont="1" applyFill="1" applyBorder="1" applyAlignment="1">
      <alignment horizontal="left"/>
    </xf>
    <xf numFmtId="173" fontId="4" fillId="2" borderId="2" xfId="1" applyNumberFormat="1" applyFont="1" applyFill="1" applyBorder="1"/>
    <xf numFmtId="173" fontId="7" fillId="3" borderId="5" xfId="1" applyNumberFormat="1" applyFont="1" applyFill="1" applyBorder="1"/>
    <xf numFmtId="169" fontId="4" fillId="2" borderId="0" xfId="1" applyNumberFormat="1" applyFont="1" applyFill="1" applyAlignment="1">
      <alignment horizontal="left"/>
    </xf>
    <xf numFmtId="169" fontId="4" fillId="3" borderId="0" xfId="1" applyNumberFormat="1" applyFont="1" applyFill="1"/>
    <xf numFmtId="169" fontId="4" fillId="2" borderId="0" xfId="1" applyNumberFormat="1" applyFont="1" applyFill="1"/>
    <xf numFmtId="169" fontId="5" fillId="2" borderId="0" xfId="1" applyNumberFormat="1" applyFont="1" applyFill="1"/>
    <xf numFmtId="169" fontId="5" fillId="3" borderId="0" xfId="1" applyNumberFormat="1" applyFont="1" applyFill="1"/>
    <xf numFmtId="169" fontId="5" fillId="3" borderId="1" xfId="1" applyNumberFormat="1" applyFont="1" applyFill="1" applyBorder="1"/>
    <xf numFmtId="169" fontId="8" fillId="2" borderId="4" xfId="1" applyNumberFormat="1" applyFont="1" applyFill="1" applyBorder="1" applyAlignment="1">
      <alignment horizontal="left"/>
    </xf>
    <xf numFmtId="169" fontId="8" fillId="3" borderId="4" xfId="1" applyNumberFormat="1" applyFont="1" applyFill="1" applyBorder="1"/>
    <xf numFmtId="169" fontId="8" fillId="2" borderId="4" xfId="1" applyNumberFormat="1" applyFont="1" applyFill="1" applyBorder="1"/>
    <xf numFmtId="169" fontId="6" fillId="2" borderId="4" xfId="1" applyNumberFormat="1" applyFont="1" applyFill="1" applyBorder="1"/>
    <xf numFmtId="169" fontId="6" fillId="3" borderId="4" xfId="1" applyNumberFormat="1" applyFont="1" applyFill="1" applyBorder="1"/>
    <xf numFmtId="169" fontId="6" fillId="3" borderId="5" xfId="1" applyNumberFormat="1" applyFont="1" applyFill="1" applyBorder="1"/>
    <xf numFmtId="169" fontId="6" fillId="2" borderId="0" xfId="1" applyNumberFormat="1" applyFont="1" applyFill="1"/>
    <xf numFmtId="172" fontId="4" fillId="3" borderId="0" xfId="1" applyNumberFormat="1" applyFont="1" applyFill="1"/>
    <xf numFmtId="172" fontId="4" fillId="3" borderId="1" xfId="1" applyNumberFormat="1" applyFont="1" applyFill="1" applyBorder="1"/>
    <xf numFmtId="172" fontId="5" fillId="2" borderId="4" xfId="1" applyNumberFormat="1" applyFont="1" applyFill="1" applyBorder="1" applyAlignment="1">
      <alignment horizontal="left"/>
    </xf>
    <xf numFmtId="172" fontId="5" fillId="3" borderId="4" xfId="1" applyNumberFormat="1" applyFont="1" applyFill="1" applyBorder="1" applyAlignment="1">
      <alignment horizontal="right"/>
    </xf>
    <xf numFmtId="172" fontId="5" fillId="2" borderId="4" xfId="1" applyNumberFormat="1" applyFont="1" applyFill="1" applyBorder="1" applyAlignment="1">
      <alignment horizontal="right"/>
    </xf>
    <xf numFmtId="172" fontId="9" fillId="2" borderId="0" xfId="1" applyNumberFormat="1" applyFont="1" applyFill="1"/>
    <xf numFmtId="172" fontId="9" fillId="3" borderId="0" xfId="1" applyNumberFormat="1" applyFont="1" applyFill="1"/>
    <xf numFmtId="176" fontId="8" fillId="2" borderId="0" xfId="1" applyNumberFormat="1" applyFont="1" applyFill="1" applyAlignment="1">
      <alignment horizontal="left"/>
    </xf>
    <xf numFmtId="176" fontId="6" fillId="2" borderId="0" xfId="1" applyNumberFormat="1" applyFont="1" applyFill="1"/>
    <xf numFmtId="172" fontId="4" fillId="3" borderId="2" xfId="1" applyNumberFormat="1" applyFont="1" applyFill="1" applyBorder="1"/>
    <xf numFmtId="172" fontId="4" fillId="3" borderId="3" xfId="1" applyNumberFormat="1" applyFont="1" applyFill="1" applyBorder="1"/>
    <xf numFmtId="172" fontId="8" fillId="2" borderId="4" xfId="1" applyNumberFormat="1" applyFont="1" applyFill="1" applyBorder="1" applyAlignment="1">
      <alignment horizontal="left"/>
    </xf>
    <xf numFmtId="172" fontId="8" fillId="3" borderId="4" xfId="1" applyNumberFormat="1" applyFont="1" applyFill="1" applyBorder="1"/>
    <xf numFmtId="172" fontId="8" fillId="3" borderId="5" xfId="1" applyNumberFormat="1" applyFont="1" applyFill="1" applyBorder="1"/>
    <xf numFmtId="173" fontId="4" fillId="3" borderId="3" xfId="1" applyNumberFormat="1" applyFont="1" applyFill="1" applyBorder="1"/>
    <xf numFmtId="174" fontId="4" fillId="3" borderId="1" xfId="1" applyNumberFormat="1" applyFont="1" applyFill="1" applyBorder="1"/>
    <xf numFmtId="173" fontId="6" fillId="3" borderId="4" xfId="1" applyNumberFormat="1" applyFont="1" applyFill="1" applyBorder="1"/>
    <xf numFmtId="169" fontId="4" fillId="3" borderId="1" xfId="1" applyNumberFormat="1" applyFont="1" applyFill="1" applyBorder="1"/>
    <xf numFmtId="172" fontId="7" fillId="3" borderId="4" xfId="1" applyNumberFormat="1" applyFont="1" applyFill="1" applyBorder="1"/>
    <xf numFmtId="173" fontId="6" fillId="3" borderId="1" xfId="1" applyNumberFormat="1" applyFont="1" applyFill="1" applyBorder="1"/>
    <xf numFmtId="174" fontId="6" fillId="2" borderId="0" xfId="1" applyNumberFormat="1" applyFont="1" applyFill="1"/>
    <xf numFmtId="172" fontId="13" fillId="3" borderId="0" xfId="1" applyNumberFormat="1" applyFont="1" applyFill="1" applyAlignment="1">
      <alignment horizontal="right"/>
    </xf>
    <xf numFmtId="172" fontId="12" fillId="3" borderId="0" xfId="1" applyNumberFormat="1" applyFont="1" applyFill="1" applyAlignment="1">
      <alignment horizontal="right"/>
    </xf>
    <xf numFmtId="172" fontId="12" fillId="3" borderId="1" xfId="1" applyNumberFormat="1" applyFont="1" applyFill="1" applyBorder="1" applyAlignment="1">
      <alignment horizontal="right"/>
    </xf>
    <xf numFmtId="172" fontId="13" fillId="2" borderId="0" xfId="1" applyNumberFormat="1" applyFont="1" applyFill="1"/>
    <xf numFmtId="172" fontId="13" fillId="3" borderId="0" xfId="1" applyNumberFormat="1" applyFont="1" applyFill="1"/>
    <xf numFmtId="173" fontId="7" fillId="2" borderId="0" xfId="1" applyNumberFormat="1" applyFont="1" applyFill="1"/>
    <xf numFmtId="173" fontId="6" fillId="3" borderId="5" xfId="1" applyNumberFormat="1" applyFont="1" applyFill="1" applyBorder="1"/>
    <xf numFmtId="174" fontId="6" fillId="2" borderId="0" xfId="1" applyNumberFormat="1" applyFont="1" applyFill="1" applyAlignment="1">
      <alignment horizontal="left"/>
    </xf>
    <xf numFmtId="174" fontId="6" fillId="3" borderId="0" xfId="1" applyNumberFormat="1" applyFont="1" applyFill="1"/>
    <xf numFmtId="174" fontId="6" fillId="3" borderId="1" xfId="1" applyNumberFormat="1" applyFont="1" applyFill="1" applyBorder="1"/>
    <xf numFmtId="173" fontId="9" fillId="3" borderId="1" xfId="1" applyNumberFormat="1" applyFont="1" applyFill="1" applyBorder="1"/>
    <xf numFmtId="173" fontId="7" fillId="3" borderId="1" xfId="1" applyNumberFormat="1" applyFont="1" applyFill="1" applyBorder="1"/>
    <xf numFmtId="173" fontId="9" fillId="3" borderId="3" xfId="1" applyNumberFormat="1" applyFont="1" applyFill="1" applyBorder="1"/>
    <xf numFmtId="173" fontId="6" fillId="2" borderId="2" xfId="1" applyNumberFormat="1" applyFont="1" applyFill="1" applyBorder="1" applyAlignment="1">
      <alignment horizontal="left"/>
    </xf>
    <xf numFmtId="173" fontId="8" fillId="2" borderId="2" xfId="1" applyNumberFormat="1" applyFont="1" applyFill="1" applyBorder="1" applyAlignment="1">
      <alignment horizontal="left"/>
    </xf>
    <xf numFmtId="173" fontId="8" fillId="3" borderId="2" xfId="1" applyNumberFormat="1" applyFont="1" applyFill="1" applyBorder="1"/>
    <xf numFmtId="173" fontId="8" fillId="2" borderId="2" xfId="1" applyNumberFormat="1" applyFont="1" applyFill="1" applyBorder="1"/>
    <xf numFmtId="173" fontId="7" fillId="3" borderId="3" xfId="1" applyNumberFormat="1" applyFont="1" applyFill="1" applyBorder="1"/>
    <xf numFmtId="172" fontId="5" fillId="3" borderId="0" xfId="1" applyNumberFormat="1" applyFont="1" applyFill="1"/>
    <xf numFmtId="165" fontId="6" fillId="2" borderId="0" xfId="1" applyNumberFormat="1" applyFont="1" applyFill="1" applyAlignment="1">
      <alignment horizontal="left"/>
    </xf>
    <xf numFmtId="172" fontId="5" fillId="3" borderId="1" xfId="1" applyNumberFormat="1" applyFont="1" applyFill="1" applyBorder="1"/>
    <xf numFmtId="172" fontId="6" fillId="3" borderId="4" xfId="1" applyNumberFormat="1" applyFont="1" applyFill="1" applyBorder="1"/>
    <xf numFmtId="172" fontId="6" fillId="2" borderId="4" xfId="1" applyNumberFormat="1" applyFont="1" applyFill="1" applyBorder="1"/>
    <xf numFmtId="173" fontId="4" fillId="2" borderId="6" xfId="1" applyNumberFormat="1" applyFont="1" applyFill="1" applyBorder="1" applyAlignment="1">
      <alignment horizontal="left"/>
    </xf>
    <xf numFmtId="173" fontId="4" fillId="3" borderId="6" xfId="1" applyNumberFormat="1" applyFont="1" applyFill="1" applyBorder="1"/>
    <xf numFmtId="173" fontId="4" fillId="2" borderId="6" xfId="1" applyNumberFormat="1" applyFont="1" applyFill="1" applyBorder="1"/>
    <xf numFmtId="173" fontId="4" fillId="3" borderId="7" xfId="1" applyNumberFormat="1" applyFont="1" applyFill="1" applyBorder="1"/>
    <xf numFmtId="165" fontId="4" fillId="3" borderId="0" xfId="1" applyNumberFormat="1" applyFont="1" applyFill="1" applyAlignment="1">
      <alignment horizontal="right"/>
    </xf>
    <xf numFmtId="165" fontId="9" fillId="3" borderId="0" xfId="1" applyNumberFormat="1" applyFont="1" applyFill="1" applyAlignment="1">
      <alignment horizontal="right"/>
    </xf>
    <xf numFmtId="165" fontId="4" fillId="2" borderId="0" xfId="1" applyNumberFormat="1" applyFont="1" applyFill="1" applyAlignment="1">
      <alignment horizontal="right"/>
    </xf>
    <xf numFmtId="165" fontId="9" fillId="3" borderId="1" xfId="1" applyNumberFormat="1" applyFont="1" applyFill="1" applyBorder="1" applyAlignment="1">
      <alignment horizontal="right"/>
    </xf>
    <xf numFmtId="177" fontId="5" fillId="2" borderId="0" xfId="1" applyNumberFormat="1" applyFont="1" applyFill="1" applyAlignment="1">
      <alignment horizontal="left"/>
    </xf>
    <xf numFmtId="177" fontId="4" fillId="2" borderId="0" xfId="1" applyNumberFormat="1" applyFont="1" applyFill="1"/>
    <xf numFmtId="177" fontId="4" fillId="3" borderId="0" xfId="1" applyNumberFormat="1" applyFont="1" applyFill="1" applyAlignment="1">
      <alignment horizontal="right"/>
    </xf>
    <xf numFmtId="177" fontId="9" fillId="3" borderId="0" xfId="1" applyNumberFormat="1" applyFont="1" applyFill="1" applyAlignment="1">
      <alignment horizontal="right"/>
    </xf>
    <xf numFmtId="177" fontId="4" fillId="2" borderId="0" xfId="1" applyNumberFormat="1" applyFont="1" applyFill="1" applyAlignment="1">
      <alignment horizontal="right"/>
    </xf>
    <xf numFmtId="177" fontId="9" fillId="3" borderId="1" xfId="1" applyNumberFormat="1" applyFont="1" applyFill="1" applyBorder="1" applyAlignment="1">
      <alignment horizontal="right"/>
    </xf>
    <xf numFmtId="177" fontId="5" fillId="2" borderId="0" xfId="1" applyNumberFormat="1" applyFont="1" applyFill="1"/>
    <xf numFmtId="169" fontId="5" fillId="2" borderId="0" xfId="1" applyNumberFormat="1" applyFont="1" applyFill="1" applyAlignment="1">
      <alignment horizontal="left"/>
    </xf>
    <xf numFmtId="169" fontId="4" fillId="3" borderId="0" xfId="1" applyNumberFormat="1" applyFont="1" applyFill="1" applyAlignment="1">
      <alignment horizontal="right"/>
    </xf>
    <xf numFmtId="169" fontId="4" fillId="2" borderId="0" xfId="1" applyNumberFormat="1" applyFont="1" applyFill="1" applyAlignment="1">
      <alignment horizontal="right"/>
    </xf>
    <xf numFmtId="169" fontId="9" fillId="3" borderId="0" xfId="1" applyNumberFormat="1" applyFont="1" applyFill="1" applyAlignment="1">
      <alignment horizontal="right"/>
    </xf>
    <xf numFmtId="169" fontId="9" fillId="3" borderId="1" xfId="1" applyNumberFormat="1" applyFont="1" applyFill="1" applyBorder="1" applyAlignment="1">
      <alignment horizontal="right"/>
    </xf>
    <xf numFmtId="169" fontId="4" fillId="3" borderId="1" xfId="1" applyNumberFormat="1" applyFont="1" applyFill="1" applyBorder="1" applyAlignment="1">
      <alignment horizontal="right"/>
    </xf>
    <xf numFmtId="177" fontId="4" fillId="2" borderId="0" xfId="1" applyNumberFormat="1" applyFont="1" applyFill="1" applyAlignment="1">
      <alignment horizontal="left"/>
    </xf>
    <xf numFmtId="177" fontId="4" fillId="3" borderId="1" xfId="1" applyNumberFormat="1" applyFont="1" applyFill="1" applyBorder="1" applyAlignment="1">
      <alignment horizontal="right"/>
    </xf>
    <xf numFmtId="165" fontId="9" fillId="2" borderId="0" xfId="1" applyNumberFormat="1" applyFont="1" applyFill="1" applyAlignment="1">
      <alignment horizontal="right"/>
    </xf>
    <xf numFmtId="165" fontId="9" fillId="2" borderId="2" xfId="1" applyNumberFormat="1" applyFont="1" applyFill="1" applyBorder="1" applyAlignment="1">
      <alignment horizontal="right"/>
    </xf>
    <xf numFmtId="165" fontId="9" fillId="3" borderId="3" xfId="1" applyNumberFormat="1" applyFont="1" applyFill="1" applyBorder="1" applyAlignment="1">
      <alignment horizontal="right"/>
    </xf>
    <xf numFmtId="165" fontId="4" fillId="3" borderId="1" xfId="1" applyNumberFormat="1" applyFont="1" applyFill="1" applyBorder="1" applyAlignment="1">
      <alignment horizontal="right"/>
    </xf>
    <xf numFmtId="173" fontId="9" fillId="3" borderId="0" xfId="1" applyNumberFormat="1" applyFont="1" applyFill="1" applyAlignment="1">
      <alignment horizontal="right"/>
    </xf>
    <xf numFmtId="173" fontId="4" fillId="2" borderId="0" xfId="1" applyNumberFormat="1" applyFont="1" applyFill="1" applyAlignment="1">
      <alignment horizontal="right"/>
    </xf>
    <xf numFmtId="173" fontId="9" fillId="3" borderId="1" xfId="1" applyNumberFormat="1" applyFont="1" applyFill="1" applyBorder="1" applyAlignment="1">
      <alignment horizontal="right"/>
    </xf>
    <xf numFmtId="173" fontId="4" fillId="3" borderId="0" xfId="1" applyNumberFormat="1" applyFont="1" applyFill="1" applyAlignment="1">
      <alignment horizontal="right"/>
    </xf>
    <xf numFmtId="165" fontId="8" fillId="3" borderId="4" xfId="1" applyNumberFormat="1" applyFont="1" applyFill="1" applyBorder="1" applyAlignment="1">
      <alignment horizontal="right"/>
    </xf>
    <xf numFmtId="165" fontId="8" fillId="2" borderId="4" xfId="1" applyNumberFormat="1" applyFont="1" applyFill="1" applyBorder="1" applyAlignment="1">
      <alignment horizontal="right"/>
    </xf>
    <xf numFmtId="165" fontId="8" fillId="3" borderId="5" xfId="1" applyNumberFormat="1" applyFont="1" applyFill="1" applyBorder="1" applyAlignment="1">
      <alignment horizontal="right"/>
    </xf>
    <xf numFmtId="172" fontId="12" fillId="2" borderId="0" xfId="1" applyNumberFormat="1" applyFont="1" applyFill="1" applyAlignment="1">
      <alignment horizontal="right"/>
    </xf>
    <xf numFmtId="174" fontId="4" fillId="2" borderId="0" xfId="1" applyNumberFormat="1" applyFont="1" applyFill="1" applyAlignment="1">
      <alignment horizontal="left"/>
    </xf>
    <xf numFmtId="174" fontId="4" fillId="3" borderId="0" xfId="1" applyNumberFormat="1" applyFont="1" applyFill="1" applyAlignment="1">
      <alignment horizontal="right"/>
    </xf>
    <xf numFmtId="174" fontId="4" fillId="2" borderId="0" xfId="1" applyNumberFormat="1" applyFont="1" applyFill="1" applyAlignment="1">
      <alignment horizontal="right"/>
    </xf>
    <xf numFmtId="174" fontId="4" fillId="3" borderId="1" xfId="1" applyNumberFormat="1" applyFont="1" applyFill="1" applyBorder="1" applyAlignment="1">
      <alignment horizontal="right"/>
    </xf>
    <xf numFmtId="172" fontId="8" fillId="2" borderId="6" xfId="1" applyNumberFormat="1" applyFont="1" applyFill="1" applyBorder="1" applyAlignment="1">
      <alignment horizontal="left"/>
    </xf>
    <xf numFmtId="172" fontId="8" fillId="2" borderId="6" xfId="1" applyNumberFormat="1" applyFont="1" applyFill="1" applyBorder="1"/>
    <xf numFmtId="172" fontId="8" fillId="3" borderId="6" xfId="1" applyNumberFormat="1" applyFont="1" applyFill="1" applyBorder="1" applyAlignment="1">
      <alignment horizontal="right"/>
    </xf>
    <xf numFmtId="172" fontId="8" fillId="2" borderId="6" xfId="1" applyNumberFormat="1" applyFont="1" applyFill="1" applyBorder="1" applyAlignment="1">
      <alignment horizontal="right"/>
    </xf>
    <xf numFmtId="172" fontId="8" fillId="3" borderId="7" xfId="1" applyNumberFormat="1" applyFont="1" applyFill="1" applyBorder="1" applyAlignment="1">
      <alignment horizontal="right"/>
    </xf>
    <xf numFmtId="172" fontId="8" fillId="3" borderId="5" xfId="1" applyNumberFormat="1" applyFont="1" applyFill="1" applyBorder="1" applyAlignment="1">
      <alignment horizontal="right"/>
    </xf>
    <xf numFmtId="172" fontId="8" fillId="2" borderId="2" xfId="1" applyNumberFormat="1" applyFont="1" applyFill="1" applyBorder="1" applyAlignment="1">
      <alignment horizontal="left"/>
    </xf>
    <xf numFmtId="172" fontId="8" fillId="2" borderId="2" xfId="1" applyNumberFormat="1" applyFont="1" applyFill="1" applyBorder="1"/>
    <xf numFmtId="172" fontId="8" fillId="3" borderId="2" xfId="1" applyNumberFormat="1" applyFont="1" applyFill="1" applyBorder="1" applyAlignment="1">
      <alignment horizontal="right"/>
    </xf>
    <xf numFmtId="172" fontId="8" fillId="2" borderId="2" xfId="1" applyNumberFormat="1" applyFont="1" applyFill="1" applyBorder="1" applyAlignment="1">
      <alignment horizontal="right"/>
    </xf>
    <xf numFmtId="172" fontId="8" fillId="3" borderId="3" xfId="1" applyNumberFormat="1" applyFont="1" applyFill="1" applyBorder="1" applyAlignment="1">
      <alignment horizontal="right"/>
    </xf>
    <xf numFmtId="172" fontId="11" fillId="3" borderId="0" xfId="1" applyNumberFormat="1" applyFont="1" applyFill="1" applyAlignment="1">
      <alignment horizontal="right"/>
    </xf>
    <xf numFmtId="172" fontId="11" fillId="2" borderId="0" xfId="1" applyNumberFormat="1" applyFont="1" applyFill="1" applyAlignment="1">
      <alignment horizontal="right"/>
    </xf>
    <xf numFmtId="172" fontId="11" fillId="3" borderId="1" xfId="1" applyNumberFormat="1" applyFont="1" applyFill="1" applyBorder="1" applyAlignment="1">
      <alignment horizontal="right"/>
    </xf>
    <xf numFmtId="172" fontId="13" fillId="2" borderId="0" xfId="1" applyNumberFormat="1" applyFont="1" applyFill="1" applyAlignment="1">
      <alignment horizontal="right"/>
    </xf>
    <xf numFmtId="172" fontId="11" fillId="2" borderId="2" xfId="1" applyNumberFormat="1" applyFont="1" applyFill="1" applyBorder="1" applyAlignment="1">
      <alignment horizontal="left"/>
    </xf>
    <xf numFmtId="172" fontId="12" fillId="2" borderId="2" xfId="1" applyNumberFormat="1" applyFont="1" applyFill="1" applyBorder="1"/>
    <xf numFmtId="172" fontId="12" fillId="3" borderId="2" xfId="1" applyNumberFormat="1" applyFont="1" applyFill="1" applyBorder="1" applyAlignment="1">
      <alignment horizontal="right"/>
    </xf>
    <xf numFmtId="172" fontId="12" fillId="2" borderId="2" xfId="1" applyNumberFormat="1" applyFont="1" applyFill="1" applyBorder="1" applyAlignment="1">
      <alignment horizontal="right"/>
    </xf>
    <xf numFmtId="172" fontId="11" fillId="3" borderId="2" xfId="1" applyNumberFormat="1" applyFont="1" applyFill="1" applyBorder="1" applyAlignment="1">
      <alignment horizontal="right"/>
    </xf>
    <xf numFmtId="172" fontId="11" fillId="2" borderId="2" xfId="1" applyNumberFormat="1" applyFont="1" applyFill="1" applyBorder="1" applyAlignment="1">
      <alignment horizontal="right"/>
    </xf>
    <xf numFmtId="172" fontId="11" fillId="3" borderId="3" xfId="1" applyNumberFormat="1" applyFont="1" applyFill="1" applyBorder="1" applyAlignment="1">
      <alignment horizontal="right"/>
    </xf>
    <xf numFmtId="172" fontId="13" fillId="2" borderId="2" xfId="1" applyNumberFormat="1" applyFont="1" applyFill="1" applyBorder="1" applyAlignment="1">
      <alignment horizontal="right"/>
    </xf>
    <xf numFmtId="172" fontId="13" fillId="3" borderId="2" xfId="1" applyNumberFormat="1" applyFont="1" applyFill="1" applyBorder="1" applyAlignment="1">
      <alignment horizontal="right"/>
    </xf>
    <xf numFmtId="172" fontId="14" fillId="2" borderId="4" xfId="1" applyNumberFormat="1" applyFont="1" applyFill="1" applyBorder="1" applyAlignment="1">
      <alignment horizontal="left"/>
    </xf>
    <xf numFmtId="172" fontId="14" fillId="2" borderId="4" xfId="1" applyNumberFormat="1" applyFont="1" applyFill="1" applyBorder="1"/>
    <xf numFmtId="172" fontId="14" fillId="3" borderId="4" xfId="1" applyNumberFormat="1" applyFont="1" applyFill="1" applyBorder="1" applyAlignment="1">
      <alignment horizontal="right"/>
    </xf>
    <xf numFmtId="172" fontId="14" fillId="2" borderId="4" xfId="1" applyNumberFormat="1" applyFont="1" applyFill="1" applyBorder="1" applyAlignment="1">
      <alignment horizontal="right"/>
    </xf>
    <xf numFmtId="172" fontId="14" fillId="3" borderId="5" xfId="1" applyNumberFormat="1" applyFont="1" applyFill="1" applyBorder="1" applyAlignment="1">
      <alignment horizontal="right"/>
    </xf>
    <xf numFmtId="172" fontId="15" fillId="2" borderId="0" xfId="1" applyNumberFormat="1" applyFont="1" applyFill="1"/>
    <xf numFmtId="172" fontId="6" fillId="2" borderId="2" xfId="1" applyNumberFormat="1" applyFont="1" applyFill="1" applyBorder="1" applyAlignment="1">
      <alignment horizontal="left"/>
    </xf>
    <xf numFmtId="172" fontId="6" fillId="3" borderId="2" xfId="1" applyNumberFormat="1" applyFont="1" applyFill="1" applyBorder="1" applyAlignment="1">
      <alignment horizontal="right"/>
    </xf>
    <xf numFmtId="172" fontId="6" fillId="2" borderId="2" xfId="1" applyNumberFormat="1" applyFont="1" applyFill="1" applyBorder="1" applyAlignment="1">
      <alignment horizontal="right"/>
    </xf>
    <xf numFmtId="172" fontId="6" fillId="3" borderId="3" xfId="1" applyNumberFormat="1" applyFont="1" applyFill="1" applyBorder="1" applyAlignment="1">
      <alignment horizontal="right"/>
    </xf>
    <xf numFmtId="172" fontId="7" fillId="2" borderId="2" xfId="1" applyNumberFormat="1" applyFont="1" applyFill="1" applyBorder="1" applyAlignment="1">
      <alignment horizontal="right"/>
    </xf>
    <xf numFmtId="172" fontId="7" fillId="3" borderId="2" xfId="1" applyNumberFormat="1" applyFont="1" applyFill="1" applyBorder="1" applyAlignment="1">
      <alignment horizontal="right"/>
    </xf>
    <xf numFmtId="172" fontId="6" fillId="2" borderId="0" xfId="1" applyNumberFormat="1" applyFont="1" applyFill="1" applyAlignment="1">
      <alignment horizontal="left"/>
    </xf>
    <xf numFmtId="172" fontId="6" fillId="3" borderId="0" xfId="1" applyNumberFormat="1" applyFont="1" applyFill="1" applyAlignment="1">
      <alignment horizontal="right"/>
    </xf>
    <xf numFmtId="172" fontId="6" fillId="2" borderId="0" xfId="1" applyNumberFormat="1" applyFont="1" applyFill="1" applyAlignment="1">
      <alignment horizontal="right"/>
    </xf>
    <xf numFmtId="172" fontId="6" fillId="3" borderId="1" xfId="1" applyNumberFormat="1" applyFont="1" applyFill="1" applyBorder="1" applyAlignment="1">
      <alignment horizontal="right"/>
    </xf>
    <xf numFmtId="172" fontId="12" fillId="3" borderId="0" xfId="1" applyNumberFormat="1" applyFont="1" applyFill="1" applyAlignment="1">
      <alignment horizontal="left"/>
    </xf>
    <xf numFmtId="172" fontId="12" fillId="3" borderId="1" xfId="1" applyNumberFormat="1" applyFont="1" applyFill="1" applyBorder="1" applyAlignment="1">
      <alignment horizontal="left"/>
    </xf>
    <xf numFmtId="172" fontId="4" fillId="3" borderId="0" xfId="1" applyNumberFormat="1" applyFont="1" applyFill="1" applyAlignment="1">
      <alignment horizontal="center"/>
    </xf>
    <xf numFmtId="172" fontId="4" fillId="2" borderId="0" xfId="1" applyNumberFormat="1" applyFont="1" applyFill="1" applyAlignment="1">
      <alignment horizontal="center"/>
    </xf>
    <xf numFmtId="165" fontId="7" fillId="3" borderId="0" xfId="1" applyNumberFormat="1" applyFont="1" applyFill="1"/>
    <xf numFmtId="165" fontId="7" fillId="2" borderId="0" xfId="1" applyNumberFormat="1" applyFont="1" applyFill="1"/>
    <xf numFmtId="165" fontId="7" fillId="3" borderId="1" xfId="1" applyNumberFormat="1" applyFont="1" applyFill="1" applyBorder="1"/>
    <xf numFmtId="165" fontId="6" fillId="3" borderId="0" xfId="1" applyNumberFormat="1" applyFont="1" applyFill="1"/>
    <xf numFmtId="165" fontId="6" fillId="2" borderId="6" xfId="1" applyNumberFormat="1" applyFont="1" applyFill="1" applyBorder="1" applyAlignment="1">
      <alignment horizontal="left"/>
    </xf>
    <xf numFmtId="165" fontId="8" fillId="2" borderId="6" xfId="1" applyNumberFormat="1" applyFont="1" applyFill="1" applyBorder="1" applyAlignment="1">
      <alignment horizontal="left"/>
    </xf>
    <xf numFmtId="165" fontId="8" fillId="3" borderId="6" xfId="1" applyNumberFormat="1" applyFont="1" applyFill="1" applyBorder="1"/>
    <xf numFmtId="165" fontId="8" fillId="2" borderId="6" xfId="1" applyNumberFormat="1" applyFont="1" applyFill="1" applyBorder="1"/>
    <xf numFmtId="165" fontId="6" fillId="2" borderId="6" xfId="1" applyNumberFormat="1" applyFont="1" applyFill="1" applyBorder="1"/>
    <xf numFmtId="165" fontId="6" fillId="3" borderId="6" xfId="1" applyNumberFormat="1" applyFont="1" applyFill="1" applyBorder="1"/>
    <xf numFmtId="165" fontId="6" fillId="3" borderId="7" xfId="1" applyNumberFormat="1" applyFont="1" applyFill="1" applyBorder="1"/>
    <xf numFmtId="165" fontId="4" fillId="5" borderId="0" xfId="1" applyNumberFormat="1" applyFont="1" applyFill="1"/>
    <xf numFmtId="165" fontId="4" fillId="5" borderId="0" xfId="1" applyNumberFormat="1" applyFont="1" applyFill="1" applyAlignment="1">
      <alignment horizontal="right"/>
    </xf>
    <xf numFmtId="165" fontId="4" fillId="5" borderId="1" xfId="1" applyNumberFormat="1" applyFont="1" applyFill="1" applyBorder="1" applyAlignment="1">
      <alignment horizontal="right"/>
    </xf>
    <xf numFmtId="176" fontId="10" fillId="4" borderId="0" xfId="1" applyNumberFormat="1" applyFont="1" applyFill="1"/>
    <xf numFmtId="176" fontId="10" fillId="4" borderId="1" xfId="1" applyNumberFormat="1" applyFont="1" applyFill="1" applyBorder="1"/>
    <xf numFmtId="165" fontId="6" fillId="3" borderId="1" xfId="1" applyNumberFormat="1" applyFont="1" applyFill="1" applyBorder="1"/>
    <xf numFmtId="165" fontId="12" fillId="2" borderId="0" xfId="1" applyNumberFormat="1" applyFont="1" applyFill="1" applyAlignment="1">
      <alignment horizontal="left"/>
    </xf>
    <xf numFmtId="165" fontId="12" fillId="3" borderId="0" xfId="1" applyNumberFormat="1" applyFont="1" applyFill="1"/>
    <xf numFmtId="165" fontId="12" fillId="2" borderId="0" xfId="1" applyNumberFormat="1" applyFont="1" applyFill="1"/>
    <xf numFmtId="165" fontId="12" fillId="3" borderId="0" xfId="1" applyNumberFormat="1" applyFont="1" applyFill="1" applyAlignment="1">
      <alignment horizontal="right"/>
    </xf>
    <xf numFmtId="165" fontId="12" fillId="3" borderId="1" xfId="1" applyNumberFormat="1" applyFont="1" applyFill="1" applyBorder="1" applyAlignment="1">
      <alignment horizontal="right"/>
    </xf>
    <xf numFmtId="165" fontId="12" fillId="2" borderId="0" xfId="1" applyNumberFormat="1" applyFont="1" applyFill="1" applyAlignment="1">
      <alignment horizontal="right"/>
    </xf>
    <xf numFmtId="165" fontId="12" fillId="3" borderId="1" xfId="1" applyNumberFormat="1" applyFont="1" applyFill="1" applyBorder="1"/>
    <xf numFmtId="169" fontId="12" fillId="2" borderId="0" xfId="1" applyNumberFormat="1" applyFont="1" applyFill="1" applyAlignment="1">
      <alignment horizontal="left"/>
    </xf>
    <xf numFmtId="169" fontId="12" fillId="3" borderId="0" xfId="1" applyNumberFormat="1" applyFont="1" applyFill="1"/>
    <xf numFmtId="169" fontId="12" fillId="2" borderId="0" xfId="1" applyNumberFormat="1" applyFont="1" applyFill="1"/>
    <xf numFmtId="169" fontId="12" fillId="3" borderId="1" xfId="1" applyNumberFormat="1" applyFont="1" applyFill="1" applyBorder="1"/>
    <xf numFmtId="169" fontId="11" fillId="2" borderId="0" xfId="1" applyNumberFormat="1" applyFont="1" applyFill="1"/>
    <xf numFmtId="165" fontId="11" fillId="2" borderId="0" xfId="1" applyNumberFormat="1" applyFont="1" applyFill="1"/>
    <xf numFmtId="165" fontId="8" fillId="3" borderId="7" xfId="1" applyNumberFormat="1" applyFont="1" applyFill="1" applyBorder="1"/>
    <xf numFmtId="165" fontId="4" fillId="2" borderId="6" xfId="1" applyNumberFormat="1" applyFont="1" applyFill="1" applyBorder="1" applyAlignment="1">
      <alignment horizontal="left"/>
    </xf>
    <xf numFmtId="165" fontId="4" fillId="3" borderId="6" xfId="1" applyNumberFormat="1" applyFont="1" applyFill="1" applyBorder="1"/>
    <xf numFmtId="165" fontId="4" fillId="2" borderId="6" xfId="1" applyNumberFormat="1" applyFont="1" applyFill="1" applyBorder="1"/>
    <xf numFmtId="165" fontId="4" fillId="3" borderId="7" xfId="1" applyNumberFormat="1" applyFont="1" applyFill="1" applyBorder="1"/>
    <xf numFmtId="165" fontId="9" fillId="2" borderId="6" xfId="1" applyNumberFormat="1" applyFont="1" applyFill="1" applyBorder="1"/>
    <xf numFmtId="165" fontId="9" fillId="3" borderId="6" xfId="1" applyNumberFormat="1" applyFont="1" applyFill="1" applyBorder="1"/>
    <xf numFmtId="165" fontId="4" fillId="2" borderId="4" xfId="1" applyNumberFormat="1" applyFont="1" applyFill="1" applyBorder="1" applyAlignment="1">
      <alignment horizontal="left"/>
    </xf>
    <xf numFmtId="165" fontId="4" fillId="3" borderId="4" xfId="1" applyNumberFormat="1" applyFont="1" applyFill="1" applyBorder="1"/>
    <xf numFmtId="165" fontId="4" fillId="2" borderId="4" xfId="1" applyNumberFormat="1" applyFont="1" applyFill="1" applyBorder="1"/>
    <xf numFmtId="165" fontId="4" fillId="3" borderId="5" xfId="1" applyNumberFormat="1" applyFont="1" applyFill="1" applyBorder="1"/>
    <xf numFmtId="165" fontId="9" fillId="2" borderId="4" xfId="1" applyNumberFormat="1" applyFont="1" applyFill="1" applyBorder="1"/>
    <xf numFmtId="165" fontId="9" fillId="3" borderId="4" xfId="1" applyNumberFormat="1" applyFont="1" applyFill="1" applyBorder="1"/>
    <xf numFmtId="165" fontId="12" fillId="2" borderId="4" xfId="1" applyNumberFormat="1" applyFont="1" applyFill="1" applyBorder="1" applyAlignment="1">
      <alignment horizontal="left"/>
    </xf>
    <xf numFmtId="165" fontId="12" fillId="3" borderId="4" xfId="1" applyNumberFormat="1" applyFont="1" applyFill="1" applyBorder="1"/>
    <xf numFmtId="165" fontId="12" fillId="2" borderId="4" xfId="1" applyNumberFormat="1" applyFont="1" applyFill="1" applyBorder="1"/>
    <xf numFmtId="165" fontId="12" fillId="3" borderId="5" xfId="1" applyNumberFormat="1" applyFont="1" applyFill="1" applyBorder="1"/>
    <xf numFmtId="172" fontId="8" fillId="3" borderId="0" xfId="1" applyNumberFormat="1" applyFont="1" applyFill="1"/>
    <xf numFmtId="172" fontId="8" fillId="3" borderId="1" xfId="1" applyNumberFormat="1" applyFont="1" applyFill="1" applyBorder="1"/>
    <xf numFmtId="172" fontId="7" fillId="2" borderId="0" xfId="1" applyNumberFormat="1" applyFont="1" applyFill="1"/>
    <xf numFmtId="172" fontId="7" fillId="3" borderId="0" xfId="1" applyNumberFormat="1" applyFont="1" applyFill="1"/>
    <xf numFmtId="169" fontId="8" fillId="2" borderId="0" xfId="1" applyNumberFormat="1" applyFont="1" applyFill="1"/>
    <xf numFmtId="169" fontId="8" fillId="2" borderId="0" xfId="1" applyNumberFormat="1" applyFont="1" applyFill="1" applyAlignment="1">
      <alignment horizontal="left"/>
    </xf>
    <xf numFmtId="169" fontId="8" fillId="3" borderId="0" xfId="1" applyNumberFormat="1" applyFont="1" applyFill="1"/>
    <xf numFmtId="169" fontId="8" fillId="3" borderId="1" xfId="1" applyNumberFormat="1" applyFont="1" applyFill="1" applyBorder="1"/>
    <xf numFmtId="169" fontId="12" fillId="3" borderId="0" xfId="1" applyNumberFormat="1" applyFont="1" applyFill="1" applyAlignment="1">
      <alignment horizontal="right"/>
    </xf>
    <xf numFmtId="169" fontId="12" fillId="3" borderId="1" xfId="1" applyNumberFormat="1" applyFont="1" applyFill="1" applyBorder="1" applyAlignment="1">
      <alignment horizontal="right"/>
    </xf>
    <xf numFmtId="169" fontId="12" fillId="2" borderId="0" xfId="1" applyNumberFormat="1" applyFont="1" applyFill="1" applyAlignment="1">
      <alignment horizontal="right"/>
    </xf>
    <xf numFmtId="173" fontId="10" fillId="4" borderId="0" xfId="1" applyNumberFormat="1" applyFont="1" applyFill="1" applyAlignment="1">
      <alignment horizontal="left"/>
    </xf>
    <xf numFmtId="173" fontId="10" fillId="4" borderId="0" xfId="1" applyNumberFormat="1" applyFont="1" applyFill="1"/>
    <xf numFmtId="173" fontId="10" fillId="4" borderId="1" xfId="1" applyNumberFormat="1" applyFont="1" applyFill="1" applyBorder="1"/>
    <xf numFmtId="178" fontId="4" fillId="3" borderId="0" xfId="1" applyNumberFormat="1" applyFont="1" applyFill="1"/>
    <xf numFmtId="178" fontId="4" fillId="2" borderId="0" xfId="1" applyNumberFormat="1" applyFont="1" applyFill="1"/>
    <xf numFmtId="178" fontId="4" fillId="3" borderId="1" xfId="1" applyNumberFormat="1" applyFont="1" applyFill="1" applyBorder="1"/>
    <xf numFmtId="179" fontId="8" fillId="2" borderId="0" xfId="1" applyNumberFormat="1" applyFont="1" applyFill="1" applyAlignment="1">
      <alignment horizontal="left"/>
    </xf>
    <xf numFmtId="179" fontId="8" fillId="3" borderId="0" xfId="1" applyNumberFormat="1" applyFont="1" applyFill="1"/>
    <xf numFmtId="179" fontId="8" fillId="2" borderId="0" xfId="1" applyNumberFormat="1" applyFont="1" applyFill="1"/>
    <xf numFmtId="179" fontId="8" fillId="3" borderId="1" xfId="1" applyNumberFormat="1" applyFont="1" applyFill="1" applyBorder="1"/>
    <xf numFmtId="173" fontId="12" fillId="2" borderId="0" xfId="1" applyNumberFormat="1" applyFont="1" applyFill="1" applyAlignment="1">
      <alignment horizontal="left"/>
    </xf>
    <xf numFmtId="173" fontId="12" fillId="2" borderId="2" xfId="1" applyNumberFormat="1" applyFont="1" applyFill="1" applyBorder="1" applyAlignment="1">
      <alignment horizontal="left"/>
    </xf>
    <xf numFmtId="165" fontId="12" fillId="2" borderId="2" xfId="1" applyNumberFormat="1" applyFont="1" applyFill="1" applyBorder="1" applyAlignment="1">
      <alignment horizontal="left"/>
    </xf>
    <xf numFmtId="172" fontId="12" fillId="3" borderId="2" xfId="1" applyNumberFormat="1" applyFont="1" applyFill="1" applyBorder="1"/>
    <xf numFmtId="172" fontId="12" fillId="3" borderId="3" xfId="1" applyNumberFormat="1" applyFont="1" applyFill="1" applyBorder="1"/>
    <xf numFmtId="180" fontId="12" fillId="3" borderId="0" xfId="1" applyNumberFormat="1" applyFont="1" applyFill="1"/>
    <xf numFmtId="180" fontId="12" fillId="2" borderId="0" xfId="1" applyNumberFormat="1" applyFont="1" applyFill="1"/>
    <xf numFmtId="180" fontId="12" fillId="3" borderId="1" xfId="1" applyNumberFormat="1" applyFont="1" applyFill="1" applyBorder="1"/>
    <xf numFmtId="180" fontId="13" fillId="2" borderId="0" xfId="1" applyNumberFormat="1" applyFont="1" applyFill="1"/>
    <xf numFmtId="180" fontId="13" fillId="3" borderId="0" xfId="1" applyNumberFormat="1" applyFont="1" applyFill="1"/>
    <xf numFmtId="181" fontId="4" fillId="3" borderId="0" xfId="1" applyNumberFormat="1" applyFont="1" applyFill="1"/>
    <xf numFmtId="181" fontId="4" fillId="2" borderId="0" xfId="1" applyNumberFormat="1" applyFont="1" applyFill="1"/>
    <xf numFmtId="181" fontId="4" fillId="3" borderId="1" xfId="1" applyNumberFormat="1" applyFont="1" applyFill="1" applyBorder="1"/>
    <xf numFmtId="179" fontId="4" fillId="2" borderId="0" xfId="1" applyNumberFormat="1" applyFont="1" applyFill="1" applyAlignment="1">
      <alignment horizontal="left"/>
    </xf>
    <xf numFmtId="179" fontId="9" fillId="3" borderId="0" xfId="1" applyNumberFormat="1" applyFont="1" applyFill="1"/>
    <xf numFmtId="179" fontId="4" fillId="3" borderId="0" xfId="1" applyNumberFormat="1" applyFont="1" applyFill="1"/>
    <xf numFmtId="179" fontId="4" fillId="2" borderId="0" xfId="1" applyNumberFormat="1" applyFont="1" applyFill="1"/>
    <xf numFmtId="179" fontId="4" fillId="3" borderId="1" xfId="1" applyNumberFormat="1" applyFont="1" applyFill="1" applyBorder="1"/>
    <xf numFmtId="179" fontId="9" fillId="2" borderId="0" xfId="1" applyNumberFormat="1" applyFont="1" applyFill="1"/>
    <xf numFmtId="179" fontId="9" fillId="3" borderId="1" xfId="1" applyNumberFormat="1" applyFont="1" applyFill="1" applyBorder="1"/>
    <xf numFmtId="179" fontId="4" fillId="2" borderId="2" xfId="1" applyNumberFormat="1" applyFont="1" applyFill="1" applyBorder="1" applyAlignment="1">
      <alignment horizontal="left"/>
    </xf>
    <xf numFmtId="179" fontId="9" fillId="3" borderId="2" xfId="1" applyNumberFormat="1" applyFont="1" applyFill="1" applyBorder="1"/>
    <xf numFmtId="179" fontId="9" fillId="2" borderId="2" xfId="1" applyNumberFormat="1" applyFont="1" applyFill="1" applyBorder="1"/>
    <xf numFmtId="179" fontId="4" fillId="2" borderId="2" xfId="1" applyNumberFormat="1" applyFont="1" applyFill="1" applyBorder="1"/>
    <xf numFmtId="179" fontId="9" fillId="3" borderId="3" xfId="1" applyNumberFormat="1" applyFont="1" applyFill="1" applyBorder="1"/>
    <xf numFmtId="179" fontId="4" fillId="3" borderId="2" xfId="1" applyNumberFormat="1" applyFont="1" applyFill="1" applyBorder="1"/>
    <xf numFmtId="179" fontId="4" fillId="2" borderId="4" xfId="1" applyNumberFormat="1" applyFont="1" applyFill="1" applyBorder="1" applyAlignment="1">
      <alignment horizontal="left"/>
    </xf>
    <xf numFmtId="179" fontId="9" fillId="3" borderId="4" xfId="1" applyNumberFormat="1" applyFont="1" applyFill="1" applyBorder="1"/>
    <xf numFmtId="179" fontId="9" fillId="2" borderId="4" xfId="1" applyNumberFormat="1" applyFont="1" applyFill="1" applyBorder="1"/>
    <xf numFmtId="179" fontId="4" fillId="2" borderId="4" xfId="1" applyNumberFormat="1" applyFont="1" applyFill="1" applyBorder="1"/>
    <xf numFmtId="179" fontId="9" fillId="3" borderId="5" xfId="1" applyNumberFormat="1" applyFont="1" applyFill="1" applyBorder="1"/>
    <xf numFmtId="179" fontId="4" fillId="3" borderId="4" xfId="1" applyNumberFormat="1" applyFont="1" applyFill="1" applyBorder="1"/>
    <xf numFmtId="179" fontId="4" fillId="3" borderId="3" xfId="1" applyNumberFormat="1" applyFont="1" applyFill="1" applyBorder="1"/>
    <xf numFmtId="179" fontId="7" fillId="3" borderId="0" xfId="1" applyNumberFormat="1" applyFont="1" applyFill="1"/>
    <xf numFmtId="179" fontId="7" fillId="2" borderId="0" xfId="1" applyNumberFormat="1" applyFont="1" applyFill="1"/>
    <xf numFmtId="179" fontId="7" fillId="3" borderId="1" xfId="1" applyNumberFormat="1" applyFont="1" applyFill="1" applyBorder="1"/>
    <xf numFmtId="181" fontId="9" fillId="3" borderId="0" xfId="1" applyNumberFormat="1" applyFont="1" applyFill="1"/>
    <xf numFmtId="181" fontId="9" fillId="2" borderId="0" xfId="1" applyNumberFormat="1" applyFont="1" applyFill="1"/>
    <xf numFmtId="181" fontId="9" fillId="3" borderId="1" xfId="1" applyNumberFormat="1" applyFont="1" applyFill="1" applyBorder="1"/>
    <xf numFmtId="169" fontId="8" fillId="3" borderId="0" xfId="1" applyNumberFormat="1" applyFont="1" applyFill="1" applyAlignment="1">
      <alignment horizontal="right"/>
    </xf>
    <xf numFmtId="182" fontId="4" fillId="2" borderId="0" xfId="1" applyNumberFormat="1" applyFont="1" applyFill="1"/>
    <xf numFmtId="182" fontId="4" fillId="2" borderId="0" xfId="1" applyNumberFormat="1" applyFont="1" applyFill="1" applyAlignment="1">
      <alignment horizontal="left"/>
    </xf>
    <xf numFmtId="182" fontId="9" fillId="3" borderId="0" xfId="1" applyNumberFormat="1" applyFont="1" applyFill="1"/>
    <xf numFmtId="182" fontId="9" fillId="2" borderId="0" xfId="1" applyNumberFormat="1" applyFont="1" applyFill="1"/>
    <xf numFmtId="182" fontId="4" fillId="3" borderId="0" xfId="1" applyNumberFormat="1" applyFont="1" applyFill="1"/>
    <xf numFmtId="182" fontId="4" fillId="3" borderId="1" xfId="1" applyNumberFormat="1" applyFont="1" applyFill="1" applyBorder="1"/>
    <xf numFmtId="182" fontId="5" fillId="2" borderId="0" xfId="1" applyNumberFormat="1" applyFont="1" applyFill="1"/>
    <xf numFmtId="182" fontId="8" fillId="2" borderId="0" xfId="1" applyNumberFormat="1" applyFont="1" applyFill="1"/>
    <xf numFmtId="182" fontId="8" fillId="2" borderId="0" xfId="1" applyNumberFormat="1" applyFont="1" applyFill="1" applyAlignment="1">
      <alignment horizontal="left"/>
    </xf>
    <xf numFmtId="183" fontId="8" fillId="3" borderId="0" xfId="1" applyNumberFormat="1" applyFont="1" applyFill="1"/>
    <xf numFmtId="183" fontId="8" fillId="2" borderId="0" xfId="1" applyNumberFormat="1" applyFont="1" applyFill="1"/>
    <xf numFmtId="183" fontId="8" fillId="3" borderId="1" xfId="1" applyNumberFormat="1" applyFont="1" applyFill="1" applyBorder="1"/>
    <xf numFmtId="183" fontId="7" fillId="2" borderId="0" xfId="1" applyNumberFormat="1" applyFont="1" applyFill="1"/>
    <xf numFmtId="183" fontId="7" fillId="3" borderId="0" xfId="1" applyNumberFormat="1" applyFont="1" applyFill="1"/>
    <xf numFmtId="172" fontId="7" fillId="2" borderId="0" xfId="1" applyNumberFormat="1" applyFont="1" applyFill="1" applyAlignment="1">
      <alignment horizontal="right"/>
    </xf>
    <xf numFmtId="172" fontId="7" fillId="3" borderId="0" xfId="1" applyNumberFormat="1" applyFont="1" applyFill="1" applyAlignment="1">
      <alignment horizontal="right"/>
    </xf>
    <xf numFmtId="175" fontId="8" fillId="3" borderId="0" xfId="1" applyNumberFormat="1" applyFont="1" applyFill="1" applyAlignment="1">
      <alignment horizontal="right"/>
    </xf>
    <xf numFmtId="175" fontId="8" fillId="2" borderId="0" xfId="1" applyNumberFormat="1" applyFont="1" applyFill="1" applyAlignment="1">
      <alignment horizontal="right"/>
    </xf>
    <xf numFmtId="175" fontId="8" fillId="3" borderId="1" xfId="1" applyNumberFormat="1" applyFont="1" applyFill="1" applyBorder="1" applyAlignment="1">
      <alignment horizontal="right"/>
    </xf>
    <xf numFmtId="175" fontId="6" fillId="2" borderId="0" xfId="1" applyNumberFormat="1" applyFont="1" applyFill="1"/>
    <xf numFmtId="175" fontId="8" fillId="2" borderId="0" xfId="1" applyNumberFormat="1" applyFont="1" applyFill="1" applyAlignment="1">
      <alignment horizontal="left"/>
    </xf>
    <xf numFmtId="175" fontId="6" fillId="3" borderId="0" xfId="1" applyNumberFormat="1" applyFont="1" applyFill="1" applyAlignment="1">
      <alignment horizontal="right"/>
    </xf>
    <xf numFmtId="175" fontId="8" fillId="2" borderId="0" xfId="1" applyNumberFormat="1" applyFont="1" applyFill="1"/>
    <xf numFmtId="0" fontId="4" fillId="2" borderId="0" xfId="1" applyFont="1" applyFill="1" applyAlignment="1">
      <alignment horizontal="left"/>
    </xf>
    <xf numFmtId="0" fontId="4" fillId="3" borderId="0" xfId="1" applyFont="1" applyFill="1"/>
    <xf numFmtId="0" fontId="4" fillId="3" borderId="1" xfId="1" applyFont="1" applyFill="1" applyBorder="1"/>
    <xf numFmtId="184" fontId="6" fillId="2" borderId="0" xfId="1" applyNumberFormat="1" applyFont="1" applyFill="1" applyAlignment="1">
      <alignment horizontal="left"/>
    </xf>
    <xf numFmtId="183" fontId="7" fillId="2" borderId="0" xfId="1" applyNumberFormat="1" applyFont="1" applyFill="1" applyAlignment="1">
      <alignment horizontal="left"/>
    </xf>
    <xf numFmtId="183" fontId="6" fillId="3" borderId="0" xfId="1" applyNumberFormat="1" applyFont="1" applyFill="1" applyAlignment="1">
      <alignment horizontal="right"/>
    </xf>
    <xf numFmtId="183" fontId="6" fillId="2" borderId="0" xfId="1" applyNumberFormat="1" applyFont="1" applyFill="1" applyAlignment="1">
      <alignment horizontal="right"/>
    </xf>
    <xf numFmtId="183" fontId="8" fillId="2" borderId="0" xfId="1" applyNumberFormat="1" applyFont="1" applyFill="1" applyAlignment="1">
      <alignment horizontal="right"/>
    </xf>
    <xf numFmtId="183" fontId="6" fillId="2" borderId="0" xfId="1" applyNumberFormat="1" applyFont="1" applyFill="1"/>
    <xf numFmtId="175" fontId="4" fillId="2" borderId="0" xfId="1" applyNumberFormat="1" applyFont="1" applyFill="1"/>
    <xf numFmtId="175" fontId="4" fillId="2" borderId="0" xfId="1" applyNumberFormat="1" applyFont="1" applyFill="1" applyAlignment="1">
      <alignment horizontal="left"/>
    </xf>
    <xf numFmtId="175" fontId="4" fillId="3" borderId="0" xfId="1" applyNumberFormat="1" applyFont="1" applyFill="1" applyAlignment="1">
      <alignment horizontal="right"/>
    </xf>
    <xf numFmtId="175" fontId="4" fillId="2" borderId="0" xfId="1" applyNumberFormat="1" applyFont="1" applyFill="1" applyAlignment="1">
      <alignment horizontal="right"/>
    </xf>
    <xf numFmtId="175" fontId="4" fillId="3" borderId="1" xfId="1" applyNumberFormat="1" applyFont="1" applyFill="1" applyBorder="1" applyAlignment="1">
      <alignment horizontal="right"/>
    </xf>
    <xf numFmtId="175" fontId="5" fillId="2" borderId="0" xfId="1" applyNumberFormat="1" applyFont="1" applyFill="1"/>
    <xf numFmtId="175" fontId="5" fillId="3" borderId="0" xfId="1" applyNumberFormat="1" applyFont="1" applyFill="1" applyAlignment="1">
      <alignment horizontal="right"/>
    </xf>
    <xf numFmtId="183" fontId="5" fillId="2" borderId="0" xfId="1" applyNumberFormat="1" applyFont="1" applyFill="1" applyAlignment="1">
      <alignment horizontal="left"/>
    </xf>
    <xf numFmtId="183" fontId="4" fillId="2" borderId="0" xfId="1" applyNumberFormat="1" applyFont="1" applyFill="1"/>
    <xf numFmtId="183" fontId="5" fillId="3" borderId="0" xfId="1" applyNumberFormat="1" applyFont="1" applyFill="1" applyAlignment="1">
      <alignment horizontal="right"/>
    </xf>
    <xf numFmtId="183" fontId="5" fillId="2" borderId="0" xfId="1" applyNumberFormat="1" applyFont="1" applyFill="1" applyAlignment="1">
      <alignment horizontal="right"/>
    </xf>
    <xf numFmtId="183" fontId="4" fillId="3" borderId="0" xfId="1" applyNumberFormat="1" applyFont="1" applyFill="1"/>
    <xf numFmtId="183" fontId="4" fillId="2" borderId="0" xfId="1" applyNumberFormat="1" applyFont="1" applyFill="1" applyAlignment="1">
      <alignment horizontal="right"/>
    </xf>
    <xf numFmtId="183" fontId="4" fillId="3" borderId="1" xfId="1" applyNumberFormat="1" applyFont="1" applyFill="1" applyBorder="1"/>
    <xf numFmtId="183" fontId="5" fillId="2" borderId="0" xfId="1" applyNumberFormat="1" applyFont="1" applyFill="1"/>
    <xf numFmtId="185" fontId="5" fillId="3" borderId="0" xfId="1" applyNumberFormat="1" applyFont="1" applyFill="1" applyAlignment="1">
      <alignment horizontal="right"/>
    </xf>
    <xf numFmtId="185" fontId="5" fillId="2" borderId="0" xfId="1" applyNumberFormat="1" applyFont="1" applyFill="1" applyAlignment="1">
      <alignment horizontal="right"/>
    </xf>
    <xf numFmtId="185" fontId="4" fillId="3" borderId="0" xfId="1" applyNumberFormat="1" applyFont="1" applyFill="1"/>
    <xf numFmtId="185" fontId="4" fillId="2" borderId="0" xfId="1" applyNumberFormat="1" applyFont="1" applyFill="1" applyAlignment="1">
      <alignment horizontal="right"/>
    </xf>
    <xf numFmtId="185" fontId="4" fillId="3" borderId="1" xfId="1" applyNumberFormat="1" applyFont="1" applyFill="1" applyBorder="1"/>
    <xf numFmtId="176" fontId="5" fillId="2" borderId="0" xfId="1" applyNumberFormat="1" applyFont="1" applyFill="1" applyAlignment="1">
      <alignment horizontal="left"/>
    </xf>
    <xf numFmtId="176" fontId="4" fillId="2" borderId="0" xfId="1" applyNumberFormat="1" applyFont="1" applyFill="1"/>
    <xf numFmtId="176" fontId="5" fillId="3" borderId="0" xfId="1" applyNumberFormat="1" applyFont="1" applyFill="1" applyAlignment="1">
      <alignment horizontal="right"/>
    </xf>
    <xf numFmtId="176" fontId="5" fillId="2" borderId="0" xfId="1" applyNumberFormat="1" applyFont="1" applyFill="1" applyAlignment="1">
      <alignment horizontal="right"/>
    </xf>
    <xf numFmtId="176" fontId="4" fillId="3" borderId="0" xfId="1" applyNumberFormat="1" applyFont="1" applyFill="1"/>
    <xf numFmtId="176" fontId="4" fillId="2" borderId="0" xfId="1" applyNumberFormat="1" applyFont="1" applyFill="1" applyAlignment="1">
      <alignment horizontal="right"/>
    </xf>
    <xf numFmtId="176" fontId="4" fillId="3" borderId="1" xfId="1" applyNumberFormat="1" applyFont="1" applyFill="1" applyBorder="1"/>
    <xf numFmtId="176" fontId="5" fillId="2" borderId="0" xfId="1" applyNumberFormat="1" applyFont="1" applyFill="1"/>
    <xf numFmtId="176" fontId="4" fillId="2" borderId="0" xfId="1" applyNumberFormat="1" applyFont="1" applyFill="1" applyAlignment="1">
      <alignment horizontal="left"/>
    </xf>
    <xf numFmtId="172" fontId="14" fillId="2" borderId="0" xfId="1" applyNumberFormat="1" applyFont="1" applyFill="1" applyAlignment="1">
      <alignment horizontal="left"/>
    </xf>
    <xf numFmtId="172" fontId="14" fillId="3" borderId="0" xfId="1" applyNumberFormat="1" applyFont="1" applyFill="1"/>
    <xf numFmtId="172" fontId="14" fillId="2" borderId="0" xfId="1" applyNumberFormat="1" applyFont="1" applyFill="1"/>
    <xf numFmtId="172" fontId="14" fillId="3" borderId="1" xfId="1" applyNumberFormat="1" applyFont="1" applyFill="1" applyBorder="1"/>
    <xf numFmtId="172" fontId="16" fillId="2" borderId="0" xfId="1" applyNumberFormat="1" applyFont="1" applyFill="1"/>
    <xf numFmtId="172" fontId="16" fillId="3" borderId="0" xfId="1" applyNumberFormat="1" applyFont="1" applyFill="1"/>
    <xf numFmtId="165" fontId="10" fillId="4" borderId="0" xfId="1" applyNumberFormat="1" applyFont="1" applyFill="1" applyAlignment="1">
      <alignment horizontal="left"/>
    </xf>
    <xf numFmtId="165" fontId="10" fillId="4" borderId="0" xfId="1" applyNumberFormat="1" applyFont="1" applyFill="1" applyAlignment="1">
      <alignment horizontal="right"/>
    </xf>
    <xf numFmtId="165" fontId="10" fillId="4" borderId="1" xfId="1" applyNumberFormat="1" applyFont="1" applyFill="1" applyBorder="1" applyAlignment="1">
      <alignment horizontal="right"/>
    </xf>
    <xf numFmtId="165" fontId="8" fillId="3" borderId="0" xfId="1" applyNumberFormat="1" applyFont="1" applyFill="1" applyAlignment="1">
      <alignment horizontal="right"/>
    </xf>
    <xf numFmtId="165" fontId="8" fillId="2" borderId="0" xfId="1" applyNumberFormat="1" applyFont="1" applyFill="1" applyAlignment="1">
      <alignment horizontal="right"/>
    </xf>
    <xf numFmtId="165" fontId="8" fillId="3" borderId="1" xfId="1" applyNumberFormat="1" applyFont="1" applyFill="1" applyBorder="1" applyAlignment="1">
      <alignment horizontal="right"/>
    </xf>
    <xf numFmtId="173" fontId="8" fillId="3" borderId="0" xfId="1" applyNumberFormat="1" applyFont="1" applyFill="1" applyAlignment="1">
      <alignment horizontal="right"/>
    </xf>
    <xf numFmtId="173" fontId="8" fillId="2" borderId="0" xfId="1" applyNumberFormat="1" applyFont="1" applyFill="1" applyAlignment="1">
      <alignment horizontal="right"/>
    </xf>
    <xf numFmtId="173" fontId="8" fillId="3" borderId="1" xfId="1" applyNumberFormat="1" applyFont="1" applyFill="1" applyBorder="1" applyAlignment="1">
      <alignment horizontal="right"/>
    </xf>
    <xf numFmtId="176" fontId="4" fillId="5" borderId="0" xfId="1" applyNumberFormat="1" applyFont="1" applyFill="1" applyAlignment="1">
      <alignment horizontal="right"/>
    </xf>
    <xf numFmtId="176" fontId="4" fillId="5" borderId="1" xfId="1" applyNumberFormat="1" applyFont="1" applyFill="1" applyBorder="1" applyAlignment="1">
      <alignment horizontal="right"/>
    </xf>
    <xf numFmtId="165" fontId="8" fillId="2" borderId="8" xfId="1" applyNumberFormat="1" applyFont="1" applyFill="1" applyBorder="1"/>
    <xf numFmtId="173" fontId="8" fillId="2" borderId="9" xfId="1" applyNumberFormat="1" applyFont="1" applyFill="1" applyBorder="1"/>
    <xf numFmtId="173" fontId="8" fillId="2" borderId="1" xfId="1" applyNumberFormat="1" applyFont="1" applyFill="1" applyBorder="1"/>
    <xf numFmtId="186" fontId="4" fillId="2" borderId="10" xfId="1" applyNumberFormat="1" applyFont="1" applyFill="1" applyBorder="1" applyAlignment="1">
      <alignment horizontal="left"/>
    </xf>
    <xf numFmtId="173" fontId="4" fillId="2" borderId="9" xfId="1" applyNumberFormat="1" applyFont="1" applyFill="1" applyBorder="1"/>
    <xf numFmtId="173" fontId="4" fillId="2" borderId="1" xfId="1" applyNumberFormat="1" applyFont="1" applyFill="1" applyBorder="1"/>
    <xf numFmtId="187" fontId="4" fillId="2" borderId="10" xfId="1" applyNumberFormat="1" applyFont="1" applyFill="1" applyBorder="1" applyAlignment="1">
      <alignment horizontal="left"/>
    </xf>
    <xf numFmtId="188" fontId="4" fillId="2" borderId="10" xfId="1" applyNumberFormat="1" applyFont="1" applyFill="1" applyBorder="1" applyAlignment="1">
      <alignment horizontal="left"/>
    </xf>
    <xf numFmtId="189" fontId="4" fillId="2" borderId="10" xfId="1" applyNumberFormat="1" applyFont="1" applyFill="1" applyBorder="1" applyAlignment="1">
      <alignment horizontal="left"/>
    </xf>
    <xf numFmtId="190" fontId="4" fillId="2" borderId="11" xfId="1" applyNumberFormat="1" applyFont="1" applyFill="1" applyBorder="1" applyAlignment="1">
      <alignment horizontal="left"/>
    </xf>
    <xf numFmtId="165" fontId="8" fillId="2" borderId="12" xfId="1" applyNumberFormat="1" applyFont="1" applyFill="1" applyBorder="1"/>
    <xf numFmtId="0" fontId="8" fillId="2" borderId="13" xfId="1" applyFont="1" applyFill="1" applyBorder="1"/>
    <xf numFmtId="0" fontId="8" fillId="2" borderId="0" xfId="1" applyFont="1" applyFill="1"/>
    <xf numFmtId="0" fontId="8" fillId="2" borderId="1" xfId="1" applyFont="1" applyFill="1" applyBorder="1"/>
    <xf numFmtId="165" fontId="4" fillId="2" borderId="9" xfId="1" applyNumberFormat="1" applyFont="1" applyFill="1" applyBorder="1" applyAlignment="1">
      <alignment horizontal="left"/>
    </xf>
    <xf numFmtId="173" fontId="9" fillId="2" borderId="14" xfId="1" applyNumberFormat="1" applyFont="1" applyFill="1" applyBorder="1"/>
    <xf numFmtId="165" fontId="4" fillId="2" borderId="15" xfId="1" applyNumberFormat="1" applyFont="1" applyFill="1" applyBorder="1" applyAlignment="1">
      <alignment horizontal="left"/>
    </xf>
    <xf numFmtId="173" fontId="9" fillId="2" borderId="16" xfId="1" applyNumberFormat="1" applyFont="1" applyFill="1" applyBorder="1"/>
    <xf numFmtId="173" fontId="4" fillId="2" borderId="4" xfId="1" applyNumberFormat="1" applyFont="1" applyFill="1" applyBorder="1"/>
    <xf numFmtId="165" fontId="6" fillId="2" borderId="13" xfId="1" applyNumberFormat="1" applyFont="1" applyFill="1" applyBorder="1" applyAlignment="1">
      <alignment horizontal="left"/>
    </xf>
    <xf numFmtId="165" fontId="5" fillId="2" borderId="14" xfId="1" applyNumberFormat="1" applyFont="1" applyFill="1" applyBorder="1" applyAlignment="1">
      <alignment horizontal="left"/>
    </xf>
    <xf numFmtId="165" fontId="4" fillId="2" borderId="16" xfId="1" applyNumberFormat="1" applyFont="1" applyFill="1" applyBorder="1" applyAlignment="1">
      <alignment horizontal="left"/>
    </xf>
    <xf numFmtId="165" fontId="8" fillId="2" borderId="13" xfId="1" applyNumberFormat="1" applyFont="1" applyFill="1" applyBorder="1" applyAlignment="1">
      <alignment horizontal="left"/>
    </xf>
    <xf numFmtId="165" fontId="4" fillId="2" borderId="14" xfId="1" applyNumberFormat="1" applyFont="1" applyFill="1" applyBorder="1" applyAlignment="1">
      <alignment horizontal="left"/>
    </xf>
    <xf numFmtId="173" fontId="4" fillId="2" borderId="3" xfId="1" applyNumberFormat="1" applyFont="1" applyFill="1" applyBorder="1"/>
    <xf numFmtId="173" fontId="4" fillId="2" borderId="5" xfId="1" applyNumberFormat="1" applyFont="1" applyFill="1" applyBorder="1"/>
    <xf numFmtId="173" fontId="4" fillId="2" borderId="13" xfId="1" applyNumberFormat="1" applyFont="1" applyFill="1" applyBorder="1"/>
    <xf numFmtId="14" fontId="8" fillId="2" borderId="0" xfId="1" applyNumberFormat="1" applyFont="1" applyFill="1" applyAlignment="1">
      <alignment horizontal="right"/>
    </xf>
    <xf numFmtId="14" fontId="7" fillId="2" borderId="0" xfId="1" applyNumberFormat="1" applyFont="1" applyFill="1" applyAlignment="1">
      <alignment horizontal="right"/>
    </xf>
    <xf numFmtId="14" fontId="7" fillId="2" borderId="1" xfId="1" applyNumberFormat="1" applyFont="1" applyFill="1" applyBorder="1" applyAlignment="1">
      <alignment horizontal="right"/>
    </xf>
    <xf numFmtId="14" fontId="8" fillId="2" borderId="14" xfId="1" applyNumberFormat="1" applyFont="1" applyFill="1" applyBorder="1" applyAlignment="1">
      <alignment horizontal="right"/>
    </xf>
    <xf numFmtId="0" fontId="8" fillId="2" borderId="0" xfId="1" applyFont="1" applyFill="1" applyAlignment="1">
      <alignment horizontal="right"/>
    </xf>
    <xf numFmtId="0" fontId="8" fillId="2" borderId="1" xfId="1" applyFont="1" applyFill="1" applyBorder="1" applyAlignment="1">
      <alignment horizontal="right"/>
    </xf>
    <xf numFmtId="0" fontId="8" fillId="2" borderId="14" xfId="1" applyFont="1" applyFill="1" applyBorder="1" applyAlignment="1">
      <alignment horizontal="right"/>
    </xf>
    <xf numFmtId="165" fontId="8" fillId="2" borderId="2" xfId="1" applyNumberFormat="1" applyFont="1" applyFill="1" applyBorder="1" applyAlignment="1">
      <alignment horizontal="left"/>
    </xf>
    <xf numFmtId="173" fontId="4" fillId="2" borderId="16" xfId="1" applyNumberFormat="1" applyFont="1" applyFill="1" applyBorder="1"/>
    <xf numFmtId="14" fontId="8" fillId="2" borderId="1" xfId="1" applyNumberFormat="1" applyFont="1" applyFill="1" applyBorder="1" applyAlignment="1">
      <alignment horizontal="right"/>
    </xf>
    <xf numFmtId="165" fontId="8" fillId="2" borderId="5" xfId="1" applyNumberFormat="1" applyFont="1" applyFill="1" applyBorder="1"/>
    <xf numFmtId="165" fontId="8" fillId="2" borderId="13" xfId="1" applyNumberFormat="1" applyFont="1" applyFill="1" applyBorder="1"/>
    <xf numFmtId="165" fontId="6" fillId="2" borderId="9" xfId="1" applyNumberFormat="1" applyFont="1" applyFill="1" applyBorder="1"/>
    <xf numFmtId="165" fontId="8" fillId="2" borderId="9" xfId="1" applyNumberFormat="1" applyFont="1" applyFill="1" applyBorder="1"/>
    <xf numFmtId="165" fontId="8" fillId="2" borderId="1" xfId="1" applyNumberFormat="1" applyFont="1" applyFill="1" applyBorder="1"/>
    <xf numFmtId="165" fontId="8" fillId="2" borderId="14" xfId="1" applyNumberFormat="1" applyFont="1" applyFill="1" applyBorder="1"/>
    <xf numFmtId="165" fontId="4" fillId="2" borderId="14" xfId="1" applyNumberFormat="1" applyFont="1" applyFill="1" applyBorder="1"/>
    <xf numFmtId="165" fontId="5" fillId="2" borderId="9" xfId="1" applyNumberFormat="1" applyFont="1" applyFill="1" applyBorder="1"/>
    <xf numFmtId="191" fontId="4" fillId="2" borderId="0" xfId="1" applyNumberFormat="1" applyFont="1" applyFill="1"/>
    <xf numFmtId="0" fontId="4" fillId="2" borderId="15" xfId="1" applyFont="1" applyFill="1" applyBorder="1"/>
    <xf numFmtId="0" fontId="4" fillId="2" borderId="2" xfId="1" applyFont="1" applyFill="1" applyBorder="1"/>
    <xf numFmtId="0" fontId="4" fillId="2" borderId="3" xfId="1" applyFont="1" applyFill="1" applyBorder="1"/>
    <xf numFmtId="0" fontId="4" fillId="2" borderId="16" xfId="1" applyFont="1" applyFill="1" applyBorder="1"/>
    <xf numFmtId="0" fontId="5" fillId="2" borderId="9" xfId="1" applyFont="1" applyFill="1" applyBorder="1"/>
    <xf numFmtId="0" fontId="4" fillId="2" borderId="6" xfId="1" applyFont="1" applyFill="1" applyBorder="1"/>
    <xf numFmtId="0" fontId="4" fillId="2" borderId="7" xfId="1" applyFont="1" applyFill="1" applyBorder="1"/>
    <xf numFmtId="174" fontId="8" fillId="2" borderId="12" xfId="1" applyNumberFormat="1" applyFont="1" applyFill="1" applyBorder="1"/>
    <xf numFmtId="0" fontId="4" fillId="2" borderId="4" xfId="1" applyFont="1" applyFill="1" applyBorder="1"/>
    <xf numFmtId="0" fontId="4" fillId="2" borderId="5" xfId="1" applyFont="1" applyFill="1" applyBorder="1"/>
    <xf numFmtId="0" fontId="4" fillId="2" borderId="13" xfId="1" applyFont="1" applyFill="1" applyBorder="1"/>
    <xf numFmtId="174" fontId="4" fillId="2" borderId="9" xfId="1" applyNumberFormat="1" applyFont="1" applyFill="1" applyBorder="1"/>
    <xf numFmtId="17" fontId="4" fillId="2" borderId="0" xfId="1" applyNumberFormat="1" applyFont="1" applyFill="1"/>
    <xf numFmtId="17" fontId="4" fillId="2" borderId="1" xfId="1" applyNumberFormat="1" applyFont="1" applyFill="1" applyBorder="1"/>
    <xf numFmtId="17" fontId="4" fillId="2" borderId="14" xfId="1" applyNumberFormat="1" applyFont="1" applyFill="1" applyBorder="1"/>
    <xf numFmtId="183" fontId="4" fillId="2" borderId="9" xfId="1" applyNumberFormat="1" applyFont="1" applyFill="1" applyBorder="1" applyAlignment="1">
      <alignment horizontal="left"/>
    </xf>
    <xf numFmtId="183" fontId="4" fillId="2" borderId="1" xfId="1" applyNumberFormat="1" applyFont="1" applyFill="1" applyBorder="1"/>
    <xf numFmtId="183" fontId="4" fillId="2" borderId="14" xfId="1" applyNumberFormat="1" applyFont="1" applyFill="1" applyBorder="1"/>
    <xf numFmtId="183" fontId="5" fillId="2" borderId="9" xfId="1" applyNumberFormat="1" applyFont="1" applyFill="1" applyBorder="1"/>
    <xf numFmtId="183" fontId="9" fillId="2" borderId="0" xfId="1" applyNumberFormat="1" applyFont="1" applyFill="1"/>
    <xf numFmtId="183" fontId="9" fillId="2" borderId="1" xfId="1" applyNumberFormat="1" applyFont="1" applyFill="1" applyBorder="1"/>
    <xf numFmtId="0" fontId="4" fillId="2" borderId="9" xfId="1" applyFont="1" applyFill="1" applyBorder="1"/>
    <xf numFmtId="0" fontId="4" fillId="2" borderId="14" xfId="1" applyFont="1" applyFill="1" applyBorder="1"/>
    <xf numFmtId="176" fontId="4" fillId="2" borderId="9" xfId="1" applyNumberFormat="1" applyFont="1" applyFill="1" applyBorder="1" applyAlignment="1">
      <alignment horizontal="left"/>
    </xf>
    <xf numFmtId="176" fontId="4" fillId="2" borderId="1" xfId="1" applyNumberFormat="1" applyFont="1" applyFill="1" applyBorder="1"/>
    <xf numFmtId="176" fontId="4" fillId="2" borderId="14" xfId="1" applyNumberFormat="1" applyFont="1" applyFill="1" applyBorder="1"/>
    <xf numFmtId="176" fontId="5" fillId="2" borderId="9" xfId="1" applyNumberFormat="1" applyFont="1" applyFill="1" applyBorder="1"/>
    <xf numFmtId="176" fontId="9" fillId="2" borderId="0" xfId="1" applyNumberFormat="1" applyFont="1" applyFill="1"/>
    <xf numFmtId="176" fontId="9" fillId="2" borderId="1" xfId="1" applyNumberFormat="1" applyFont="1" applyFill="1" applyBorder="1"/>
    <xf numFmtId="0" fontId="4" fillId="2" borderId="9" xfId="1" applyFont="1" applyFill="1" applyBorder="1" applyAlignment="1">
      <alignment horizontal="left"/>
    </xf>
    <xf numFmtId="185" fontId="9" fillId="2" borderId="0" xfId="1" applyNumberFormat="1" applyFont="1" applyFill="1"/>
    <xf numFmtId="185" fontId="9" fillId="2" borderId="1" xfId="1" applyNumberFormat="1" applyFont="1" applyFill="1" applyBorder="1"/>
    <xf numFmtId="185" fontId="4" fillId="2" borderId="0" xfId="1" applyNumberFormat="1" applyFont="1" applyFill="1"/>
    <xf numFmtId="185" fontId="4" fillId="2" borderId="14" xfId="1" applyNumberFormat="1" applyFont="1" applyFill="1" applyBorder="1"/>
    <xf numFmtId="0" fontId="4" fillId="2" borderId="15" xfId="1" applyFont="1" applyFill="1" applyBorder="1" applyAlignment="1">
      <alignment horizontal="left"/>
    </xf>
    <xf numFmtId="176" fontId="4" fillId="2" borderId="2" xfId="1" applyNumberFormat="1" applyFont="1" applyFill="1" applyBorder="1"/>
    <xf numFmtId="176" fontId="4" fillId="2" borderId="3" xfId="1" applyNumberFormat="1" applyFont="1" applyFill="1" applyBorder="1"/>
    <xf numFmtId="176" fontId="4" fillId="2" borderId="16" xfId="1" applyNumberFormat="1" applyFont="1" applyFill="1" applyBorder="1"/>
    <xf numFmtId="192" fontId="4" fillId="2" borderId="0" xfId="1" applyNumberFormat="1" applyFont="1" applyFill="1"/>
    <xf numFmtId="0" fontId="17" fillId="4" borderId="0" xfId="1" applyFont="1" applyFill="1"/>
    <xf numFmtId="0" fontId="0" fillId="10" borderId="0" xfId="0" applyFill="1"/>
    <xf numFmtId="172" fontId="4" fillId="13" borderId="0" xfId="1" applyNumberFormat="1" applyFont="1" applyFill="1" applyAlignment="1">
      <alignment horizontal="right"/>
    </xf>
    <xf numFmtId="172" fontId="9" fillId="12" borderId="0" xfId="1" applyNumberFormat="1" applyFont="1" applyFill="1" applyAlignment="1">
      <alignment horizontal="right"/>
    </xf>
    <xf numFmtId="172" fontId="9" fillId="13" borderId="0" xfId="1" applyNumberFormat="1" applyFont="1" applyFill="1" applyAlignment="1">
      <alignment horizontal="right"/>
    </xf>
    <xf numFmtId="0" fontId="19" fillId="14" borderId="0" xfId="0" applyFont="1" applyFill="1"/>
    <xf numFmtId="0" fontId="18" fillId="14" borderId="0" xfId="0" applyFont="1" applyFill="1"/>
    <xf numFmtId="0" fontId="0" fillId="15" borderId="0" xfId="0" applyFill="1"/>
    <xf numFmtId="172" fontId="4" fillId="14" borderId="0" xfId="1" applyNumberFormat="1" applyFont="1" applyFill="1" applyAlignment="1">
      <alignment horizontal="right"/>
    </xf>
    <xf numFmtId="172" fontId="9" fillId="12" borderId="21" xfId="1" applyNumberFormat="1" applyFont="1" applyFill="1" applyBorder="1" applyAlignment="1">
      <alignment horizontal="right"/>
    </xf>
    <xf numFmtId="172" fontId="4" fillId="14" borderId="20" xfId="1" applyNumberFormat="1" applyFont="1" applyFill="1" applyBorder="1" applyAlignment="1">
      <alignment horizontal="right"/>
    </xf>
    <xf numFmtId="165" fontId="9" fillId="7" borderId="22" xfId="1" applyNumberFormat="1" applyFont="1" applyFill="1" applyBorder="1"/>
    <xf numFmtId="165" fontId="9" fillId="7" borderId="23" xfId="1" applyNumberFormat="1" applyFont="1" applyFill="1" applyBorder="1"/>
    <xf numFmtId="165" fontId="9" fillId="8" borderId="23" xfId="1" applyNumberFormat="1" applyFont="1" applyFill="1" applyBorder="1"/>
    <xf numFmtId="165" fontId="9" fillId="8" borderId="24" xfId="1" applyNumberFormat="1" applyFont="1" applyFill="1" applyBorder="1"/>
    <xf numFmtId="0" fontId="0" fillId="0" borderId="20" xfId="0" applyBorder="1"/>
    <xf numFmtId="0" fontId="0" fillId="0" borderId="21" xfId="0" applyBorder="1"/>
    <xf numFmtId="172" fontId="4" fillId="2" borderId="20" xfId="1" applyNumberFormat="1" applyFont="1" applyFill="1" applyBorder="1" applyAlignment="1">
      <alignment horizontal="left"/>
    </xf>
    <xf numFmtId="165" fontId="5" fillId="2" borderId="20" xfId="1" applyNumberFormat="1" applyFont="1" applyFill="1" applyBorder="1" applyAlignment="1">
      <alignment horizontal="left"/>
    </xf>
    <xf numFmtId="173" fontId="9" fillId="15" borderId="0" xfId="1" applyNumberFormat="1" applyFont="1" applyFill="1" applyAlignment="1">
      <alignment horizontal="right"/>
    </xf>
    <xf numFmtId="0" fontId="11" fillId="14" borderId="17" xfId="0" applyFont="1" applyFill="1" applyBorder="1"/>
    <xf numFmtId="0" fontId="11" fillId="14" borderId="18" xfId="0" applyFont="1" applyFill="1" applyBorder="1"/>
    <xf numFmtId="193" fontId="11" fillId="14" borderId="18" xfId="0" applyNumberFormat="1" applyFont="1" applyFill="1" applyBorder="1"/>
    <xf numFmtId="193" fontId="11" fillId="14" borderId="19" xfId="0" applyNumberFormat="1" applyFont="1" applyFill="1" applyBorder="1"/>
    <xf numFmtId="0" fontId="5" fillId="0" borderId="0" xfId="0" applyFont="1"/>
    <xf numFmtId="0" fontId="11" fillId="14" borderId="20" xfId="0" applyFont="1" applyFill="1" applyBorder="1"/>
    <xf numFmtId="0" fontId="15" fillId="14" borderId="21" xfId="0" applyFont="1" applyFill="1" applyBorder="1"/>
    <xf numFmtId="0" fontId="5" fillId="0" borderId="20" xfId="0" applyFont="1" applyBorder="1"/>
    <xf numFmtId="0" fontId="5" fillId="0" borderId="21" xfId="0" applyFont="1" applyBorder="1"/>
    <xf numFmtId="0" fontId="6" fillId="6" borderId="20" xfId="0" applyFont="1" applyFill="1" applyBorder="1"/>
    <xf numFmtId="0" fontId="5" fillId="6" borderId="21" xfId="0" applyFont="1" applyFill="1" applyBorder="1"/>
    <xf numFmtId="173" fontId="6" fillId="2" borderId="20" xfId="0" applyNumberFormat="1" applyFont="1" applyFill="1" applyBorder="1" applyAlignment="1">
      <alignment horizontal="left"/>
    </xf>
    <xf numFmtId="172" fontId="11" fillId="2" borderId="20" xfId="0" applyNumberFormat="1" applyFont="1" applyFill="1" applyBorder="1" applyAlignment="1">
      <alignment horizontal="left"/>
    </xf>
    <xf numFmtId="173" fontId="6" fillId="10" borderId="20" xfId="0" applyNumberFormat="1" applyFont="1" applyFill="1" applyBorder="1" applyAlignment="1">
      <alignment horizontal="left"/>
    </xf>
    <xf numFmtId="0" fontId="5" fillId="14" borderId="21" xfId="0" applyFont="1" applyFill="1" applyBorder="1"/>
    <xf numFmtId="0" fontId="15" fillId="0" borderId="20" xfId="0" applyFont="1" applyBorder="1"/>
    <xf numFmtId="165" fontId="6" fillId="7" borderId="22" xfId="1" applyNumberFormat="1" applyFont="1" applyFill="1" applyBorder="1" applyAlignment="1">
      <alignment horizontal="left"/>
    </xf>
    <xf numFmtId="165" fontId="6" fillId="7" borderId="23" xfId="1" applyNumberFormat="1" applyFont="1" applyFill="1" applyBorder="1" applyAlignment="1">
      <alignment horizontal="left"/>
    </xf>
    <xf numFmtId="0" fontId="6" fillId="6" borderId="23" xfId="0" applyFont="1" applyFill="1" applyBorder="1"/>
    <xf numFmtId="0" fontId="5" fillId="6" borderId="23" xfId="0" applyFont="1" applyFill="1" applyBorder="1"/>
    <xf numFmtId="173" fontId="8" fillId="2" borderId="26" xfId="1" applyNumberFormat="1" applyFont="1" applyFill="1" applyBorder="1"/>
    <xf numFmtId="173" fontId="8" fillId="9" borderId="28" xfId="1" applyNumberFormat="1" applyFont="1" applyFill="1" applyBorder="1"/>
    <xf numFmtId="173" fontId="8" fillId="9" borderId="0" xfId="1" applyNumberFormat="1" applyFont="1" applyFill="1"/>
    <xf numFmtId="173" fontId="8" fillId="7" borderId="30" xfId="1" applyNumberFormat="1" applyFont="1" applyFill="1" applyBorder="1"/>
    <xf numFmtId="173" fontId="8" fillId="7" borderId="31" xfId="1" applyNumberFormat="1" applyFont="1" applyFill="1" applyBorder="1"/>
    <xf numFmtId="165" fontId="4" fillId="2" borderId="31" xfId="1" applyNumberFormat="1" applyFont="1" applyFill="1" applyBorder="1"/>
    <xf numFmtId="165" fontId="9" fillId="8" borderId="31" xfId="1" applyNumberFormat="1" applyFont="1" applyFill="1" applyBorder="1"/>
    <xf numFmtId="165" fontId="9" fillId="7" borderId="31" xfId="1" applyNumberFormat="1" applyFont="1" applyFill="1" applyBorder="1"/>
    <xf numFmtId="165" fontId="4" fillId="7" borderId="31" xfId="1" applyNumberFormat="1" applyFont="1" applyFill="1" applyBorder="1"/>
    <xf numFmtId="0" fontId="19" fillId="14" borderId="25" xfId="0" applyFont="1" applyFill="1" applyBorder="1"/>
    <xf numFmtId="0" fontId="19" fillId="14" borderId="26" xfId="0" applyFont="1" applyFill="1" applyBorder="1"/>
    <xf numFmtId="193" fontId="19" fillId="14" borderId="26" xfId="0" applyNumberFormat="1" applyFont="1" applyFill="1" applyBorder="1"/>
    <xf numFmtId="0" fontId="19" fillId="14" borderId="28" xfId="0" applyFont="1" applyFill="1" applyBorder="1"/>
    <xf numFmtId="0" fontId="18" fillId="14" borderId="29" xfId="0" applyFont="1" applyFill="1" applyBorder="1"/>
    <xf numFmtId="0" fontId="0" fillId="0" borderId="28" xfId="0" applyBorder="1"/>
    <xf numFmtId="0" fontId="0" fillId="0" borderId="29" xfId="0" applyBorder="1"/>
    <xf numFmtId="173" fontId="8" fillId="2" borderId="28" xfId="1" applyNumberFormat="1" applyFont="1" applyFill="1" applyBorder="1" applyAlignment="1">
      <alignment horizontal="left"/>
    </xf>
    <xf numFmtId="173" fontId="4" fillId="2" borderId="28" xfId="1" applyNumberFormat="1" applyFont="1" applyFill="1" applyBorder="1" applyAlignment="1">
      <alignment horizontal="left"/>
    </xf>
    <xf numFmtId="172" fontId="11" fillId="2" borderId="28" xfId="1" applyNumberFormat="1" applyFont="1" applyFill="1" applyBorder="1" applyAlignment="1">
      <alignment horizontal="left"/>
    </xf>
    <xf numFmtId="173" fontId="8" fillId="9" borderId="28" xfId="1" applyNumberFormat="1" applyFont="1" applyFill="1" applyBorder="1" applyAlignment="1">
      <alignment horizontal="left"/>
    </xf>
    <xf numFmtId="0" fontId="18" fillId="0" borderId="28" xfId="0" applyFont="1" applyBorder="1"/>
    <xf numFmtId="0" fontId="1" fillId="6" borderId="31" xfId="0" applyFont="1" applyFill="1" applyBorder="1"/>
    <xf numFmtId="0" fontId="0" fillId="6" borderId="31" xfId="0" applyFill="1" applyBorder="1"/>
    <xf numFmtId="173" fontId="8" fillId="2" borderId="31" xfId="1" applyNumberFormat="1" applyFont="1" applyFill="1" applyBorder="1"/>
    <xf numFmtId="0" fontId="5" fillId="15" borderId="0" xfId="0" applyFont="1" applyFill="1"/>
    <xf numFmtId="173" fontId="4" fillId="0" borderId="0" xfId="1" applyNumberFormat="1" applyFont="1" applyAlignment="1">
      <alignment horizontal="right"/>
    </xf>
    <xf numFmtId="173" fontId="9" fillId="0" borderId="0" xfId="1" applyNumberFormat="1" applyFont="1" applyAlignment="1">
      <alignment horizontal="right"/>
    </xf>
    <xf numFmtId="173" fontId="9" fillId="14" borderId="21" xfId="0" applyNumberFormat="1" applyFont="1" applyFill="1" applyBorder="1"/>
    <xf numFmtId="173" fontId="5" fillId="14" borderId="21" xfId="0" applyNumberFormat="1" applyFont="1" applyFill="1" applyBorder="1"/>
    <xf numFmtId="173" fontId="6" fillId="14" borderId="21" xfId="0" applyNumberFormat="1" applyFont="1" applyFill="1" applyBorder="1"/>
    <xf numFmtId="172" fontId="11" fillId="14" borderId="21" xfId="0" applyNumberFormat="1" applyFont="1" applyFill="1" applyBorder="1"/>
    <xf numFmtId="173" fontId="6" fillId="10" borderId="21" xfId="0" applyNumberFormat="1" applyFont="1" applyFill="1" applyBorder="1"/>
    <xf numFmtId="173" fontId="7" fillId="14" borderId="21" xfId="0" applyNumberFormat="1" applyFont="1" applyFill="1" applyBorder="1"/>
    <xf numFmtId="173" fontId="4" fillId="0" borderId="21" xfId="1" applyNumberFormat="1" applyFont="1" applyBorder="1" applyAlignment="1">
      <alignment horizontal="right"/>
    </xf>
    <xf numFmtId="10" fontId="5" fillId="14" borderId="21" xfId="0" applyNumberFormat="1" applyFont="1" applyFill="1" applyBorder="1"/>
    <xf numFmtId="172" fontId="4" fillId="14" borderId="21" xfId="1" applyNumberFormat="1" applyFont="1" applyFill="1" applyBorder="1" applyAlignment="1">
      <alignment horizontal="right"/>
    </xf>
    <xf numFmtId="173" fontId="6" fillId="12" borderId="26" xfId="0" applyNumberFormat="1" applyFont="1" applyFill="1" applyBorder="1"/>
    <xf numFmtId="173" fontId="6" fillId="13" borderId="26" xfId="0" applyNumberFormat="1" applyFont="1" applyFill="1" applyBorder="1"/>
    <xf numFmtId="173" fontId="8" fillId="13" borderId="26" xfId="0" applyNumberFormat="1" applyFont="1" applyFill="1" applyBorder="1"/>
    <xf numFmtId="173" fontId="8" fillId="12" borderId="26" xfId="0" applyNumberFormat="1" applyFont="1" applyFill="1" applyBorder="1"/>
    <xf numFmtId="173" fontId="8" fillId="11" borderId="0" xfId="1" applyNumberFormat="1" applyFont="1" applyFill="1"/>
    <xf numFmtId="0" fontId="14" fillId="0" borderId="20" xfId="0" applyFont="1" applyBorder="1"/>
    <xf numFmtId="173" fontId="8" fillId="12" borderId="33" xfId="0" applyNumberFormat="1" applyFont="1" applyFill="1" applyBorder="1"/>
    <xf numFmtId="173" fontId="5" fillId="12" borderId="21" xfId="0" applyNumberFormat="1" applyFont="1" applyFill="1" applyBorder="1"/>
    <xf numFmtId="173" fontId="8" fillId="12" borderId="21" xfId="0" applyNumberFormat="1" applyFont="1" applyFill="1" applyBorder="1"/>
    <xf numFmtId="172" fontId="12" fillId="12" borderId="21" xfId="0" applyNumberFormat="1" applyFont="1" applyFill="1" applyBorder="1"/>
    <xf numFmtId="173" fontId="8" fillId="11" borderId="21" xfId="0" applyNumberFormat="1" applyFont="1" applyFill="1" applyBorder="1"/>
    <xf numFmtId="173" fontId="7" fillId="12" borderId="21" xfId="0" applyNumberFormat="1" applyFont="1" applyFill="1" applyBorder="1"/>
    <xf numFmtId="173" fontId="6" fillId="13" borderId="21" xfId="0" applyNumberFormat="1" applyFont="1" applyFill="1" applyBorder="1"/>
    <xf numFmtId="173" fontId="9" fillId="0" borderId="21" xfId="1" applyNumberFormat="1" applyFont="1" applyBorder="1" applyAlignment="1">
      <alignment horizontal="right"/>
    </xf>
    <xf numFmtId="165" fontId="9" fillId="3" borderId="21" xfId="1" applyNumberFormat="1" applyFont="1" applyFill="1" applyBorder="1"/>
    <xf numFmtId="165" fontId="6" fillId="12" borderId="21" xfId="0" applyNumberFormat="1" applyFont="1" applyFill="1" applyBorder="1"/>
    <xf numFmtId="165" fontId="9" fillId="7" borderId="24" xfId="1" applyNumberFormat="1" applyFont="1" applyFill="1" applyBorder="1"/>
    <xf numFmtId="173" fontId="9" fillId="14" borderId="20" xfId="0" applyNumberFormat="1" applyFont="1" applyFill="1" applyBorder="1"/>
    <xf numFmtId="173" fontId="5" fillId="14" borderId="20" xfId="0" applyNumberFormat="1" applyFont="1" applyFill="1" applyBorder="1"/>
    <xf numFmtId="173" fontId="7" fillId="14" borderId="20" xfId="0" applyNumberFormat="1" applyFont="1" applyFill="1" applyBorder="1"/>
    <xf numFmtId="172" fontId="11" fillId="14" borderId="20" xfId="0" applyNumberFormat="1" applyFont="1" applyFill="1" applyBorder="1"/>
    <xf numFmtId="173" fontId="6" fillId="10" borderId="20" xfId="0" applyNumberFormat="1" applyFont="1" applyFill="1" applyBorder="1"/>
    <xf numFmtId="0" fontId="5" fillId="14" borderId="20" xfId="0" applyFont="1" applyFill="1" applyBorder="1"/>
    <xf numFmtId="173" fontId="4" fillId="0" borderId="20" xfId="1" applyNumberFormat="1" applyFont="1" applyBorder="1" applyAlignment="1">
      <alignment horizontal="right"/>
    </xf>
    <xf numFmtId="10" fontId="5" fillId="14" borderId="20" xfId="0" applyNumberFormat="1" applyFont="1" applyFill="1" applyBorder="1"/>
    <xf numFmtId="165" fontId="4" fillId="3" borderId="21" xfId="1" applyNumberFormat="1" applyFont="1" applyFill="1" applyBorder="1"/>
    <xf numFmtId="0" fontId="20" fillId="0" borderId="0" xfId="0" applyFont="1"/>
    <xf numFmtId="0" fontId="20" fillId="0" borderId="20" xfId="0" applyFont="1" applyBorder="1"/>
    <xf numFmtId="0" fontId="20" fillId="0" borderId="21" xfId="0" applyFont="1" applyBorder="1"/>
    <xf numFmtId="0" fontId="20" fillId="6" borderId="0" xfId="0" applyFont="1" applyFill="1"/>
    <xf numFmtId="0" fontId="20" fillId="6" borderId="21" xfId="0" applyFont="1" applyFill="1" applyBorder="1"/>
    <xf numFmtId="165" fontId="20" fillId="2" borderId="20" xfId="1" applyNumberFormat="1" applyFont="1" applyFill="1" applyBorder="1" applyAlignment="1">
      <alignment horizontal="left"/>
    </xf>
    <xf numFmtId="165" fontId="20" fillId="2" borderId="34" xfId="1" applyNumberFormat="1" applyFont="1" applyFill="1" applyBorder="1" applyAlignment="1">
      <alignment horizontal="left"/>
    </xf>
    <xf numFmtId="165" fontId="22" fillId="2" borderId="20" xfId="1" applyNumberFormat="1" applyFont="1" applyFill="1" applyBorder="1" applyAlignment="1">
      <alignment horizontal="left"/>
    </xf>
    <xf numFmtId="165" fontId="20" fillId="2" borderId="22" xfId="1" applyNumberFormat="1" applyFont="1" applyFill="1" applyBorder="1" applyAlignment="1">
      <alignment horizontal="left"/>
    </xf>
    <xf numFmtId="0" fontId="20" fillId="15" borderId="0" xfId="0" applyFont="1" applyFill="1"/>
    <xf numFmtId="0" fontId="20" fillId="15" borderId="21" xfId="0" applyFont="1" applyFill="1" applyBorder="1"/>
    <xf numFmtId="165" fontId="21" fillId="15" borderId="21" xfId="1" applyNumberFormat="1" applyFont="1" applyFill="1" applyBorder="1"/>
    <xf numFmtId="165" fontId="2" fillId="15" borderId="21" xfId="1" applyNumberFormat="1" applyFill="1" applyBorder="1"/>
    <xf numFmtId="165" fontId="22" fillId="15" borderId="21" xfId="1" applyNumberFormat="1" applyFont="1" applyFill="1" applyBorder="1"/>
    <xf numFmtId="165" fontId="21" fillId="15" borderId="0" xfId="1" applyNumberFormat="1" applyFont="1" applyFill="1"/>
    <xf numFmtId="165" fontId="21" fillId="15" borderId="23" xfId="1" applyNumberFormat="1" applyFont="1" applyFill="1" applyBorder="1"/>
    <xf numFmtId="165" fontId="20" fillId="15" borderId="23" xfId="1" applyNumberFormat="1" applyFont="1" applyFill="1" applyBorder="1"/>
    <xf numFmtId="165" fontId="2" fillId="15" borderId="23" xfId="1" applyNumberFormat="1" applyFill="1" applyBorder="1"/>
    <xf numFmtId="165" fontId="21" fillId="15" borderId="24" xfId="1" applyNumberFormat="1" applyFont="1" applyFill="1" applyBorder="1"/>
    <xf numFmtId="165" fontId="22" fillId="14" borderId="4" xfId="1" applyNumberFormat="1" applyFont="1" applyFill="1" applyBorder="1"/>
    <xf numFmtId="165" fontId="22" fillId="14" borderId="35" xfId="1" applyNumberFormat="1" applyFont="1" applyFill="1" applyBorder="1"/>
    <xf numFmtId="165" fontId="22" fillId="10" borderId="4" xfId="1" applyNumberFormat="1" applyFont="1" applyFill="1" applyBorder="1"/>
    <xf numFmtId="165" fontId="22" fillId="10" borderId="35" xfId="1" applyNumberFormat="1" applyFont="1" applyFill="1" applyBorder="1"/>
    <xf numFmtId="165" fontId="22" fillId="10" borderId="21" xfId="1" applyNumberFormat="1" applyFont="1" applyFill="1" applyBorder="1"/>
    <xf numFmtId="165" fontId="21" fillId="15" borderId="17" xfId="1" applyNumberFormat="1" applyFont="1" applyFill="1" applyBorder="1"/>
    <xf numFmtId="165" fontId="21" fillId="15" borderId="18" xfId="1" applyNumberFormat="1" applyFont="1" applyFill="1" applyBorder="1"/>
    <xf numFmtId="165" fontId="20" fillId="15" borderId="18" xfId="1" applyNumberFormat="1" applyFont="1" applyFill="1" applyBorder="1"/>
    <xf numFmtId="165" fontId="2" fillId="15" borderId="18" xfId="1" applyNumberFormat="1" applyFill="1" applyBorder="1"/>
    <xf numFmtId="165" fontId="21" fillId="15" borderId="19" xfId="1" applyNumberFormat="1" applyFont="1" applyFill="1" applyBorder="1"/>
    <xf numFmtId="165" fontId="21" fillId="15" borderId="20" xfId="1" applyNumberFormat="1" applyFont="1" applyFill="1" applyBorder="1"/>
    <xf numFmtId="165" fontId="20" fillId="15" borderId="0" xfId="1" applyNumberFormat="1" applyFont="1" applyFill="1"/>
    <xf numFmtId="165" fontId="2" fillId="15" borderId="0" xfId="1" applyNumberFormat="1" applyFill="1"/>
    <xf numFmtId="165" fontId="2" fillId="15" borderId="20" xfId="1" applyNumberFormat="1" applyFill="1" applyBorder="1"/>
    <xf numFmtId="165" fontId="22" fillId="15" borderId="20" xfId="1" applyNumberFormat="1" applyFont="1" applyFill="1" applyBorder="1"/>
    <xf numFmtId="165" fontId="22" fillId="15" borderId="0" xfId="1" applyNumberFormat="1" applyFont="1" applyFill="1"/>
    <xf numFmtId="165" fontId="22" fillId="10" borderId="0" xfId="1" applyNumberFormat="1" applyFont="1" applyFill="1"/>
    <xf numFmtId="165" fontId="23" fillId="10" borderId="20" xfId="1" applyNumberFormat="1" applyFont="1" applyFill="1" applyBorder="1"/>
    <xf numFmtId="165" fontId="21" fillId="15" borderId="22" xfId="1" applyNumberFormat="1" applyFont="1" applyFill="1" applyBorder="1"/>
    <xf numFmtId="165" fontId="6" fillId="2" borderId="20" xfId="1" applyNumberFormat="1" applyFont="1" applyFill="1" applyBorder="1" applyAlignment="1">
      <alignment horizontal="left"/>
    </xf>
    <xf numFmtId="165" fontId="5" fillId="2" borderId="34" xfId="1" applyNumberFormat="1" applyFont="1" applyFill="1" applyBorder="1" applyAlignment="1">
      <alignment horizontal="left"/>
    </xf>
    <xf numFmtId="165" fontId="8" fillId="2" borderId="20" xfId="1" applyNumberFormat="1" applyFont="1" applyFill="1" applyBorder="1" applyAlignment="1">
      <alignment horizontal="left"/>
    </xf>
    <xf numFmtId="165" fontId="6" fillId="2" borderId="20" xfId="1" applyNumberFormat="1" applyFont="1" applyFill="1" applyBorder="1"/>
    <xf numFmtId="165" fontId="9" fillId="0" borderId="17" xfId="1" applyNumberFormat="1" applyFont="1" applyBorder="1"/>
    <xf numFmtId="165" fontId="9" fillId="0" borderId="18" xfId="1" applyNumberFormat="1" applyFont="1" applyBorder="1"/>
    <xf numFmtId="165" fontId="5" fillId="0" borderId="18" xfId="1" applyNumberFormat="1" applyFont="1" applyBorder="1"/>
    <xf numFmtId="165" fontId="4" fillId="0" borderId="18" xfId="1" applyNumberFormat="1" applyFont="1" applyBorder="1"/>
    <xf numFmtId="165" fontId="9" fillId="0" borderId="19" xfId="1" applyNumberFormat="1" applyFont="1" applyBorder="1"/>
    <xf numFmtId="165" fontId="9" fillId="0" borderId="20" xfId="1" applyNumberFormat="1" applyFont="1" applyBorder="1"/>
    <xf numFmtId="165" fontId="9" fillId="0" borderId="0" xfId="1" applyNumberFormat="1" applyFont="1"/>
    <xf numFmtId="165" fontId="5" fillId="0" borderId="0" xfId="1" applyNumberFormat="1" applyFont="1"/>
    <xf numFmtId="165" fontId="4" fillId="0" borderId="0" xfId="1" applyNumberFormat="1" applyFont="1"/>
    <xf numFmtId="165" fontId="4" fillId="0" borderId="21" xfId="1" applyNumberFormat="1" applyFont="1" applyBorder="1"/>
    <xf numFmtId="165" fontId="9" fillId="0" borderId="34" xfId="1" applyNumberFormat="1" applyFont="1" applyBorder="1"/>
    <xf numFmtId="165" fontId="9" fillId="0" borderId="2" xfId="1" applyNumberFormat="1" applyFont="1" applyBorder="1"/>
    <xf numFmtId="165" fontId="5" fillId="0" borderId="2" xfId="1" applyNumberFormat="1" applyFont="1" applyBorder="1"/>
    <xf numFmtId="165" fontId="4" fillId="0" borderId="2" xfId="1" applyNumberFormat="1" applyFont="1" applyBorder="1"/>
    <xf numFmtId="165" fontId="4" fillId="0" borderId="37" xfId="1" applyNumberFormat="1" applyFont="1" applyBorder="1"/>
    <xf numFmtId="165" fontId="5" fillId="0" borderId="20" xfId="1" applyNumberFormat="1" applyFont="1" applyBorder="1"/>
    <xf numFmtId="165" fontId="9" fillId="0" borderId="21" xfId="1" applyNumberFormat="1" applyFont="1" applyBorder="1"/>
    <xf numFmtId="165" fontId="4" fillId="0" borderId="34" xfId="1" applyNumberFormat="1" applyFont="1" applyBorder="1"/>
    <xf numFmtId="165" fontId="8" fillId="0" borderId="20" xfId="1" applyNumberFormat="1" applyFont="1" applyBorder="1"/>
    <xf numFmtId="165" fontId="8" fillId="0" borderId="0" xfId="1" applyNumberFormat="1" applyFont="1"/>
    <xf numFmtId="165" fontId="8" fillId="0" borderId="21" xfId="1" applyNumberFormat="1" applyFont="1" applyBorder="1"/>
    <xf numFmtId="165" fontId="4" fillId="0" borderId="20" xfId="1" applyNumberFormat="1" applyFont="1" applyBorder="1"/>
    <xf numFmtId="165" fontId="9" fillId="0" borderId="37" xfId="1" applyNumberFormat="1" applyFont="1" applyBorder="1"/>
    <xf numFmtId="165" fontId="6" fillId="14" borderId="36" xfId="1" applyNumberFormat="1" applyFont="1" applyFill="1" applyBorder="1" applyAlignment="1">
      <alignment horizontal="left"/>
    </xf>
    <xf numFmtId="165" fontId="6" fillId="14" borderId="36" xfId="1" applyNumberFormat="1" applyFont="1" applyFill="1" applyBorder="1"/>
    <xf numFmtId="165" fontId="6" fillId="14" borderId="4" xfId="1" applyNumberFormat="1" applyFont="1" applyFill="1" applyBorder="1"/>
    <xf numFmtId="165" fontId="8" fillId="14" borderId="4" xfId="1" applyNumberFormat="1" applyFont="1" applyFill="1" applyBorder="1"/>
    <xf numFmtId="165" fontId="8" fillId="14" borderId="35" xfId="1" applyNumberFormat="1" applyFont="1" applyFill="1" applyBorder="1"/>
    <xf numFmtId="165" fontId="6" fillId="10" borderId="36" xfId="1" applyNumberFormat="1" applyFont="1" applyFill="1" applyBorder="1" applyAlignment="1">
      <alignment horizontal="left"/>
    </xf>
    <xf numFmtId="165" fontId="6" fillId="10" borderId="36" xfId="1" applyNumberFormat="1" applyFont="1" applyFill="1" applyBorder="1"/>
    <xf numFmtId="165" fontId="6" fillId="10" borderId="4" xfId="1" applyNumberFormat="1" applyFont="1" applyFill="1" applyBorder="1"/>
    <xf numFmtId="165" fontId="8" fillId="10" borderId="4" xfId="1" applyNumberFormat="1" applyFont="1" applyFill="1" applyBorder="1"/>
    <xf numFmtId="165" fontId="8" fillId="10" borderId="35" xfId="1" applyNumberFormat="1" applyFont="1" applyFill="1" applyBorder="1"/>
    <xf numFmtId="165" fontId="6" fillId="10" borderId="20" xfId="1" applyNumberFormat="1" applyFont="1" applyFill="1" applyBorder="1" applyAlignment="1">
      <alignment horizontal="left"/>
    </xf>
    <xf numFmtId="165" fontId="6" fillId="10" borderId="20" xfId="1" applyNumberFormat="1" applyFont="1" applyFill="1" applyBorder="1"/>
    <xf numFmtId="165" fontId="6" fillId="10" borderId="0" xfId="1" applyNumberFormat="1" applyFont="1" applyFill="1"/>
    <xf numFmtId="165" fontId="8" fillId="10" borderId="0" xfId="1" applyNumberFormat="1" applyFont="1" applyFill="1"/>
    <xf numFmtId="165" fontId="8" fillId="10" borderId="21" xfId="1" applyNumberFormat="1" applyFont="1" applyFill="1" applyBorder="1"/>
    <xf numFmtId="165" fontId="6" fillId="14" borderId="20" xfId="1" applyNumberFormat="1" applyFont="1" applyFill="1" applyBorder="1" applyAlignment="1">
      <alignment horizontal="left"/>
    </xf>
    <xf numFmtId="165" fontId="6" fillId="14" borderId="20" xfId="1" applyNumberFormat="1" applyFont="1" applyFill="1" applyBorder="1"/>
    <xf numFmtId="165" fontId="6" fillId="14" borderId="0" xfId="1" applyNumberFormat="1" applyFont="1" applyFill="1"/>
    <xf numFmtId="165" fontId="8" fillId="14" borderId="0" xfId="1" applyNumberFormat="1" applyFont="1" applyFill="1"/>
    <xf numFmtId="165" fontId="8" fillId="14" borderId="21" xfId="1" applyNumberFormat="1" applyFont="1" applyFill="1" applyBorder="1"/>
    <xf numFmtId="165" fontId="6" fillId="10" borderId="22" xfId="1" applyNumberFormat="1" applyFont="1" applyFill="1" applyBorder="1" applyAlignment="1">
      <alignment horizontal="left"/>
    </xf>
    <xf numFmtId="165" fontId="6" fillId="10" borderId="23" xfId="1" applyNumberFormat="1" applyFont="1" applyFill="1" applyBorder="1"/>
    <xf numFmtId="165" fontId="6" fillId="10" borderId="24" xfId="1" applyNumberFormat="1" applyFont="1" applyFill="1" applyBorder="1"/>
    <xf numFmtId="165" fontId="6" fillId="10" borderId="22" xfId="1" applyNumberFormat="1" applyFont="1" applyFill="1" applyBorder="1"/>
    <xf numFmtId="173" fontId="7" fillId="14" borderId="17" xfId="0" applyNumberFormat="1" applyFont="1" applyFill="1" applyBorder="1"/>
    <xf numFmtId="173" fontId="6" fillId="14" borderId="18" xfId="0" applyNumberFormat="1" applyFont="1" applyFill="1" applyBorder="1"/>
    <xf numFmtId="173" fontId="6" fillId="14" borderId="19" xfId="0" applyNumberFormat="1" applyFont="1" applyFill="1" applyBorder="1"/>
    <xf numFmtId="0" fontId="25" fillId="0" borderId="0" xfId="0" applyFont="1"/>
    <xf numFmtId="0" fontId="26" fillId="0" borderId="0" xfId="0" applyFont="1"/>
    <xf numFmtId="0" fontId="0" fillId="0" borderId="38" xfId="0" applyBorder="1"/>
    <xf numFmtId="0" fontId="0" fillId="0" borderId="39" xfId="0" applyBorder="1"/>
    <xf numFmtId="8" fontId="27" fillId="0" borderId="40" xfId="0" applyNumberFormat="1" applyFont="1" applyBorder="1"/>
    <xf numFmtId="0" fontId="0" fillId="0" borderId="41" xfId="0" applyBorder="1"/>
    <xf numFmtId="0" fontId="0" fillId="0" borderId="42" xfId="0" applyBorder="1"/>
    <xf numFmtId="194" fontId="0" fillId="0" borderId="43" xfId="0" applyNumberFormat="1" applyBorder="1" applyAlignment="1">
      <alignment horizontal="right"/>
    </xf>
    <xf numFmtId="0" fontId="0" fillId="0" borderId="44" xfId="0" applyBorder="1"/>
    <xf numFmtId="6" fontId="0" fillId="0" borderId="45" xfId="0" applyNumberFormat="1" applyBorder="1"/>
    <xf numFmtId="195" fontId="27" fillId="0" borderId="45" xfId="0" applyNumberFormat="1" applyFont="1" applyBorder="1"/>
    <xf numFmtId="195" fontId="27" fillId="0" borderId="43" xfId="0" applyNumberFormat="1" applyFont="1" applyBorder="1"/>
    <xf numFmtId="0" fontId="0" fillId="16" borderId="39" xfId="0" applyFill="1" applyBorder="1" applyAlignment="1">
      <alignment horizontal="center"/>
    </xf>
    <xf numFmtId="0" fontId="0" fillId="16" borderId="39" xfId="0" applyFill="1" applyBorder="1"/>
    <xf numFmtId="195" fontId="0" fillId="0" borderId="0" xfId="0" applyNumberFormat="1"/>
    <xf numFmtId="10" fontId="28" fillId="0" borderId="0" xfId="0" applyNumberFormat="1" applyFont="1"/>
    <xf numFmtId="196" fontId="0" fillId="0" borderId="0" xfId="0" applyNumberFormat="1"/>
    <xf numFmtId="10" fontId="0" fillId="0" borderId="45" xfId="0" applyNumberFormat="1" applyBorder="1"/>
    <xf numFmtId="0" fontId="0" fillId="0" borderId="45" xfId="0" applyBorder="1"/>
    <xf numFmtId="0" fontId="0" fillId="16" borderId="0" xfId="0" applyFill="1"/>
    <xf numFmtId="195" fontId="0" fillId="16" borderId="0" xfId="0" applyNumberFormat="1" applyFill="1"/>
    <xf numFmtId="196" fontId="0" fillId="16" borderId="0" xfId="0" applyNumberFormat="1" applyFill="1"/>
    <xf numFmtId="10" fontId="0" fillId="16" borderId="45" xfId="0" applyNumberFormat="1" applyFill="1" applyBorder="1"/>
    <xf numFmtId="0" fontId="29" fillId="0" borderId="0" xfId="0" applyFont="1"/>
    <xf numFmtId="8" fontId="0" fillId="0" borderId="0" xfId="0" applyNumberFormat="1"/>
    <xf numFmtId="0" fontId="0" fillId="0" borderId="12" xfId="0" applyBorder="1"/>
    <xf numFmtId="0" fontId="0" fillId="0" borderId="4" xfId="0" applyBorder="1"/>
    <xf numFmtId="6" fontId="28" fillId="0" borderId="13" xfId="0" applyNumberFormat="1" applyFont="1" applyBorder="1"/>
    <xf numFmtId="0" fontId="0" fillId="0" borderId="9" xfId="0" applyBorder="1"/>
    <xf numFmtId="0" fontId="28" fillId="0" borderId="14" xfId="0" applyFont="1" applyBorder="1"/>
    <xf numFmtId="0" fontId="2" fillId="0" borderId="9" xfId="0" applyFont="1" applyBorder="1"/>
    <xf numFmtId="10" fontId="0" fillId="0" borderId="14" xfId="0" applyNumberFormat="1" applyBorder="1"/>
    <xf numFmtId="0" fontId="0" fillId="0" borderId="15" xfId="0" applyBorder="1"/>
    <xf numFmtId="0" fontId="0" fillId="0" borderId="2" xfId="0" applyBorder="1"/>
    <xf numFmtId="8" fontId="0" fillId="0" borderId="16" xfId="0" applyNumberFormat="1" applyBorder="1"/>
    <xf numFmtId="0" fontId="6" fillId="6" borderId="0" xfId="0" applyFont="1" applyFill="1"/>
    <xf numFmtId="0" fontId="5" fillId="6" borderId="0" xfId="0" applyFont="1" applyFill="1"/>
    <xf numFmtId="0" fontId="8" fillId="0" borderId="0" xfId="0" applyFont="1"/>
    <xf numFmtId="0" fontId="11" fillId="14" borderId="0" xfId="0" applyFont="1" applyFill="1"/>
    <xf numFmtId="0" fontId="15" fillId="14" borderId="0" xfId="0" applyFont="1" applyFill="1"/>
    <xf numFmtId="173" fontId="9" fillId="14" borderId="0" xfId="0" applyNumberFormat="1" applyFont="1" applyFill="1"/>
    <xf numFmtId="173" fontId="9" fillId="12" borderId="0" xfId="0" applyNumberFormat="1" applyFont="1" applyFill="1"/>
    <xf numFmtId="173" fontId="9" fillId="13" borderId="0" xfId="0" applyNumberFormat="1" applyFont="1" applyFill="1"/>
    <xf numFmtId="173" fontId="5" fillId="12" borderId="0" xfId="0" applyNumberFormat="1" applyFont="1" applyFill="1"/>
    <xf numFmtId="173" fontId="5" fillId="14" borderId="0" xfId="0" applyNumberFormat="1" applyFont="1" applyFill="1"/>
    <xf numFmtId="173" fontId="5" fillId="13" borderId="0" xfId="0" applyNumberFormat="1" applyFont="1" applyFill="1"/>
    <xf numFmtId="173" fontId="6" fillId="2" borderId="0" xfId="0" applyNumberFormat="1" applyFont="1" applyFill="1" applyAlignment="1">
      <alignment horizontal="left"/>
    </xf>
    <xf numFmtId="173" fontId="8" fillId="2" borderId="0" xfId="0" applyNumberFormat="1" applyFont="1" applyFill="1" applyAlignment="1">
      <alignment horizontal="left"/>
    </xf>
    <xf numFmtId="173" fontId="7" fillId="14" borderId="0" xfId="0" applyNumberFormat="1" applyFont="1" applyFill="1"/>
    <xf numFmtId="173" fontId="7" fillId="12" borderId="0" xfId="0" applyNumberFormat="1" applyFont="1" applyFill="1"/>
    <xf numFmtId="173" fontId="7" fillId="13" borderId="0" xfId="0" applyNumberFormat="1" applyFont="1" applyFill="1"/>
    <xf numFmtId="173" fontId="6" fillId="13" borderId="0" xfId="0" applyNumberFormat="1" applyFont="1" applyFill="1"/>
    <xf numFmtId="173" fontId="8" fillId="12" borderId="0" xfId="0" applyNumberFormat="1" applyFont="1" applyFill="1"/>
    <xf numFmtId="172" fontId="11" fillId="2" borderId="0" xfId="0" applyNumberFormat="1" applyFont="1" applyFill="1" applyAlignment="1">
      <alignment horizontal="left"/>
    </xf>
    <xf numFmtId="172" fontId="12" fillId="2" borderId="0" xfId="0" applyNumberFormat="1" applyFont="1" applyFill="1" applyAlignment="1">
      <alignment horizontal="left"/>
    </xf>
    <xf numFmtId="172" fontId="11" fillId="14" borderId="0" xfId="0" applyNumberFormat="1" applyFont="1" applyFill="1"/>
    <xf numFmtId="172" fontId="12" fillId="12" borderId="0" xfId="0" applyNumberFormat="1" applyFont="1" applyFill="1"/>
    <xf numFmtId="172" fontId="11" fillId="13" borderId="0" xfId="0" applyNumberFormat="1" applyFont="1" applyFill="1"/>
    <xf numFmtId="172" fontId="12" fillId="13" borderId="0" xfId="0" applyNumberFormat="1" applyFont="1" applyFill="1"/>
    <xf numFmtId="173" fontId="6" fillId="10" borderId="0" xfId="0" applyNumberFormat="1" applyFont="1" applyFill="1" applyAlignment="1">
      <alignment horizontal="left"/>
    </xf>
    <xf numFmtId="173" fontId="8" fillId="10" borderId="0" xfId="0" applyNumberFormat="1" applyFont="1" applyFill="1" applyAlignment="1">
      <alignment horizontal="left"/>
    </xf>
    <xf numFmtId="0" fontId="5" fillId="10" borderId="0" xfId="0" applyFont="1" applyFill="1"/>
    <xf numFmtId="173" fontId="6" fillId="10" borderId="0" xfId="0" applyNumberFormat="1" applyFont="1" applyFill="1"/>
    <xf numFmtId="173" fontId="8" fillId="11" borderId="0" xfId="0" applyNumberFormat="1" applyFont="1" applyFill="1"/>
    <xf numFmtId="173" fontId="6" fillId="9" borderId="0" xfId="0" applyNumberFormat="1" applyFont="1" applyFill="1"/>
    <xf numFmtId="173" fontId="8" fillId="9" borderId="0" xfId="0" applyNumberFormat="1" applyFont="1" applyFill="1"/>
    <xf numFmtId="0" fontId="5" fillId="14" borderId="0" xfId="0" applyFont="1" applyFill="1"/>
    <xf numFmtId="165" fontId="7" fillId="3" borderId="21" xfId="1" applyNumberFormat="1" applyFont="1" applyFill="1" applyBorder="1"/>
    <xf numFmtId="10" fontId="5" fillId="14" borderId="0" xfId="0" applyNumberFormat="1" applyFont="1" applyFill="1"/>
    <xf numFmtId="165" fontId="6" fillId="12" borderId="0" xfId="0" applyNumberFormat="1" applyFont="1" applyFill="1"/>
    <xf numFmtId="10" fontId="0" fillId="0" borderId="0" xfId="0" applyNumberFormat="1"/>
    <xf numFmtId="0" fontId="0" fillId="0" borderId="6" xfId="0" applyBorder="1"/>
    <xf numFmtId="195" fontId="0" fillId="0" borderId="6" xfId="0" applyNumberFormat="1" applyBorder="1"/>
    <xf numFmtId="196" fontId="0" fillId="0" borderId="6" xfId="0" applyNumberFormat="1" applyBorder="1"/>
    <xf numFmtId="10" fontId="0" fillId="0" borderId="50" xfId="0" applyNumberFormat="1" applyBorder="1"/>
    <xf numFmtId="195" fontId="0" fillId="0" borderId="4" xfId="0" applyNumberFormat="1" applyBorder="1"/>
    <xf numFmtId="196" fontId="0" fillId="0" borderId="4" xfId="0" applyNumberFormat="1" applyBorder="1"/>
    <xf numFmtId="10" fontId="0" fillId="0" borderId="13" xfId="0" applyNumberFormat="1" applyBorder="1"/>
    <xf numFmtId="0" fontId="31" fillId="0" borderId="0" xfId="0" applyFont="1"/>
    <xf numFmtId="43" fontId="31" fillId="0" borderId="0" xfId="0" applyNumberFormat="1" applyFont="1" applyAlignment="1">
      <alignment horizontal="center"/>
    </xf>
    <xf numFmtId="0" fontId="31" fillId="16" borderId="47" xfId="0" applyFont="1" applyFill="1" applyBorder="1"/>
    <xf numFmtId="0" fontId="35" fillId="16" borderId="47" xfId="0" applyFont="1" applyFill="1" applyBorder="1"/>
    <xf numFmtId="43" fontId="32" fillId="16" borderId="47" xfId="0" applyNumberFormat="1" applyFont="1" applyFill="1" applyBorder="1" applyAlignment="1">
      <alignment horizontal="center"/>
    </xf>
    <xf numFmtId="10" fontId="31" fillId="0" borderId="0" xfId="0" applyNumberFormat="1" applyFont="1"/>
    <xf numFmtId="0" fontId="31" fillId="15" borderId="0" xfId="0" applyFont="1" applyFill="1"/>
    <xf numFmtId="0" fontId="33" fillId="15" borderId="0" xfId="0" applyFont="1" applyFill="1"/>
    <xf numFmtId="43" fontId="32" fillId="15" borderId="0" xfId="0" applyNumberFormat="1" applyFont="1" applyFill="1" applyAlignment="1">
      <alignment horizontal="center"/>
    </xf>
    <xf numFmtId="0" fontId="32" fillId="17" borderId="47" xfId="0" applyFont="1" applyFill="1" applyBorder="1"/>
    <xf numFmtId="43" fontId="34" fillId="17" borderId="47" xfId="0" applyNumberFormat="1" applyFont="1" applyFill="1" applyBorder="1" applyAlignment="1">
      <alignment horizontal="center"/>
    </xf>
    <xf numFmtId="0" fontId="32" fillId="16" borderId="26" xfId="0" applyFont="1" applyFill="1" applyBorder="1"/>
    <xf numFmtId="198" fontId="32" fillId="16" borderId="26" xfId="0" applyNumberFormat="1" applyFont="1" applyFill="1" applyBorder="1" applyAlignment="1">
      <alignment horizontal="center"/>
    </xf>
    <xf numFmtId="0" fontId="26" fillId="0" borderId="46" xfId="0" applyFont="1" applyBorder="1"/>
    <xf numFmtId="9" fontId="26" fillId="0" borderId="48" xfId="0" applyNumberFormat="1" applyFont="1" applyBorder="1"/>
    <xf numFmtId="197" fontId="37" fillId="0" borderId="0" xfId="2" applyNumberFormat="1" applyFont="1" applyBorder="1"/>
    <xf numFmtId="0" fontId="26" fillId="0" borderId="42" xfId="0" applyFont="1" applyBorder="1"/>
    <xf numFmtId="0" fontId="6" fillId="0" borderId="0" xfId="0" applyFont="1"/>
    <xf numFmtId="2" fontId="0" fillId="0" borderId="0" xfId="0" applyNumberFormat="1"/>
    <xf numFmtId="10" fontId="5" fillId="2" borderId="0" xfId="1" applyNumberFormat="1" applyFont="1" applyFill="1"/>
    <xf numFmtId="0" fontId="26" fillId="0" borderId="2" xfId="0" applyFont="1" applyBorder="1" applyAlignment="1">
      <alignment horizontal="left" wrapText="1"/>
    </xf>
    <xf numFmtId="200" fontId="26" fillId="0" borderId="0" xfId="0" applyNumberFormat="1" applyFont="1"/>
    <xf numFmtId="200" fontId="26" fillId="0" borderId="0" xfId="0" applyNumberFormat="1" applyFont="1" applyAlignment="1">
      <alignment horizontal="right"/>
    </xf>
    <xf numFmtId="0" fontId="26" fillId="0" borderId="0" xfId="0" applyFont="1" applyAlignment="1">
      <alignment horizontal="left" wrapText="1"/>
    </xf>
    <xf numFmtId="200" fontId="38" fillId="0" borderId="0" xfId="0" applyNumberFormat="1" applyFont="1" applyAlignment="1">
      <alignment horizontal="right"/>
    </xf>
    <xf numFmtId="201" fontId="8" fillId="3" borderId="0" xfId="1" applyNumberFormat="1" applyFont="1" applyFill="1"/>
    <xf numFmtId="176" fontId="8" fillId="3" borderId="4" xfId="1" applyNumberFormat="1" applyFont="1" applyFill="1" applyBorder="1"/>
    <xf numFmtId="1" fontId="0" fillId="0" borderId="0" xfId="0" applyNumberFormat="1"/>
    <xf numFmtId="2" fontId="0" fillId="10" borderId="0" xfId="0" applyNumberFormat="1" applyFill="1"/>
    <xf numFmtId="43" fontId="0" fillId="0" borderId="0" xfId="0" applyNumberFormat="1"/>
    <xf numFmtId="1" fontId="0" fillId="10" borderId="0" xfId="0" applyNumberFormat="1" applyFill="1"/>
    <xf numFmtId="1" fontId="0" fillId="10" borderId="29" xfId="0" applyNumberFormat="1" applyFill="1" applyBorder="1"/>
    <xf numFmtId="6" fontId="39" fillId="0" borderId="43" xfId="0" applyNumberFormat="1" applyFont="1" applyBorder="1"/>
    <xf numFmtId="0" fontId="36" fillId="0" borderId="0" xfId="0" applyFont="1" applyAlignment="1">
      <alignment horizontal="right"/>
    </xf>
    <xf numFmtId="39" fontId="37" fillId="0" borderId="0" xfId="0" applyNumberFormat="1" applyFont="1"/>
    <xf numFmtId="39" fontId="26" fillId="0" borderId="0" xfId="0" applyNumberFormat="1" applyFont="1"/>
    <xf numFmtId="43" fontId="26" fillId="0" borderId="0" xfId="0" applyNumberFormat="1" applyFont="1"/>
    <xf numFmtId="43" fontId="37" fillId="0" borderId="0" xfId="0" applyNumberFormat="1" applyFont="1"/>
    <xf numFmtId="197" fontId="37" fillId="0" borderId="0" xfId="0" applyNumberFormat="1" applyFont="1"/>
    <xf numFmtId="2" fontId="26" fillId="0" borderId="0" xfId="0" applyNumberFormat="1" applyFont="1"/>
    <xf numFmtId="0" fontId="19" fillId="6" borderId="0" xfId="0" applyFont="1" applyFill="1"/>
    <xf numFmtId="0" fontId="18" fillId="6" borderId="0" xfId="0" applyFont="1" applyFill="1"/>
    <xf numFmtId="173" fontId="6" fillId="9" borderId="0" xfId="1" applyNumberFormat="1" applyFont="1" applyFill="1"/>
    <xf numFmtId="173" fontId="0" fillId="10" borderId="0" xfId="0" applyNumberFormat="1" applyFill="1"/>
    <xf numFmtId="10" fontId="0" fillId="10" borderId="0" xfId="0" applyNumberFormat="1" applyFill="1"/>
    <xf numFmtId="0" fontId="25" fillId="0" borderId="9" xfId="0" applyFont="1" applyBorder="1"/>
    <xf numFmtId="0" fontId="36" fillId="0" borderId="14" xfId="0" applyFont="1" applyBorder="1" applyAlignment="1">
      <alignment horizontal="right"/>
    </xf>
    <xf numFmtId="0" fontId="36" fillId="0" borderId="9" xfId="0" applyFont="1" applyBorder="1"/>
    <xf numFmtId="39" fontId="37" fillId="0" borderId="14" xfId="0" applyNumberFormat="1" applyFont="1" applyBorder="1"/>
    <xf numFmtId="0" fontId="26" fillId="0" borderId="9" xfId="0" applyFont="1" applyBorder="1"/>
    <xf numFmtId="0" fontId="26" fillId="0" borderId="14" xfId="0" applyFont="1" applyBorder="1"/>
    <xf numFmtId="197" fontId="26" fillId="0" borderId="0" xfId="0" applyNumberFormat="1" applyFont="1"/>
    <xf numFmtId="197" fontId="26" fillId="0" borderId="14" xfId="0" applyNumberFormat="1" applyFont="1" applyBorder="1"/>
    <xf numFmtId="43" fontId="37" fillId="0" borderId="14" xfId="0" applyNumberFormat="1" applyFont="1" applyBorder="1"/>
    <xf numFmtId="43" fontId="26" fillId="0" borderId="14" xfId="0" applyNumberFormat="1" applyFont="1" applyBorder="1"/>
    <xf numFmtId="0" fontId="36" fillId="0" borderId="59" xfId="0" applyFont="1" applyBorder="1"/>
    <xf numFmtId="0" fontId="26" fillId="0" borderId="60" xfId="0" applyFont="1" applyBorder="1"/>
    <xf numFmtId="43" fontId="26" fillId="0" borderId="60" xfId="0" applyNumberFormat="1" applyFont="1" applyBorder="1"/>
    <xf numFmtId="43" fontId="26" fillId="0" borderId="61" xfId="0" applyNumberFormat="1" applyFont="1" applyBorder="1"/>
    <xf numFmtId="0" fontId="36" fillId="16" borderId="12" xfId="0" applyFont="1" applyFill="1" applyBorder="1"/>
    <xf numFmtId="0" fontId="26" fillId="16" borderId="4" xfId="0" applyFont="1" applyFill="1" applyBorder="1"/>
    <xf numFmtId="0" fontId="26" fillId="16" borderId="13" xfId="0" applyFont="1" applyFill="1" applyBorder="1"/>
    <xf numFmtId="197" fontId="37" fillId="0" borderId="14" xfId="2" applyNumberFormat="1" applyFont="1" applyBorder="1"/>
    <xf numFmtId="39" fontId="26" fillId="0" borderId="14" xfId="0" applyNumberFormat="1" applyFont="1" applyBorder="1"/>
    <xf numFmtId="9" fontId="37" fillId="0" borderId="14" xfId="0" applyNumberFormat="1" applyFont="1" applyBorder="1"/>
    <xf numFmtId="197" fontId="37" fillId="0" borderId="14" xfId="0" applyNumberFormat="1" applyFont="1" applyBorder="1"/>
    <xf numFmtId="2" fontId="26" fillId="0" borderId="14" xfId="0" applyNumberFormat="1" applyFont="1" applyBorder="1"/>
    <xf numFmtId="0" fontId="36" fillId="0" borderId="15" xfId="0" applyFont="1" applyBorder="1"/>
    <xf numFmtId="0" fontId="26" fillId="0" borderId="2" xfId="0" applyFont="1" applyBorder="1"/>
    <xf numFmtId="43" fontId="26" fillId="0" borderId="2" xfId="0" applyNumberFormat="1" applyFont="1" applyBorder="1"/>
    <xf numFmtId="43" fontId="26" fillId="0" borderId="16" xfId="0" applyNumberFormat="1" applyFont="1" applyBorder="1"/>
    <xf numFmtId="1" fontId="26" fillId="0" borderId="0" xfId="0" applyNumberFormat="1" applyFont="1"/>
    <xf numFmtId="1" fontId="26" fillId="0" borderId="14" xfId="0" applyNumberFormat="1" applyFont="1" applyBorder="1"/>
    <xf numFmtId="43" fontId="9" fillId="12" borderId="0" xfId="1" applyNumberFormat="1" applyFont="1" applyFill="1" applyAlignment="1">
      <alignment horizontal="right"/>
    </xf>
    <xf numFmtId="43" fontId="9" fillId="12" borderId="14" xfId="1" applyNumberFormat="1" applyFont="1" applyFill="1" applyBorder="1" applyAlignment="1">
      <alignment horizontal="right"/>
    </xf>
    <xf numFmtId="0" fontId="26" fillId="0" borderId="15" xfId="0" applyFont="1" applyBorder="1"/>
    <xf numFmtId="0" fontId="30" fillId="16" borderId="17" xfId="0" applyFont="1" applyFill="1" applyBorder="1"/>
    <xf numFmtId="0" fontId="31" fillId="16" borderId="18" xfId="0" applyFont="1" applyFill="1" applyBorder="1"/>
    <xf numFmtId="0" fontId="32" fillId="16" borderId="18" xfId="0" applyFont="1" applyFill="1" applyBorder="1" applyAlignment="1">
      <alignment horizontal="center"/>
    </xf>
    <xf numFmtId="0" fontId="32" fillId="16" borderId="19" xfId="0" applyFont="1" applyFill="1" applyBorder="1" applyAlignment="1">
      <alignment horizontal="center"/>
    </xf>
    <xf numFmtId="0" fontId="31" fillId="0" borderId="20" xfId="0" applyFont="1" applyBorder="1"/>
    <xf numFmtId="0" fontId="31" fillId="0" borderId="21" xfId="0" applyFont="1" applyBorder="1"/>
    <xf numFmtId="43" fontId="33" fillId="0" borderId="0" xfId="0" applyNumberFormat="1" applyFont="1" applyAlignment="1">
      <alignment horizontal="center"/>
    </xf>
    <xf numFmtId="43" fontId="33" fillId="0" borderId="21" xfId="0" applyNumberFormat="1" applyFont="1" applyBorder="1" applyAlignment="1">
      <alignment horizontal="center"/>
    </xf>
    <xf numFmtId="43" fontId="31" fillId="0" borderId="21" xfId="0" applyNumberFormat="1" applyFont="1" applyBorder="1" applyAlignment="1">
      <alignment horizontal="center"/>
    </xf>
    <xf numFmtId="0" fontId="32" fillId="0" borderId="62" xfId="0" applyFont="1" applyBorder="1"/>
    <xf numFmtId="0" fontId="31" fillId="0" borderId="63" xfId="0" applyFont="1" applyBorder="1"/>
    <xf numFmtId="43" fontId="32" fillId="16" borderId="63" xfId="0" applyNumberFormat="1" applyFont="1" applyFill="1" applyBorder="1" applyAlignment="1">
      <alignment horizontal="center"/>
    </xf>
    <xf numFmtId="43" fontId="32" fillId="16" borderId="64" xfId="0" applyNumberFormat="1" applyFont="1" applyFill="1" applyBorder="1" applyAlignment="1">
      <alignment horizontal="center"/>
    </xf>
    <xf numFmtId="0" fontId="32" fillId="0" borderId="20" xfId="0" applyFont="1" applyBorder="1"/>
    <xf numFmtId="0" fontId="32" fillId="16" borderId="0" xfId="0" applyFont="1" applyFill="1"/>
    <xf numFmtId="10" fontId="34" fillId="16" borderId="0" xfId="0" applyNumberFormat="1" applyFont="1" applyFill="1"/>
    <xf numFmtId="0" fontId="32" fillId="15" borderId="0" xfId="0" applyFont="1" applyFill="1"/>
    <xf numFmtId="10" fontId="32" fillId="15" borderId="0" xfId="0" applyNumberFormat="1" applyFont="1" applyFill="1"/>
    <xf numFmtId="0" fontId="31" fillId="16" borderId="65" xfId="0" applyFont="1" applyFill="1" applyBorder="1"/>
    <xf numFmtId="43" fontId="32" fillId="16" borderId="66" xfId="0" applyNumberFormat="1" applyFont="1" applyFill="1" applyBorder="1" applyAlignment="1">
      <alignment horizontal="center"/>
    </xf>
    <xf numFmtId="0" fontId="31" fillId="0" borderId="22" xfId="0" applyFont="1" applyBorder="1"/>
    <xf numFmtId="0" fontId="31" fillId="0" borderId="23" xfId="0" applyFont="1" applyBorder="1"/>
    <xf numFmtId="43" fontId="30" fillId="0" borderId="23" xfId="0" applyNumberFormat="1" applyFont="1" applyBorder="1" applyAlignment="1">
      <alignment horizontal="center"/>
    </xf>
    <xf numFmtId="43" fontId="30" fillId="0" borderId="24" xfId="0" applyNumberFormat="1" applyFont="1" applyBorder="1" applyAlignment="1">
      <alignment horizontal="center"/>
    </xf>
    <xf numFmtId="0" fontId="31" fillId="16" borderId="62" xfId="0" applyFont="1" applyFill="1" applyBorder="1"/>
    <xf numFmtId="0" fontId="31" fillId="16" borderId="63" xfId="0" applyFont="1" applyFill="1" applyBorder="1"/>
    <xf numFmtId="10" fontId="31" fillId="16" borderId="63" xfId="0" applyNumberFormat="1" applyFont="1" applyFill="1" applyBorder="1"/>
    <xf numFmtId="0" fontId="33" fillId="16" borderId="63" xfId="0" applyFont="1" applyFill="1" applyBorder="1"/>
    <xf numFmtId="0" fontId="31" fillId="15" borderId="20" xfId="0" applyFont="1" applyFill="1" applyBorder="1"/>
    <xf numFmtId="43" fontId="32" fillId="15" borderId="21" xfId="0" applyNumberFormat="1" applyFont="1" applyFill="1" applyBorder="1" applyAlignment="1">
      <alignment horizontal="center"/>
    </xf>
    <xf numFmtId="0" fontId="32" fillId="17" borderId="65" xfId="0" applyFont="1" applyFill="1" applyBorder="1"/>
    <xf numFmtId="43" fontId="34" fillId="17" borderId="66" xfId="0" applyNumberFormat="1" applyFont="1" applyFill="1" applyBorder="1" applyAlignment="1">
      <alignment horizontal="center"/>
    </xf>
    <xf numFmtId="0" fontId="32" fillId="16" borderId="67" xfId="0" applyFont="1" applyFill="1" applyBorder="1"/>
    <xf numFmtId="198" fontId="32" fillId="16" borderId="33" xfId="0" applyNumberFormat="1" applyFont="1" applyFill="1" applyBorder="1" applyAlignment="1">
      <alignment horizontal="center"/>
    </xf>
    <xf numFmtId="0" fontId="32" fillId="16" borderId="22" xfId="0" applyFont="1" applyFill="1" applyBorder="1"/>
    <xf numFmtId="0" fontId="32" fillId="16" borderId="23" xfId="0" applyFont="1" applyFill="1" applyBorder="1"/>
    <xf numFmtId="198" fontId="32" fillId="16" borderId="23" xfId="0" applyNumberFormat="1" applyFont="1" applyFill="1" applyBorder="1" applyAlignment="1">
      <alignment horizontal="center"/>
    </xf>
    <xf numFmtId="198" fontId="32" fillId="16" borderId="24" xfId="0" applyNumberFormat="1" applyFont="1" applyFill="1" applyBorder="1" applyAlignment="1">
      <alignment horizontal="center"/>
    </xf>
    <xf numFmtId="0" fontId="26" fillId="21" borderId="12" xfId="0" applyFont="1" applyFill="1" applyBorder="1"/>
    <xf numFmtId="0" fontId="26" fillId="21" borderId="4" xfId="0" applyFont="1" applyFill="1" applyBorder="1"/>
    <xf numFmtId="0" fontId="36" fillId="21" borderId="4" xfId="0" applyFont="1" applyFill="1" applyBorder="1"/>
    <xf numFmtId="0" fontId="36" fillId="21" borderId="13" xfId="0" applyFont="1" applyFill="1" applyBorder="1"/>
    <xf numFmtId="0" fontId="36" fillId="21" borderId="4" xfId="0" applyFont="1" applyFill="1" applyBorder="1" applyAlignment="1">
      <alignment horizontal="right"/>
    </xf>
    <xf numFmtId="0" fontId="36" fillId="21" borderId="13" xfId="0" applyFont="1" applyFill="1" applyBorder="1" applyAlignment="1">
      <alignment horizontal="right"/>
    </xf>
    <xf numFmtId="0" fontId="6" fillId="16" borderId="38" xfId="0" applyFont="1" applyFill="1" applyBorder="1"/>
    <xf numFmtId="0" fontId="0" fillId="16" borderId="40" xfId="0" applyFill="1" applyBorder="1"/>
    <xf numFmtId="43" fontId="42" fillId="0" borderId="45" xfId="0" applyNumberFormat="1" applyFont="1" applyBorder="1"/>
    <xf numFmtId="204" fontId="43" fillId="0" borderId="45" xfId="0" applyNumberFormat="1" applyFont="1" applyBorder="1"/>
    <xf numFmtId="200" fontId="43" fillId="0" borderId="45" xfId="0" applyNumberFormat="1" applyFont="1" applyBorder="1"/>
    <xf numFmtId="43" fontId="0" fillId="0" borderId="45" xfId="0" applyNumberFormat="1" applyBorder="1"/>
    <xf numFmtId="43" fontId="0" fillId="0" borderId="43" xfId="0" applyNumberFormat="1" applyBorder="1"/>
    <xf numFmtId="205" fontId="0" fillId="0" borderId="45" xfId="0" applyNumberFormat="1" applyBorder="1"/>
    <xf numFmtId="0" fontId="43" fillId="0" borderId="45" xfId="0" applyFont="1" applyBorder="1"/>
    <xf numFmtId="197" fontId="32" fillId="15" borderId="23" xfId="0" applyNumberFormat="1" applyFont="1" applyFill="1" applyBorder="1"/>
    <xf numFmtId="0" fontId="32" fillId="21" borderId="17" xfId="0" applyFont="1" applyFill="1" applyBorder="1"/>
    <xf numFmtId="0" fontId="31" fillId="21" borderId="18" xfId="0" applyFont="1" applyFill="1" applyBorder="1"/>
    <xf numFmtId="43" fontId="31" fillId="21" borderId="18" xfId="0" applyNumberFormat="1" applyFont="1" applyFill="1" applyBorder="1" applyAlignment="1">
      <alignment horizontal="center"/>
    </xf>
    <xf numFmtId="43" fontId="31" fillId="21" borderId="19" xfId="0" applyNumberFormat="1" applyFont="1" applyFill="1" applyBorder="1" applyAlignment="1">
      <alignment horizontal="center"/>
    </xf>
    <xf numFmtId="10" fontId="31" fillId="21" borderId="18" xfId="0" applyNumberFormat="1" applyFont="1" applyFill="1" applyBorder="1"/>
    <xf numFmtId="173" fontId="4" fillId="9" borderId="0" xfId="1" applyNumberFormat="1" applyFont="1" applyFill="1"/>
    <xf numFmtId="173" fontId="9" fillId="9" borderId="0" xfId="1" applyNumberFormat="1" applyFont="1" applyFill="1"/>
    <xf numFmtId="173" fontId="4" fillId="11" borderId="0" xfId="1" applyNumberFormat="1" applyFont="1" applyFill="1"/>
    <xf numFmtId="173" fontId="9" fillId="11" borderId="0" xfId="1" applyNumberFormat="1" applyFont="1" applyFill="1"/>
    <xf numFmtId="173" fontId="7" fillId="9" borderId="0" xfId="1" applyNumberFormat="1" applyFont="1" applyFill="1"/>
    <xf numFmtId="173" fontId="6" fillId="11" borderId="0" xfId="1" applyNumberFormat="1" applyFont="1" applyFill="1"/>
    <xf numFmtId="172" fontId="12" fillId="9" borderId="0" xfId="1" applyNumberFormat="1" applyFont="1" applyFill="1"/>
    <xf numFmtId="172" fontId="12" fillId="11" borderId="0" xfId="1" applyNumberFormat="1" applyFont="1" applyFill="1"/>
    <xf numFmtId="172" fontId="11" fillId="9" borderId="0" xfId="1" applyNumberFormat="1" applyFont="1" applyFill="1"/>
    <xf numFmtId="173" fontId="7" fillId="11" borderId="0" xfId="1" applyNumberFormat="1" applyFont="1" applyFill="1"/>
    <xf numFmtId="0" fontId="33" fillId="21" borderId="18" xfId="0" applyFont="1" applyFill="1" applyBorder="1"/>
    <xf numFmtId="43" fontId="32" fillId="21" borderId="18" xfId="0" applyNumberFormat="1" applyFont="1" applyFill="1" applyBorder="1" applyAlignment="1">
      <alignment horizontal="center"/>
    </xf>
    <xf numFmtId="43" fontId="32" fillId="21" borderId="19" xfId="0" applyNumberFormat="1" applyFont="1" applyFill="1" applyBorder="1" applyAlignment="1">
      <alignment horizontal="center"/>
    </xf>
    <xf numFmtId="0" fontId="26" fillId="15" borderId="0" xfId="0" applyFont="1" applyFill="1"/>
    <xf numFmtId="0" fontId="25" fillId="6" borderId="31" xfId="0" applyFont="1" applyFill="1" applyBorder="1"/>
    <xf numFmtId="0" fontId="44" fillId="6" borderId="31" xfId="0" applyFont="1" applyFill="1" applyBorder="1"/>
    <xf numFmtId="0" fontId="44" fillId="6" borderId="58" xfId="0" applyFont="1" applyFill="1" applyBorder="1"/>
    <xf numFmtId="0" fontId="44" fillId="15" borderId="0" xfId="0" applyFont="1" applyFill="1"/>
    <xf numFmtId="0" fontId="26" fillId="15" borderId="44" xfId="0" applyFont="1" applyFill="1" applyBorder="1"/>
    <xf numFmtId="0" fontId="26" fillId="10" borderId="0" xfId="0" applyFont="1" applyFill="1"/>
    <xf numFmtId="173" fontId="36" fillId="9" borderId="0" xfId="1" applyNumberFormat="1" applyFont="1" applyFill="1"/>
    <xf numFmtId="173" fontId="36" fillId="9" borderId="44" xfId="1" applyNumberFormat="1" applyFont="1" applyFill="1" applyBorder="1"/>
    <xf numFmtId="0" fontId="26" fillId="10" borderId="0" xfId="0" applyFont="1" applyFill="1" applyAlignment="1">
      <alignment horizontal="left" indent="1"/>
    </xf>
    <xf numFmtId="2" fontId="26" fillId="10" borderId="0" xfId="0" applyNumberFormat="1" applyFont="1" applyFill="1"/>
    <xf numFmtId="199" fontId="26" fillId="10" borderId="0" xfId="4" applyNumberFormat="1" applyFont="1" applyFill="1" applyBorder="1"/>
    <xf numFmtId="199" fontId="26" fillId="10" borderId="44" xfId="0" applyNumberFormat="1" applyFont="1" applyFill="1" applyBorder="1"/>
    <xf numFmtId="173" fontId="26" fillId="10" borderId="0" xfId="0" applyNumberFormat="1" applyFont="1" applyFill="1"/>
    <xf numFmtId="0" fontId="26" fillId="10" borderId="31" xfId="0" applyFont="1" applyFill="1" applyBorder="1"/>
    <xf numFmtId="199" fontId="26" fillId="10" borderId="58" xfId="4" applyNumberFormat="1" applyFont="1" applyFill="1" applyBorder="1"/>
    <xf numFmtId="199" fontId="26" fillId="10" borderId="31" xfId="4" applyNumberFormat="1" applyFont="1" applyFill="1" applyBorder="1"/>
    <xf numFmtId="0" fontId="26" fillId="10" borderId="44" xfId="0" applyFont="1" applyFill="1" applyBorder="1"/>
    <xf numFmtId="0" fontId="36" fillId="10" borderId="0" xfId="0" applyFont="1" applyFill="1"/>
    <xf numFmtId="2" fontId="26" fillId="10" borderId="44" xfId="0" applyNumberFormat="1" applyFont="1" applyFill="1" applyBorder="1"/>
    <xf numFmtId="173" fontId="26" fillId="10" borderId="44" xfId="0" applyNumberFormat="1" applyFont="1" applyFill="1" applyBorder="1"/>
    <xf numFmtId="173" fontId="36" fillId="9" borderId="31" xfId="1" applyNumberFormat="1" applyFont="1" applyFill="1" applyBorder="1"/>
    <xf numFmtId="0" fontId="26" fillId="10" borderId="58" xfId="0" applyFont="1" applyFill="1" applyBorder="1"/>
    <xf numFmtId="0" fontId="26" fillId="6" borderId="0" xfId="0" applyFont="1" applyFill="1"/>
    <xf numFmtId="0" fontId="44" fillId="6" borderId="0" xfId="0" applyFont="1" applyFill="1"/>
    <xf numFmtId="0" fontId="25" fillId="10" borderId="0" xfId="0" applyFont="1" applyFill="1"/>
    <xf numFmtId="10" fontId="25" fillId="10" borderId="0" xfId="0" applyNumberFormat="1" applyFont="1" applyFill="1"/>
    <xf numFmtId="10" fontId="26" fillId="10" borderId="0" xfId="0" applyNumberFormat="1" applyFont="1" applyFill="1"/>
    <xf numFmtId="0" fontId="25" fillId="10" borderId="31" xfId="0" applyFont="1" applyFill="1" applyBorder="1"/>
    <xf numFmtId="10" fontId="25" fillId="10" borderId="31" xfId="0" applyNumberFormat="1" applyFont="1" applyFill="1" applyBorder="1"/>
    <xf numFmtId="10" fontId="26" fillId="10" borderId="31" xfId="0" applyNumberFormat="1" applyFont="1" applyFill="1" applyBorder="1"/>
    <xf numFmtId="2" fontId="26" fillId="10" borderId="0" xfId="1" applyNumberFormat="1" applyFont="1" applyFill="1"/>
    <xf numFmtId="9" fontId="26" fillId="10" borderId="0" xfId="4" applyFont="1" applyFill="1"/>
    <xf numFmtId="173" fontId="5" fillId="9" borderId="0" xfId="1" applyNumberFormat="1" applyFont="1" applyFill="1"/>
    <xf numFmtId="0" fontId="1" fillId="6" borderId="42" xfId="0" applyFont="1" applyFill="1" applyBorder="1"/>
    <xf numFmtId="173" fontId="1" fillId="6" borderId="42" xfId="0" applyNumberFormat="1" applyFont="1" applyFill="1" applyBorder="1"/>
    <xf numFmtId="0" fontId="36" fillId="0" borderId="42" xfId="0" applyFont="1" applyBorder="1"/>
    <xf numFmtId="0" fontId="36" fillId="0" borderId="0" xfId="0" applyFont="1"/>
    <xf numFmtId="0" fontId="26" fillId="14" borderId="0" xfId="0" applyFont="1" applyFill="1"/>
    <xf numFmtId="0" fontId="26" fillId="6" borderId="54" xfId="0" applyFont="1" applyFill="1" applyBorder="1"/>
    <xf numFmtId="0" fontId="26" fillId="6" borderId="55" xfId="0" applyFont="1" applyFill="1" applyBorder="1"/>
    <xf numFmtId="0" fontId="25" fillId="6" borderId="56" xfId="0" applyFont="1" applyFill="1" applyBorder="1" applyAlignment="1">
      <alignment horizontal="right"/>
    </xf>
    <xf numFmtId="0" fontId="36" fillId="6" borderId="56" xfId="0" applyFont="1" applyFill="1" applyBorder="1" applyAlignment="1">
      <alignment horizontal="right"/>
    </xf>
    <xf numFmtId="0" fontId="36" fillId="6" borderId="57" xfId="0" applyFont="1" applyFill="1" applyBorder="1" applyAlignment="1">
      <alignment horizontal="right"/>
    </xf>
    <xf numFmtId="0" fontId="36" fillId="14" borderId="0" xfId="0" applyFont="1" applyFill="1"/>
    <xf numFmtId="0" fontId="46" fillId="20" borderId="52" xfId="0" applyFont="1" applyFill="1" applyBorder="1" applyAlignment="1">
      <alignment horizontal="center"/>
    </xf>
    <xf numFmtId="0" fontId="32" fillId="10" borderId="28" xfId="0" applyFont="1" applyFill="1" applyBorder="1" applyAlignment="1">
      <alignment horizontal="left" indent="1"/>
    </xf>
    <xf numFmtId="0" fontId="32" fillId="10" borderId="45" xfId="0" applyFont="1" applyFill="1" applyBorder="1"/>
    <xf numFmtId="203" fontId="32" fillId="10" borderId="0" xfId="2" applyNumberFormat="1" applyFont="1" applyFill="1" applyBorder="1"/>
    <xf numFmtId="203" fontId="32" fillId="10" borderId="29" xfId="2" applyNumberFormat="1" applyFont="1" applyFill="1" applyBorder="1"/>
    <xf numFmtId="0" fontId="26" fillId="6" borderId="0" xfId="0" applyFont="1" applyFill="1" applyAlignment="1">
      <alignment horizontal="center"/>
    </xf>
    <xf numFmtId="2" fontId="32" fillId="10" borderId="0" xfId="0" applyNumberFormat="1" applyFont="1" applyFill="1"/>
    <xf numFmtId="2" fontId="32" fillId="10" borderId="29" xfId="0" applyNumberFormat="1" applyFont="1" applyFill="1" applyBorder="1"/>
    <xf numFmtId="1" fontId="32" fillId="10" borderId="0" xfId="0" applyNumberFormat="1" applyFont="1" applyFill="1"/>
    <xf numFmtId="1" fontId="32" fillId="10" borderId="29" xfId="0" applyNumberFormat="1" applyFont="1" applyFill="1" applyBorder="1"/>
    <xf numFmtId="173" fontId="47" fillId="11" borderId="0" xfId="0" applyNumberFormat="1" applyFont="1" applyFill="1"/>
    <xf numFmtId="199" fontId="32" fillId="10" borderId="0" xfId="4" applyNumberFormat="1" applyFont="1" applyFill="1" applyBorder="1"/>
    <xf numFmtId="199" fontId="32" fillId="10" borderId="29" xfId="4" applyNumberFormat="1" applyFont="1" applyFill="1" applyBorder="1"/>
    <xf numFmtId="0" fontId="32" fillId="10" borderId="30" xfId="0" applyFont="1" applyFill="1" applyBorder="1" applyAlignment="1">
      <alignment horizontal="left" indent="1"/>
    </xf>
    <xf numFmtId="0" fontId="32" fillId="10" borderId="53" xfId="0" applyFont="1" applyFill="1" applyBorder="1"/>
    <xf numFmtId="173" fontId="47" fillId="11" borderId="31" xfId="0" applyNumberFormat="1" applyFont="1" applyFill="1" applyBorder="1"/>
    <xf numFmtId="199" fontId="32" fillId="10" borderId="31" xfId="4" applyNumberFormat="1" applyFont="1" applyFill="1" applyBorder="1"/>
    <xf numFmtId="199" fontId="32" fillId="10" borderId="32" xfId="4" applyNumberFormat="1" applyFont="1" applyFill="1" applyBorder="1"/>
    <xf numFmtId="0" fontId="26" fillId="6" borderId="46" xfId="0" applyFont="1" applyFill="1" applyBorder="1" applyAlignment="1">
      <alignment horizontal="left" indent="1"/>
    </xf>
    <xf numFmtId="0" fontId="26" fillId="6" borderId="48" xfId="0" applyFont="1" applyFill="1" applyBorder="1" applyAlignment="1">
      <alignment horizontal="center"/>
    </xf>
    <xf numFmtId="0" fontId="25" fillId="6" borderId="47" xfId="0" applyFont="1" applyFill="1" applyBorder="1" applyAlignment="1">
      <alignment horizontal="right"/>
    </xf>
    <xf numFmtId="0" fontId="36" fillId="6" borderId="47" xfId="0" applyFont="1" applyFill="1" applyBorder="1" applyAlignment="1">
      <alignment horizontal="right"/>
    </xf>
    <xf numFmtId="0" fontId="36" fillId="6" borderId="48" xfId="0" applyFont="1" applyFill="1" applyBorder="1" applyAlignment="1">
      <alignment horizontal="right"/>
    </xf>
    <xf numFmtId="0" fontId="26" fillId="10" borderId="44" xfId="0" applyFont="1" applyFill="1" applyBorder="1" applyAlignment="1">
      <alignment horizontal="left" indent="2"/>
    </xf>
    <xf numFmtId="0" fontId="26" fillId="10" borderId="45" xfId="0" applyFont="1" applyFill="1" applyBorder="1" applyAlignment="1">
      <alignment horizontal="left" indent="1"/>
    </xf>
    <xf numFmtId="43" fontId="48" fillId="14" borderId="0" xfId="0" applyNumberFormat="1" applyFont="1" applyFill="1" applyAlignment="1">
      <alignment horizontal="right"/>
    </xf>
    <xf numFmtId="43" fontId="26" fillId="14" borderId="0" xfId="0" applyNumberFormat="1" applyFont="1" applyFill="1" applyAlignment="1">
      <alignment horizontal="right"/>
    </xf>
    <xf numFmtId="43" fontId="26" fillId="14" borderId="45" xfId="0" applyNumberFormat="1" applyFont="1" applyFill="1" applyBorder="1" applyAlignment="1">
      <alignment horizontal="right"/>
    </xf>
    <xf numFmtId="165" fontId="49" fillId="12" borderId="0" xfId="1" applyNumberFormat="1" applyFont="1" applyFill="1" applyAlignment="1">
      <alignment horizontal="right"/>
    </xf>
    <xf numFmtId="165" fontId="49" fillId="12" borderId="45" xfId="1" applyNumberFormat="1" applyFont="1" applyFill="1" applyBorder="1" applyAlignment="1">
      <alignment horizontal="right"/>
    </xf>
    <xf numFmtId="0" fontId="26" fillId="10" borderId="41" xfId="0" applyFont="1" applyFill="1" applyBorder="1" applyAlignment="1">
      <alignment horizontal="left" indent="2"/>
    </xf>
    <xf numFmtId="0" fontId="26" fillId="10" borderId="43" xfId="0" applyFont="1" applyFill="1" applyBorder="1" applyAlignment="1">
      <alignment horizontal="left" indent="1"/>
    </xf>
    <xf numFmtId="43" fontId="48" fillId="14" borderId="42" xfId="0" applyNumberFormat="1" applyFont="1" applyFill="1" applyBorder="1" applyAlignment="1">
      <alignment horizontal="right"/>
    </xf>
    <xf numFmtId="165" fontId="49" fillId="12" borderId="42" xfId="1" applyNumberFormat="1" applyFont="1" applyFill="1" applyBorder="1" applyAlignment="1">
      <alignment horizontal="right"/>
    </xf>
    <xf numFmtId="165" fontId="49" fillId="12" borderId="43" xfId="1" applyNumberFormat="1" applyFont="1" applyFill="1" applyBorder="1" applyAlignment="1">
      <alignment horizontal="right"/>
    </xf>
    <xf numFmtId="0" fontId="26" fillId="0" borderId="0" xfId="0" applyFont="1" applyAlignment="1">
      <alignment horizontal="left" indent="1"/>
    </xf>
    <xf numFmtId="0" fontId="26" fillId="0" borderId="0" xfId="0" applyFont="1" applyAlignment="1">
      <alignment horizontal="right"/>
    </xf>
    <xf numFmtId="0" fontId="25" fillId="6" borderId="39" xfId="0" applyFont="1" applyFill="1" applyBorder="1" applyAlignment="1">
      <alignment horizontal="right"/>
    </xf>
    <xf numFmtId="0" fontId="36" fillId="6" borderId="39" xfId="0" applyFont="1" applyFill="1" applyBorder="1" applyAlignment="1">
      <alignment horizontal="right"/>
    </xf>
    <xf numFmtId="0" fontId="36" fillId="6" borderId="40" xfId="0" applyFont="1" applyFill="1" applyBorder="1" applyAlignment="1">
      <alignment horizontal="right"/>
    </xf>
    <xf numFmtId="43" fontId="48" fillId="14" borderId="12" xfId="0" applyNumberFormat="1" applyFont="1" applyFill="1" applyBorder="1" applyAlignment="1">
      <alignment horizontal="right"/>
    </xf>
    <xf numFmtId="43" fontId="26" fillId="14" borderId="4" xfId="0" applyNumberFormat="1" applyFont="1" applyFill="1" applyBorder="1" applyAlignment="1">
      <alignment horizontal="right"/>
    </xf>
    <xf numFmtId="43" fontId="26" fillId="14" borderId="13" xfId="0" applyNumberFormat="1" applyFont="1" applyFill="1" applyBorder="1" applyAlignment="1">
      <alignment horizontal="right"/>
    </xf>
    <xf numFmtId="43" fontId="48" fillId="14" borderId="9" xfId="0" applyNumberFormat="1" applyFont="1" applyFill="1" applyBorder="1" applyAlignment="1">
      <alignment horizontal="right"/>
    </xf>
    <xf numFmtId="165" fontId="49" fillId="12" borderId="14" xfId="1" applyNumberFormat="1" applyFont="1" applyFill="1" applyBorder="1" applyAlignment="1">
      <alignment horizontal="right"/>
    </xf>
    <xf numFmtId="0" fontId="26" fillId="10" borderId="42" xfId="0" applyFont="1" applyFill="1" applyBorder="1" applyAlignment="1">
      <alignment horizontal="left" indent="1"/>
    </xf>
    <xf numFmtId="43" fontId="48" fillId="14" borderId="15" xfId="0" applyNumberFormat="1" applyFont="1" applyFill="1" applyBorder="1" applyAlignment="1">
      <alignment horizontal="right"/>
    </xf>
    <xf numFmtId="165" fontId="49" fillId="12" borderId="2" xfId="1" applyNumberFormat="1" applyFont="1" applyFill="1" applyBorder="1" applyAlignment="1">
      <alignment horizontal="right"/>
    </xf>
    <xf numFmtId="165" fontId="49" fillId="12" borderId="16" xfId="1" applyNumberFormat="1" applyFont="1" applyFill="1" applyBorder="1" applyAlignment="1">
      <alignment horizontal="right"/>
    </xf>
    <xf numFmtId="0" fontId="26" fillId="0" borderId="31" xfId="0" applyFont="1" applyBorder="1"/>
    <xf numFmtId="0" fontId="26" fillId="0" borderId="31" xfId="0" applyFont="1" applyBorder="1" applyAlignment="1">
      <alignment horizontal="left" indent="1"/>
    </xf>
    <xf numFmtId="0" fontId="25" fillId="6" borderId="47" xfId="0" applyFont="1" applyFill="1" applyBorder="1" applyAlignment="1">
      <alignment horizontal="center"/>
    </xf>
    <xf numFmtId="0" fontId="36" fillId="6" borderId="47" xfId="0" applyFont="1" applyFill="1" applyBorder="1" applyAlignment="1">
      <alignment horizontal="center"/>
    </xf>
    <xf numFmtId="0" fontId="36" fillId="6" borderId="48" xfId="0" applyFont="1" applyFill="1" applyBorder="1" applyAlignment="1">
      <alignment horizontal="center"/>
    </xf>
    <xf numFmtId="43" fontId="48" fillId="14" borderId="38" xfId="0" applyNumberFormat="1" applyFont="1" applyFill="1" applyBorder="1"/>
    <xf numFmtId="43" fontId="50" fillId="14" borderId="39" xfId="0" applyNumberFormat="1" applyFont="1" applyFill="1" applyBorder="1"/>
    <xf numFmtId="43" fontId="50" fillId="14" borderId="40" xfId="0" applyNumberFormat="1" applyFont="1" applyFill="1" applyBorder="1"/>
    <xf numFmtId="43" fontId="48" fillId="14" borderId="44" xfId="0" applyNumberFormat="1" applyFont="1" applyFill="1" applyBorder="1"/>
    <xf numFmtId="43" fontId="49" fillId="12" borderId="0" xfId="1" applyNumberFormat="1" applyFont="1" applyFill="1" applyAlignment="1">
      <alignment horizontal="right"/>
    </xf>
    <xf numFmtId="43" fontId="49" fillId="12" borderId="45" xfId="1" applyNumberFormat="1" applyFont="1" applyFill="1" applyBorder="1" applyAlignment="1">
      <alignment horizontal="right"/>
    </xf>
    <xf numFmtId="43" fontId="48" fillId="14" borderId="41" xfId="0" applyNumberFormat="1" applyFont="1" applyFill="1" applyBorder="1"/>
    <xf numFmtId="43" fontId="49" fillId="12" borderId="42" xfId="1" applyNumberFormat="1" applyFont="1" applyFill="1" applyBorder="1" applyAlignment="1">
      <alignment horizontal="right"/>
    </xf>
    <xf numFmtId="43" fontId="49" fillId="12" borderId="43" xfId="1" applyNumberFormat="1" applyFont="1" applyFill="1" applyBorder="1" applyAlignment="1">
      <alignment horizontal="right"/>
    </xf>
    <xf numFmtId="173" fontId="37" fillId="14" borderId="38" xfId="0" applyNumberFormat="1" applyFont="1" applyFill="1" applyBorder="1"/>
    <xf numFmtId="173" fontId="49" fillId="12" borderId="39" xfId="1" applyNumberFormat="1" applyFont="1" applyFill="1" applyBorder="1" applyAlignment="1">
      <alignment horizontal="right"/>
    </xf>
    <xf numFmtId="173" fontId="26" fillId="14" borderId="39" xfId="0" applyNumberFormat="1" applyFont="1" applyFill="1" applyBorder="1"/>
    <xf numFmtId="173" fontId="26" fillId="14" borderId="40" xfId="0" applyNumberFormat="1" applyFont="1" applyFill="1" applyBorder="1"/>
    <xf numFmtId="173" fontId="37" fillId="14" borderId="44" xfId="0" applyNumberFormat="1" applyFont="1" applyFill="1" applyBorder="1"/>
    <xf numFmtId="173" fontId="49" fillId="12" borderId="0" xfId="1" applyNumberFormat="1" applyFont="1" applyFill="1" applyAlignment="1">
      <alignment horizontal="right"/>
    </xf>
    <xf numFmtId="173" fontId="49" fillId="12" borderId="45" xfId="1" applyNumberFormat="1" applyFont="1" applyFill="1" applyBorder="1" applyAlignment="1">
      <alignment horizontal="right"/>
    </xf>
    <xf numFmtId="173" fontId="37" fillId="14" borderId="41" xfId="0" applyNumberFormat="1" applyFont="1" applyFill="1" applyBorder="1"/>
    <xf numFmtId="173" fontId="49" fillId="12" borderId="42" xfId="1" applyNumberFormat="1" applyFont="1" applyFill="1" applyBorder="1" applyAlignment="1">
      <alignment horizontal="right" indent="1"/>
    </xf>
    <xf numFmtId="173" fontId="49" fillId="12" borderId="43" xfId="1" applyNumberFormat="1" applyFont="1" applyFill="1" applyBorder="1" applyAlignment="1">
      <alignment horizontal="right" indent="1"/>
    </xf>
    <xf numFmtId="173" fontId="49" fillId="12" borderId="42" xfId="1" applyNumberFormat="1" applyFont="1" applyFill="1" applyBorder="1" applyAlignment="1">
      <alignment horizontal="right"/>
    </xf>
    <xf numFmtId="173" fontId="49" fillId="12" borderId="43" xfId="1" applyNumberFormat="1" applyFont="1" applyFill="1" applyBorder="1" applyAlignment="1">
      <alignment horizontal="right"/>
    </xf>
    <xf numFmtId="173" fontId="49" fillId="12" borderId="40" xfId="1" applyNumberFormat="1" applyFont="1" applyFill="1" applyBorder="1" applyAlignment="1">
      <alignment horizontal="right"/>
    </xf>
    <xf numFmtId="173" fontId="50" fillId="12" borderId="0" xfId="1" applyNumberFormat="1" applyFont="1" applyFill="1" applyAlignment="1">
      <alignment horizontal="right"/>
    </xf>
    <xf numFmtId="173" fontId="50" fillId="12" borderId="40" xfId="1" applyNumberFormat="1" applyFont="1" applyFill="1" applyBorder="1" applyAlignment="1">
      <alignment horizontal="right"/>
    </xf>
    <xf numFmtId="173" fontId="50" fillId="12" borderId="42" xfId="1" applyNumberFormat="1" applyFont="1" applyFill="1" applyBorder="1" applyAlignment="1">
      <alignment horizontal="right"/>
    </xf>
    <xf numFmtId="173" fontId="50" fillId="12" borderId="43" xfId="1" applyNumberFormat="1" applyFont="1" applyFill="1" applyBorder="1" applyAlignment="1">
      <alignment horizontal="right"/>
    </xf>
    <xf numFmtId="199" fontId="50" fillId="12" borderId="39" xfId="4" applyNumberFormat="1" applyFont="1" applyFill="1" applyBorder="1" applyAlignment="1">
      <alignment horizontal="right"/>
    </xf>
    <xf numFmtId="199" fontId="49" fillId="12" borderId="0" xfId="4" applyNumberFormat="1" applyFont="1" applyFill="1" applyBorder="1" applyAlignment="1">
      <alignment horizontal="right"/>
    </xf>
    <xf numFmtId="199" fontId="49" fillId="12" borderId="45" xfId="4" applyNumberFormat="1" applyFont="1" applyFill="1" applyBorder="1" applyAlignment="1">
      <alignment horizontal="right"/>
    </xf>
    <xf numFmtId="199" fontId="50" fillId="12" borderId="42" xfId="4" applyNumberFormat="1" applyFont="1" applyFill="1" applyBorder="1" applyAlignment="1">
      <alignment horizontal="right"/>
    </xf>
    <xf numFmtId="199" fontId="50" fillId="12" borderId="43" xfId="4" applyNumberFormat="1" applyFont="1" applyFill="1" applyBorder="1" applyAlignment="1">
      <alignment horizontal="right"/>
    </xf>
    <xf numFmtId="2" fontId="0" fillId="0" borderId="45" xfId="0" applyNumberFormat="1" applyBorder="1"/>
    <xf numFmtId="0" fontId="26" fillId="0" borderId="20" xfId="0" applyFont="1" applyBorder="1"/>
    <xf numFmtId="173" fontId="51" fillId="14" borderId="17" xfId="0" applyNumberFormat="1" applyFont="1" applyFill="1" applyBorder="1"/>
    <xf numFmtId="173" fontId="36" fillId="14" borderId="18" xfId="0" applyNumberFormat="1" applyFont="1" applyFill="1" applyBorder="1"/>
    <xf numFmtId="173" fontId="49" fillId="14" borderId="20" xfId="0" applyNumberFormat="1" applyFont="1" applyFill="1" applyBorder="1"/>
    <xf numFmtId="173" fontId="49" fillId="14" borderId="0" xfId="0" applyNumberFormat="1" applyFont="1" applyFill="1"/>
    <xf numFmtId="173" fontId="26" fillId="14" borderId="20" xfId="0" applyNumberFormat="1" applyFont="1" applyFill="1" applyBorder="1"/>
    <xf numFmtId="173" fontId="26" fillId="14" borderId="0" xfId="0" applyNumberFormat="1" applyFont="1" applyFill="1"/>
    <xf numFmtId="173" fontId="36" fillId="2" borderId="20" xfId="0" applyNumberFormat="1" applyFont="1" applyFill="1" applyBorder="1" applyAlignment="1">
      <alignment horizontal="left"/>
    </xf>
    <xf numFmtId="173" fontId="36" fillId="2" borderId="0" xfId="0" applyNumberFormat="1" applyFont="1" applyFill="1" applyAlignment="1">
      <alignment horizontal="left"/>
    </xf>
    <xf numFmtId="173" fontId="47" fillId="2" borderId="0" xfId="0" applyNumberFormat="1" applyFont="1" applyFill="1" applyAlignment="1">
      <alignment horizontal="left"/>
    </xf>
    <xf numFmtId="173" fontId="51" fillId="14" borderId="20" xfId="0" applyNumberFormat="1" applyFont="1" applyFill="1" applyBorder="1"/>
    <xf numFmtId="173" fontId="51" fillId="14" borderId="0" xfId="0" applyNumberFormat="1" applyFont="1" applyFill="1"/>
    <xf numFmtId="173" fontId="36" fillId="14" borderId="0" xfId="0" applyNumberFormat="1" applyFont="1" applyFill="1"/>
    <xf numFmtId="172" fontId="25" fillId="2" borderId="20" xfId="0" applyNumberFormat="1" applyFont="1" applyFill="1" applyBorder="1" applyAlignment="1">
      <alignment horizontal="left"/>
    </xf>
    <xf numFmtId="172" fontId="25" fillId="2" borderId="0" xfId="0" applyNumberFormat="1" applyFont="1" applyFill="1" applyAlignment="1">
      <alignment horizontal="left"/>
    </xf>
    <xf numFmtId="172" fontId="53" fillId="2" borderId="0" xfId="0" applyNumberFormat="1" applyFont="1" applyFill="1" applyAlignment="1">
      <alignment horizontal="left"/>
    </xf>
    <xf numFmtId="172" fontId="25" fillId="14" borderId="20" xfId="0" applyNumberFormat="1" applyFont="1" applyFill="1" applyBorder="1"/>
    <xf numFmtId="172" fontId="25" fillId="14" borderId="0" xfId="0" applyNumberFormat="1" applyFont="1" applyFill="1"/>
    <xf numFmtId="173" fontId="36" fillId="10" borderId="20" xfId="0" applyNumberFormat="1" applyFont="1" applyFill="1" applyBorder="1" applyAlignment="1">
      <alignment horizontal="left"/>
    </xf>
    <xf numFmtId="173" fontId="36" fillId="10" borderId="0" xfId="0" applyNumberFormat="1" applyFont="1" applyFill="1" applyAlignment="1">
      <alignment horizontal="left"/>
    </xf>
    <xf numFmtId="173" fontId="47" fillId="10" borderId="0" xfId="0" applyNumberFormat="1" applyFont="1" applyFill="1" applyAlignment="1">
      <alignment horizontal="left"/>
    </xf>
    <xf numFmtId="173" fontId="36" fillId="10" borderId="20" xfId="0" applyNumberFormat="1" applyFont="1" applyFill="1" applyBorder="1"/>
    <xf numFmtId="173" fontId="36" fillId="10" borderId="0" xfId="0" applyNumberFormat="1" applyFont="1" applyFill="1"/>
    <xf numFmtId="173" fontId="47" fillId="11" borderId="20" xfId="0" applyNumberFormat="1" applyFont="1" applyFill="1" applyBorder="1"/>
    <xf numFmtId="173" fontId="36" fillId="9" borderId="0" xfId="0" applyNumberFormat="1" applyFont="1" applyFill="1"/>
    <xf numFmtId="173" fontId="47" fillId="9" borderId="0" xfId="0" applyNumberFormat="1" applyFont="1" applyFill="1"/>
    <xf numFmtId="0" fontId="26" fillId="14" borderId="20" xfId="0" applyFont="1" applyFill="1" applyBorder="1"/>
    <xf numFmtId="173" fontId="47" fillId="14" borderId="20" xfId="0" applyNumberFormat="1" applyFont="1" applyFill="1" applyBorder="1"/>
    <xf numFmtId="173" fontId="47" fillId="14" borderId="0" xfId="0" applyNumberFormat="1" applyFont="1" applyFill="1"/>
    <xf numFmtId="0" fontId="44" fillId="0" borderId="20" xfId="0" applyFont="1" applyBorder="1"/>
    <xf numFmtId="0" fontId="26" fillId="10" borderId="20" xfId="0" applyFont="1" applyFill="1" applyBorder="1"/>
    <xf numFmtId="172" fontId="26" fillId="2" borderId="20" xfId="1" applyNumberFormat="1" applyFont="1" applyFill="1" applyBorder="1" applyAlignment="1">
      <alignment horizontal="left"/>
    </xf>
    <xf numFmtId="172" fontId="26" fillId="2" borderId="0" xfId="1" applyNumberFormat="1" applyFont="1" applyFill="1" applyAlignment="1">
      <alignment horizontal="left"/>
    </xf>
    <xf numFmtId="172" fontId="26" fillId="2" borderId="20" xfId="1" applyNumberFormat="1" applyFont="1" applyFill="1" applyBorder="1" applyAlignment="1">
      <alignment horizontal="left" indent="2"/>
    </xf>
    <xf numFmtId="172" fontId="45" fillId="2" borderId="20" xfId="1" applyNumberFormat="1" applyFont="1" applyFill="1" applyBorder="1" applyAlignment="1">
      <alignment horizontal="left"/>
    </xf>
    <xf numFmtId="172" fontId="45" fillId="2" borderId="0" xfId="1" applyNumberFormat="1" applyFont="1" applyFill="1" applyAlignment="1">
      <alignment horizontal="left"/>
    </xf>
    <xf numFmtId="165" fontId="26" fillId="2" borderId="20" xfId="1" applyNumberFormat="1" applyFont="1" applyFill="1" applyBorder="1" applyAlignment="1">
      <alignment horizontal="left"/>
    </xf>
    <xf numFmtId="165" fontId="26" fillId="2" borderId="0" xfId="1" applyNumberFormat="1" applyFont="1" applyFill="1" applyAlignment="1">
      <alignment horizontal="left"/>
    </xf>
    <xf numFmtId="177" fontId="26" fillId="2" borderId="20" xfId="1" applyNumberFormat="1" applyFont="1" applyFill="1" applyBorder="1" applyAlignment="1">
      <alignment horizontal="left"/>
    </xf>
    <xf numFmtId="177" fontId="26" fillId="2" borderId="0" xfId="1" applyNumberFormat="1" applyFont="1" applyFill="1" applyAlignment="1">
      <alignment horizontal="left"/>
    </xf>
    <xf numFmtId="169" fontId="26" fillId="9" borderId="20" xfId="1" applyNumberFormat="1" applyFont="1" applyFill="1" applyBorder="1" applyAlignment="1">
      <alignment horizontal="left"/>
    </xf>
    <xf numFmtId="169" fontId="26" fillId="9" borderId="0" xfId="1" applyNumberFormat="1" applyFont="1" applyFill="1" applyAlignment="1">
      <alignment horizontal="left"/>
    </xf>
    <xf numFmtId="169" fontId="45" fillId="11" borderId="20" xfId="1" applyNumberFormat="1" applyFont="1" applyFill="1" applyBorder="1" applyAlignment="1">
      <alignment horizontal="right"/>
    </xf>
    <xf numFmtId="169" fontId="45" fillId="9" borderId="0" xfId="1" applyNumberFormat="1" applyFont="1" applyFill="1" applyAlignment="1">
      <alignment horizontal="right"/>
    </xf>
    <xf numFmtId="169" fontId="49" fillId="11" borderId="0" xfId="1" applyNumberFormat="1" applyFont="1" applyFill="1" applyAlignment="1">
      <alignment horizontal="right"/>
    </xf>
    <xf numFmtId="172" fontId="45" fillId="14" borderId="20" xfId="1" applyNumberFormat="1" applyFont="1" applyFill="1" applyBorder="1" applyAlignment="1">
      <alignment horizontal="right"/>
    </xf>
    <xf numFmtId="172" fontId="45" fillId="14" borderId="0" xfId="1" applyNumberFormat="1" applyFont="1" applyFill="1" applyAlignment="1">
      <alignment horizontal="right"/>
    </xf>
    <xf numFmtId="165" fontId="36" fillId="7" borderId="22" xfId="1" applyNumberFormat="1" applyFont="1" applyFill="1" applyBorder="1" applyAlignment="1">
      <alignment horizontal="left"/>
    </xf>
    <xf numFmtId="165" fontId="36" fillId="7" borderId="23" xfId="1" applyNumberFormat="1" applyFont="1" applyFill="1" applyBorder="1" applyAlignment="1">
      <alignment horizontal="left"/>
    </xf>
    <xf numFmtId="0" fontId="36" fillId="6" borderId="23" xfId="0" applyFont="1" applyFill="1" applyBorder="1"/>
    <xf numFmtId="0" fontId="26" fillId="6" borderId="23" xfId="0" applyFont="1" applyFill="1" applyBorder="1"/>
    <xf numFmtId="165" fontId="49" fillId="7" borderId="22" xfId="1" applyNumberFormat="1" applyFont="1" applyFill="1" applyBorder="1"/>
    <xf numFmtId="165" fontId="49" fillId="7" borderId="23" xfId="1" applyNumberFormat="1" applyFont="1" applyFill="1" applyBorder="1"/>
    <xf numFmtId="165" fontId="49" fillId="8" borderId="22" xfId="1" applyNumberFormat="1" applyFont="1" applyFill="1" applyBorder="1"/>
    <xf numFmtId="165" fontId="49" fillId="8" borderId="23" xfId="1" applyNumberFormat="1" applyFont="1" applyFill="1" applyBorder="1"/>
    <xf numFmtId="165" fontId="45" fillId="7" borderId="23" xfId="1" applyNumberFormat="1" applyFont="1" applyFill="1" applyBorder="1"/>
    <xf numFmtId="0" fontId="6" fillId="16" borderId="39" xfId="0" applyFont="1" applyFill="1" applyBorder="1" applyAlignment="1">
      <alignment horizontal="center"/>
    </xf>
    <xf numFmtId="0" fontId="6" fillId="16" borderId="40" xfId="0" applyFont="1" applyFill="1" applyBorder="1" applyAlignment="1">
      <alignment horizontal="center"/>
    </xf>
    <xf numFmtId="39" fontId="0" fillId="0" borderId="45" xfId="0" applyNumberFormat="1" applyBorder="1"/>
    <xf numFmtId="39" fontId="0" fillId="0" borderId="0" xfId="0" applyNumberFormat="1"/>
    <xf numFmtId="200" fontId="0" fillId="0" borderId="0" xfId="0" applyNumberFormat="1"/>
    <xf numFmtId="0" fontId="0" fillId="0" borderId="46" xfId="0" applyBorder="1"/>
    <xf numFmtId="43" fontId="0" fillId="0" borderId="47" xfId="0" applyNumberFormat="1" applyBorder="1"/>
    <xf numFmtId="39" fontId="0" fillId="0" borderId="48" xfId="0" applyNumberFormat="1" applyBorder="1"/>
    <xf numFmtId="0" fontId="0" fillId="0" borderId="39" xfId="0" applyBorder="1" applyAlignment="1">
      <alignment horizontal="center"/>
    </xf>
    <xf numFmtId="0" fontId="0" fillId="0" borderId="40" xfId="0" applyBorder="1" applyAlignment="1">
      <alignment horizontal="center"/>
    </xf>
    <xf numFmtId="200" fontId="0" fillId="0" borderId="42" xfId="0" applyNumberFormat="1" applyBorder="1"/>
    <xf numFmtId="200" fontId="0" fillId="0" borderId="43" xfId="0" applyNumberFormat="1" applyBorder="1"/>
    <xf numFmtId="43" fontId="36" fillId="11" borderId="0" xfId="0" applyNumberFormat="1" applyFont="1" applyFill="1"/>
    <xf numFmtId="0" fontId="26" fillId="0" borderId="29" xfId="0" applyFont="1" applyBorder="1"/>
    <xf numFmtId="0" fontId="26" fillId="0" borderId="26" xfId="0" applyFont="1" applyBorder="1"/>
    <xf numFmtId="0" fontId="26" fillId="0" borderId="27" xfId="0" applyFont="1" applyBorder="1"/>
    <xf numFmtId="0" fontId="26" fillId="21" borderId="0" xfId="0" applyFont="1" applyFill="1"/>
    <xf numFmtId="0" fontId="36" fillId="21" borderId="20" xfId="0" applyFont="1" applyFill="1" applyBorder="1"/>
    <xf numFmtId="0" fontId="36" fillId="21" borderId="0" xfId="0" applyFont="1" applyFill="1"/>
    <xf numFmtId="0" fontId="26" fillId="21" borderId="29" xfId="0" applyFont="1" applyFill="1" applyBorder="1"/>
    <xf numFmtId="0" fontId="25" fillId="10" borderId="17" xfId="0" applyFont="1" applyFill="1" applyBorder="1"/>
    <xf numFmtId="0" fontId="25" fillId="10" borderId="18" xfId="0" applyFont="1" applyFill="1" applyBorder="1"/>
    <xf numFmtId="193" fontId="25" fillId="10" borderId="18" xfId="0" applyNumberFormat="1" applyFont="1" applyFill="1" applyBorder="1"/>
    <xf numFmtId="193" fontId="25" fillId="10" borderId="0" xfId="0" applyNumberFormat="1" applyFont="1" applyFill="1"/>
    <xf numFmtId="0" fontId="26" fillId="10" borderId="27" xfId="0" applyFont="1" applyFill="1" applyBorder="1"/>
    <xf numFmtId="0" fontId="25" fillId="10" borderId="20" xfId="0" applyFont="1" applyFill="1" applyBorder="1"/>
    <xf numFmtId="0" fontId="44" fillId="10" borderId="0" xfId="0" applyFont="1" applyFill="1"/>
    <xf numFmtId="0" fontId="44" fillId="10" borderId="29" xfId="0" applyFont="1" applyFill="1" applyBorder="1"/>
    <xf numFmtId="173" fontId="36" fillId="11" borderId="17" xfId="0" applyNumberFormat="1" applyFont="1" applyFill="1" applyBorder="1"/>
    <xf numFmtId="173" fontId="36" fillId="9" borderId="18" xfId="0" applyNumberFormat="1" applyFont="1" applyFill="1" applyBorder="1"/>
    <xf numFmtId="173" fontId="36" fillId="11" borderId="18" xfId="0" applyNumberFormat="1" applyFont="1" applyFill="1" applyBorder="1"/>
    <xf numFmtId="173" fontId="47" fillId="9" borderId="18" xfId="0" applyNumberFormat="1" applyFont="1" applyFill="1" applyBorder="1"/>
    <xf numFmtId="173" fontId="47" fillId="11" borderId="18" xfId="0" applyNumberFormat="1" applyFont="1" applyFill="1" applyBorder="1"/>
    <xf numFmtId="173" fontId="36" fillId="10" borderId="29" xfId="0" applyNumberFormat="1" applyFont="1" applyFill="1" applyBorder="1"/>
    <xf numFmtId="173" fontId="49" fillId="11" borderId="20" xfId="0" applyNumberFormat="1" applyFont="1" applyFill="1" applyBorder="1"/>
    <xf numFmtId="173" fontId="49" fillId="9" borderId="0" xfId="0" applyNumberFormat="1" applyFont="1" applyFill="1"/>
    <xf numFmtId="173" fontId="49" fillId="11" borderId="0" xfId="0" applyNumberFormat="1" applyFont="1" applyFill="1"/>
    <xf numFmtId="173" fontId="26" fillId="11" borderId="0" xfId="0" applyNumberFormat="1" applyFont="1" applyFill="1"/>
    <xf numFmtId="173" fontId="52" fillId="10" borderId="0" xfId="0" applyNumberFormat="1" applyFont="1" applyFill="1"/>
    <xf numFmtId="173" fontId="52" fillId="10" borderId="29" xfId="0" applyNumberFormat="1" applyFont="1" applyFill="1" applyBorder="1"/>
    <xf numFmtId="173" fontId="26" fillId="11" borderId="20" xfId="0" applyNumberFormat="1" applyFont="1" applyFill="1" applyBorder="1"/>
    <xf numFmtId="173" fontId="26" fillId="9" borderId="0" xfId="0" applyNumberFormat="1" applyFont="1" applyFill="1"/>
    <xf numFmtId="173" fontId="26" fillId="10" borderId="29" xfId="0" applyNumberFormat="1" applyFont="1" applyFill="1" applyBorder="1"/>
    <xf numFmtId="173" fontId="51" fillId="11" borderId="20" xfId="0" applyNumberFormat="1" applyFont="1" applyFill="1" applyBorder="1"/>
    <xf numFmtId="173" fontId="51" fillId="9" borderId="0" xfId="0" applyNumberFormat="1" applyFont="1" applyFill="1"/>
    <xf numFmtId="173" fontId="51" fillId="11" borderId="0" xfId="0" applyNumberFormat="1" applyFont="1" applyFill="1"/>
    <xf numFmtId="172" fontId="53" fillId="11" borderId="20" xfId="0" applyNumberFormat="1" applyFont="1" applyFill="1" applyBorder="1"/>
    <xf numFmtId="172" fontId="25" fillId="9" borderId="0" xfId="0" applyNumberFormat="1" applyFont="1" applyFill="1"/>
    <xf numFmtId="172" fontId="53" fillId="11" borderId="0" xfId="0" applyNumberFormat="1" applyFont="1" applyFill="1"/>
    <xf numFmtId="172" fontId="53" fillId="9" borderId="0" xfId="0" applyNumberFormat="1" applyFont="1" applyFill="1"/>
    <xf numFmtId="10" fontId="26" fillId="10" borderId="29" xfId="0" applyNumberFormat="1" applyFont="1" applyFill="1" applyBorder="1"/>
    <xf numFmtId="0" fontId="26" fillId="10" borderId="29" xfId="0" applyFont="1" applyFill="1" applyBorder="1"/>
    <xf numFmtId="173" fontId="26" fillId="10" borderId="0" xfId="3" applyNumberFormat="1" applyFont="1" applyFill="1" applyBorder="1"/>
    <xf numFmtId="173" fontId="26" fillId="10" borderId="29" xfId="3" applyNumberFormat="1" applyFont="1" applyFill="1" applyBorder="1"/>
    <xf numFmtId="173" fontId="36" fillId="9" borderId="20" xfId="0" applyNumberFormat="1" applyFont="1" applyFill="1" applyBorder="1"/>
    <xf numFmtId="203" fontId="26" fillId="10" borderId="0" xfId="0" applyNumberFormat="1" applyFont="1" applyFill="1"/>
    <xf numFmtId="203" fontId="26" fillId="10" borderId="29" xfId="0" applyNumberFormat="1" applyFont="1" applyFill="1" applyBorder="1"/>
    <xf numFmtId="173" fontId="36" fillId="11" borderId="0" xfId="0" applyNumberFormat="1" applyFont="1" applyFill="1"/>
    <xf numFmtId="43" fontId="26" fillId="10" borderId="0" xfId="0" applyNumberFormat="1" applyFont="1" applyFill="1"/>
    <xf numFmtId="43" fontId="26" fillId="10" borderId="29" xfId="0" applyNumberFormat="1" applyFont="1" applyFill="1" applyBorder="1"/>
    <xf numFmtId="165" fontId="51" fillId="11" borderId="0" xfId="0" applyNumberFormat="1" applyFont="1" applyFill="1"/>
    <xf numFmtId="165" fontId="51" fillId="11" borderId="29" xfId="0" applyNumberFormat="1" applyFont="1" applyFill="1" applyBorder="1"/>
    <xf numFmtId="173" fontId="51" fillId="11" borderId="29" xfId="0" applyNumberFormat="1" applyFont="1" applyFill="1" applyBorder="1"/>
    <xf numFmtId="165" fontId="36" fillId="11" borderId="0" xfId="0" applyNumberFormat="1" applyFont="1" applyFill="1"/>
    <xf numFmtId="2" fontId="26" fillId="10" borderId="29" xfId="0" applyNumberFormat="1" applyFont="1" applyFill="1" applyBorder="1"/>
    <xf numFmtId="172" fontId="45" fillId="11" borderId="20" xfId="1" applyNumberFormat="1" applyFont="1" applyFill="1" applyBorder="1" applyAlignment="1">
      <alignment horizontal="right"/>
    </xf>
    <xf numFmtId="172" fontId="45" fillId="9" borderId="0" xfId="1" applyNumberFormat="1" applyFont="1" applyFill="1" applyAlignment="1">
      <alignment horizontal="right"/>
    </xf>
    <xf numFmtId="172" fontId="49" fillId="11" borderId="0" xfId="1" applyNumberFormat="1" applyFont="1" applyFill="1" applyAlignment="1">
      <alignment horizontal="right"/>
    </xf>
    <xf numFmtId="172" fontId="49" fillId="9" borderId="0" xfId="1" applyNumberFormat="1" applyFont="1" applyFill="1" applyAlignment="1">
      <alignment horizontal="right"/>
    </xf>
    <xf numFmtId="9" fontId="26" fillId="10" borderId="0" xfId="0" applyNumberFormat="1" applyFont="1" applyFill="1"/>
    <xf numFmtId="9" fontId="26" fillId="10" borderId="29" xfId="0" applyNumberFormat="1" applyFont="1" applyFill="1" applyBorder="1"/>
    <xf numFmtId="203" fontId="26" fillId="10" borderId="0" xfId="2" applyNumberFormat="1" applyFont="1" applyFill="1" applyBorder="1"/>
    <xf numFmtId="203" fontId="26" fillId="10" borderId="29" xfId="2" applyNumberFormat="1" applyFont="1" applyFill="1" applyBorder="1"/>
    <xf numFmtId="199" fontId="36" fillId="11" borderId="0" xfId="4" applyNumberFormat="1" applyFont="1" applyFill="1"/>
    <xf numFmtId="199" fontId="36" fillId="11" borderId="0" xfId="4" applyNumberFormat="1" applyFont="1" applyFill="1" applyBorder="1"/>
    <xf numFmtId="9" fontId="26" fillId="10" borderId="0" xfId="4" applyFont="1" applyFill="1" applyBorder="1"/>
    <xf numFmtId="9" fontId="26" fillId="10" borderId="29" xfId="4" applyFont="1" applyFill="1" applyBorder="1"/>
    <xf numFmtId="43" fontId="36" fillId="11" borderId="29" xfId="0" applyNumberFormat="1" applyFont="1" applyFill="1" applyBorder="1"/>
    <xf numFmtId="172" fontId="45" fillId="11" borderId="0" xfId="1" applyNumberFormat="1" applyFont="1" applyFill="1" applyAlignment="1">
      <alignment horizontal="right"/>
    </xf>
    <xf numFmtId="165" fontId="49" fillId="11" borderId="20" xfId="1" applyNumberFormat="1" applyFont="1" applyFill="1" applyBorder="1" applyAlignment="1">
      <alignment horizontal="right"/>
    </xf>
    <xf numFmtId="165" fontId="45" fillId="9" borderId="0" xfId="1" applyNumberFormat="1" applyFont="1" applyFill="1" applyAlignment="1">
      <alignment horizontal="right"/>
    </xf>
    <xf numFmtId="165" fontId="49" fillId="11" borderId="0" xfId="1" applyNumberFormat="1" applyFont="1" applyFill="1" applyAlignment="1">
      <alignment horizontal="right"/>
    </xf>
    <xf numFmtId="177" fontId="49" fillId="11" borderId="20" xfId="1" applyNumberFormat="1" applyFont="1" applyFill="1" applyBorder="1" applyAlignment="1">
      <alignment horizontal="right"/>
    </xf>
    <xf numFmtId="177" fontId="45" fillId="9" borderId="0" xfId="1" applyNumberFormat="1" applyFont="1" applyFill="1" applyAlignment="1">
      <alignment horizontal="right"/>
    </xf>
    <xf numFmtId="177" fontId="49" fillId="11" borderId="0" xfId="1" applyNumberFormat="1" applyFont="1" applyFill="1" applyAlignment="1">
      <alignment horizontal="right"/>
    </xf>
    <xf numFmtId="44" fontId="26" fillId="10" borderId="0" xfId="0" applyNumberFormat="1" applyFont="1" applyFill="1"/>
    <xf numFmtId="44" fontId="26" fillId="10" borderId="29" xfId="0" applyNumberFormat="1" applyFont="1" applyFill="1" applyBorder="1"/>
    <xf numFmtId="172" fontId="49" fillId="11" borderId="20" xfId="1" applyNumberFormat="1" applyFont="1" applyFill="1" applyBorder="1" applyAlignment="1">
      <alignment horizontal="right"/>
    </xf>
    <xf numFmtId="165" fontId="36" fillId="11" borderId="20" xfId="0" applyNumberFormat="1" applyFont="1" applyFill="1" applyBorder="1"/>
    <xf numFmtId="165" fontId="36" fillId="11" borderId="29" xfId="0" applyNumberFormat="1" applyFont="1" applyFill="1" applyBorder="1"/>
    <xf numFmtId="165" fontId="49" fillId="22" borderId="31" xfId="1" applyNumberFormat="1" applyFont="1" applyFill="1" applyBorder="1"/>
    <xf numFmtId="0" fontId="26" fillId="23" borderId="31" xfId="0" applyFont="1" applyFill="1" applyBorder="1"/>
    <xf numFmtId="0" fontId="26" fillId="23" borderId="32" xfId="0" applyFont="1" applyFill="1" applyBorder="1"/>
    <xf numFmtId="193" fontId="19" fillId="10" borderId="26" xfId="0" applyNumberFormat="1" applyFont="1" applyFill="1" applyBorder="1"/>
    <xf numFmtId="0" fontId="0" fillId="10" borderId="26" xfId="0" applyFill="1" applyBorder="1"/>
    <xf numFmtId="0" fontId="0" fillId="10" borderId="27" xfId="0" applyFill="1" applyBorder="1"/>
    <xf numFmtId="0" fontId="1" fillId="21" borderId="28" xfId="0" applyFont="1" applyFill="1" applyBorder="1"/>
    <xf numFmtId="0" fontId="1" fillId="21" borderId="0" xfId="0" applyFont="1" applyFill="1"/>
    <xf numFmtId="0" fontId="0" fillId="21" borderId="0" xfId="0" applyFill="1"/>
    <xf numFmtId="0" fontId="0" fillId="21" borderId="29" xfId="0" applyFill="1" applyBorder="1"/>
    <xf numFmtId="173" fontId="8" fillId="11" borderId="26" xfId="1" applyNumberFormat="1" applyFont="1" applyFill="1" applyBorder="1"/>
    <xf numFmtId="173" fontId="8" fillId="9" borderId="26" xfId="1" applyNumberFormat="1" applyFont="1" applyFill="1" applyBorder="1"/>
    <xf numFmtId="173" fontId="0" fillId="10" borderId="29" xfId="0" applyNumberFormat="1" applyFill="1" applyBorder="1"/>
    <xf numFmtId="0" fontId="0" fillId="10" borderId="29" xfId="0" applyFill="1" applyBorder="1"/>
    <xf numFmtId="202" fontId="0" fillId="10" borderId="0" xfId="0" applyNumberFormat="1" applyFill="1"/>
    <xf numFmtId="202" fontId="0" fillId="10" borderId="29" xfId="0" applyNumberFormat="1" applyFill="1" applyBorder="1"/>
    <xf numFmtId="165" fontId="0" fillId="10" borderId="0" xfId="0" applyNumberFormat="1" applyFill="1"/>
    <xf numFmtId="165" fontId="0" fillId="10" borderId="29" xfId="0" applyNumberFormat="1" applyFill="1" applyBorder="1"/>
    <xf numFmtId="165" fontId="6" fillId="11" borderId="0" xfId="0" applyNumberFormat="1" applyFont="1" applyFill="1"/>
    <xf numFmtId="165" fontId="6" fillId="11" borderId="29" xfId="0" applyNumberFormat="1" applyFont="1" applyFill="1" applyBorder="1"/>
    <xf numFmtId="173" fontId="8" fillId="9" borderId="25" xfId="1" applyNumberFormat="1" applyFont="1" applyFill="1" applyBorder="1"/>
    <xf numFmtId="173" fontId="47" fillId="11" borderId="26" xfId="0" applyNumberFormat="1" applyFont="1" applyFill="1" applyBorder="1"/>
    <xf numFmtId="173" fontId="36" fillId="10" borderId="26" xfId="0" applyNumberFormat="1" applyFont="1" applyFill="1" applyBorder="1"/>
    <xf numFmtId="173" fontId="36" fillId="10" borderId="27" xfId="0" applyNumberFormat="1" applyFont="1" applyFill="1" applyBorder="1"/>
    <xf numFmtId="173" fontId="0" fillId="10" borderId="26" xfId="0" applyNumberFormat="1" applyFill="1" applyBorder="1"/>
    <xf numFmtId="173" fontId="0" fillId="10" borderId="27" xfId="0" applyNumberFormat="1" applyFill="1" applyBorder="1"/>
    <xf numFmtId="165" fontId="0" fillId="23" borderId="31" xfId="0" applyNumberFormat="1" applyFill="1" applyBorder="1"/>
    <xf numFmtId="165" fontId="0" fillId="23" borderId="32" xfId="0" applyNumberFormat="1" applyFill="1" applyBorder="1"/>
    <xf numFmtId="0" fontId="19" fillId="6" borderId="25" xfId="0" applyFont="1" applyFill="1" applyBorder="1"/>
    <xf numFmtId="0" fontId="19" fillId="6" borderId="26" xfId="0" applyFont="1" applyFill="1" applyBorder="1"/>
    <xf numFmtId="193" fontId="19" fillId="6" borderId="26" xfId="0" applyNumberFormat="1" applyFont="1" applyFill="1" applyBorder="1"/>
    <xf numFmtId="0" fontId="19" fillId="6" borderId="28" xfId="0" applyFont="1" applyFill="1" applyBorder="1"/>
    <xf numFmtId="0" fontId="18" fillId="6" borderId="29" xfId="0" applyFont="1" applyFill="1" applyBorder="1"/>
    <xf numFmtId="0" fontId="0" fillId="15" borderId="28" xfId="0" applyFill="1" applyBorder="1"/>
    <xf numFmtId="0" fontId="0" fillId="15" borderId="29" xfId="0" applyFill="1" applyBorder="1"/>
    <xf numFmtId="0" fontId="0" fillId="10" borderId="28" xfId="0" applyFill="1" applyBorder="1"/>
    <xf numFmtId="165" fontId="4" fillId="9" borderId="0" xfId="1" applyNumberFormat="1" applyFont="1" applyFill="1"/>
    <xf numFmtId="165" fontId="9" fillId="11" borderId="0" xfId="1" applyNumberFormat="1" applyFont="1" applyFill="1"/>
    <xf numFmtId="165" fontId="9" fillId="9" borderId="0" xfId="1" applyNumberFormat="1" applyFont="1" applyFill="1"/>
    <xf numFmtId="173" fontId="5" fillId="11" borderId="0" xfId="1" applyNumberFormat="1" applyFont="1" applyFill="1"/>
    <xf numFmtId="0" fontId="1" fillId="6" borderId="68" xfId="0" applyFont="1" applyFill="1" applyBorder="1"/>
    <xf numFmtId="173" fontId="1" fillId="6" borderId="69" xfId="0" applyNumberFormat="1" applyFont="1" applyFill="1" applyBorder="1"/>
    <xf numFmtId="0" fontId="20" fillId="0" borderId="26" xfId="0" applyFont="1" applyBorder="1"/>
    <xf numFmtId="0" fontId="20" fillId="0" borderId="27" xfId="0" applyFont="1" applyBorder="1"/>
    <xf numFmtId="0" fontId="20" fillId="0" borderId="29" xfId="0" applyFont="1" applyBorder="1"/>
    <xf numFmtId="173" fontId="2" fillId="24" borderId="0" xfId="1" applyNumberFormat="1" applyFill="1"/>
    <xf numFmtId="173" fontId="22" fillId="24" borderId="4" xfId="1" applyNumberFormat="1" applyFont="1" applyFill="1" applyBorder="1"/>
    <xf numFmtId="173" fontId="22" fillId="24" borderId="0" xfId="1" applyNumberFormat="1" applyFont="1" applyFill="1"/>
    <xf numFmtId="173" fontId="2" fillId="24" borderId="2" xfId="1" applyNumberFormat="1" applyFill="1" applyBorder="1"/>
    <xf numFmtId="173" fontId="22" fillId="24" borderId="2" xfId="1" applyNumberFormat="1" applyFont="1" applyFill="1" applyBorder="1"/>
    <xf numFmtId="172" fontId="2" fillId="24" borderId="0" xfId="1" applyNumberFormat="1" applyFill="1" applyAlignment="1">
      <alignment horizontal="right"/>
    </xf>
    <xf numFmtId="172" fontId="2" fillId="24" borderId="0" xfId="1" applyNumberFormat="1" applyFill="1"/>
    <xf numFmtId="0" fontId="20" fillId="23" borderId="0" xfId="0" applyFont="1" applyFill="1"/>
    <xf numFmtId="165" fontId="22" fillId="24" borderId="23" xfId="1" applyNumberFormat="1" applyFont="1" applyFill="1" applyBorder="1"/>
    <xf numFmtId="0" fontId="1" fillId="15" borderId="28" xfId="0" applyFont="1" applyFill="1" applyBorder="1"/>
    <xf numFmtId="173" fontId="8" fillId="18" borderId="28" xfId="1" applyNumberFormat="1" applyFont="1" applyFill="1" applyBorder="1" applyAlignment="1">
      <alignment horizontal="left"/>
    </xf>
    <xf numFmtId="173" fontId="8" fillId="18" borderId="0" xfId="1" applyNumberFormat="1" applyFont="1" applyFill="1" applyAlignment="1">
      <alignment horizontal="left"/>
    </xf>
    <xf numFmtId="173" fontId="4" fillId="18" borderId="28" xfId="1" applyNumberFormat="1" applyFont="1" applyFill="1" applyBorder="1" applyAlignment="1">
      <alignment horizontal="left"/>
    </xf>
    <xf numFmtId="173" fontId="4" fillId="18" borderId="0" xfId="1" applyNumberFormat="1" applyFont="1" applyFill="1" applyAlignment="1">
      <alignment horizontal="left"/>
    </xf>
    <xf numFmtId="173" fontId="6" fillId="18" borderId="28" xfId="1" applyNumberFormat="1" applyFont="1" applyFill="1" applyBorder="1" applyAlignment="1">
      <alignment horizontal="left"/>
    </xf>
    <xf numFmtId="173" fontId="5" fillId="18" borderId="28" xfId="1" applyNumberFormat="1" applyFont="1" applyFill="1" applyBorder="1" applyAlignment="1">
      <alignment horizontal="left"/>
    </xf>
    <xf numFmtId="0" fontId="1" fillId="21" borderId="30" xfId="0" applyFont="1" applyFill="1" applyBorder="1"/>
    <xf numFmtId="0" fontId="1" fillId="21" borderId="31" xfId="0" applyFont="1" applyFill="1" applyBorder="1"/>
    <xf numFmtId="173" fontId="1" fillId="21" borderId="31" xfId="0" applyNumberFormat="1" applyFont="1" applyFill="1" applyBorder="1"/>
    <xf numFmtId="173" fontId="1" fillId="21" borderId="32" xfId="0" applyNumberFormat="1" applyFont="1" applyFill="1" applyBorder="1"/>
    <xf numFmtId="0" fontId="1" fillId="15" borderId="25" xfId="0" applyFont="1" applyFill="1" applyBorder="1"/>
    <xf numFmtId="0" fontId="1" fillId="15" borderId="26" xfId="0" applyFont="1" applyFill="1" applyBorder="1"/>
    <xf numFmtId="0" fontId="0" fillId="15" borderId="26" xfId="0" applyFill="1" applyBorder="1"/>
    <xf numFmtId="0" fontId="0" fillId="10" borderId="25" xfId="0" applyFill="1" applyBorder="1"/>
    <xf numFmtId="172" fontId="12" fillId="9" borderId="28" xfId="1" applyNumberFormat="1" applyFont="1" applyFill="1" applyBorder="1"/>
    <xf numFmtId="173" fontId="7" fillId="9" borderId="28" xfId="1" applyNumberFormat="1" applyFont="1" applyFill="1" applyBorder="1"/>
    <xf numFmtId="173" fontId="6" fillId="11" borderId="28" xfId="1" applyNumberFormat="1" applyFont="1" applyFill="1" applyBorder="1"/>
    <xf numFmtId="173" fontId="5" fillId="11" borderId="28" xfId="1" applyNumberFormat="1" applyFont="1" applyFill="1" applyBorder="1"/>
    <xf numFmtId="173" fontId="8" fillId="11" borderId="28" xfId="1" applyNumberFormat="1" applyFont="1" applyFill="1" applyBorder="1"/>
    <xf numFmtId="173" fontId="4" fillId="11" borderId="28" xfId="1" applyNumberFormat="1" applyFont="1" applyFill="1" applyBorder="1"/>
    <xf numFmtId="173" fontId="7" fillId="11" borderId="28" xfId="1" applyNumberFormat="1" applyFont="1" applyFill="1" applyBorder="1"/>
    <xf numFmtId="0" fontId="20" fillId="21" borderId="0" xfId="0" applyFont="1" applyFill="1"/>
    <xf numFmtId="0" fontId="20" fillId="21" borderId="29" xfId="0" applyFont="1" applyFill="1" applyBorder="1"/>
    <xf numFmtId="173" fontId="20" fillId="18" borderId="20" xfId="1" applyNumberFormat="1" applyFont="1" applyFill="1" applyBorder="1" applyAlignment="1">
      <alignment horizontal="left"/>
    </xf>
    <xf numFmtId="173" fontId="20" fillId="18" borderId="34" xfId="1" applyNumberFormat="1" applyFont="1" applyFill="1" applyBorder="1" applyAlignment="1">
      <alignment horizontal="left"/>
    </xf>
    <xf numFmtId="173" fontId="22" fillId="18" borderId="36" xfId="1" applyNumberFormat="1" applyFont="1" applyFill="1" applyBorder="1" applyAlignment="1">
      <alignment horizontal="left"/>
    </xf>
    <xf numFmtId="173" fontId="2" fillId="18" borderId="20" xfId="1" applyNumberFormat="1" applyFill="1" applyBorder="1" applyAlignment="1">
      <alignment horizontal="left"/>
    </xf>
    <xf numFmtId="172" fontId="2" fillId="18" borderId="20" xfId="1" applyNumberFormat="1" applyFill="1" applyBorder="1" applyAlignment="1">
      <alignment horizontal="left"/>
    </xf>
    <xf numFmtId="172" fontId="20" fillId="18" borderId="20" xfId="1" applyNumberFormat="1" applyFont="1" applyFill="1" applyBorder="1" applyAlignment="1">
      <alignment horizontal="left"/>
    </xf>
    <xf numFmtId="165" fontId="1" fillId="18" borderId="20" xfId="1" applyNumberFormat="1" applyFont="1" applyFill="1" applyBorder="1" applyAlignment="1">
      <alignment horizontal="left"/>
    </xf>
    <xf numFmtId="173" fontId="21" fillId="11" borderId="0" xfId="1" applyNumberFormat="1" applyFont="1" applyFill="1"/>
    <xf numFmtId="0" fontId="20" fillId="10" borderId="0" xfId="0" applyFont="1" applyFill="1"/>
    <xf numFmtId="0" fontId="20" fillId="10" borderId="29" xfId="0" applyFont="1" applyFill="1" applyBorder="1"/>
    <xf numFmtId="173" fontId="2" fillId="11" borderId="0" xfId="1" applyNumberFormat="1" applyFill="1"/>
    <xf numFmtId="173" fontId="22" fillId="11" borderId="4" xfId="1" applyNumberFormat="1" applyFont="1" applyFill="1" applyBorder="1"/>
    <xf numFmtId="173" fontId="22" fillId="9" borderId="4" xfId="1" applyNumberFormat="1" applyFont="1" applyFill="1" applyBorder="1"/>
    <xf numFmtId="173" fontId="22" fillId="11" borderId="0" xfId="1" applyNumberFormat="1" applyFont="1" applyFill="1"/>
    <xf numFmtId="173" fontId="23" fillId="11" borderId="0" xfId="1" applyNumberFormat="1" applyFont="1" applyFill="1"/>
    <xf numFmtId="173" fontId="2" fillId="11" borderId="2" xfId="1" applyNumberFormat="1" applyFill="1" applyBorder="1"/>
    <xf numFmtId="173" fontId="2" fillId="9" borderId="2" xfId="1" applyNumberFormat="1" applyFill="1" applyBorder="1"/>
    <xf numFmtId="173" fontId="21" fillId="11" borderId="2" xfId="1" applyNumberFormat="1" applyFont="1" applyFill="1" applyBorder="1"/>
    <xf numFmtId="173" fontId="22" fillId="11" borderId="2" xfId="1" applyNumberFormat="1" applyFont="1" applyFill="1" applyBorder="1"/>
    <xf numFmtId="173" fontId="22" fillId="9" borderId="2" xfId="1" applyNumberFormat="1" applyFont="1" applyFill="1" applyBorder="1"/>
    <xf numFmtId="173" fontId="22" fillId="9" borderId="0" xfId="1" applyNumberFormat="1" applyFont="1" applyFill="1"/>
    <xf numFmtId="173" fontId="23" fillId="9" borderId="4" xfId="1" applyNumberFormat="1" applyFont="1" applyFill="1" applyBorder="1"/>
    <xf numFmtId="173" fontId="1" fillId="10" borderId="0" xfId="0" applyNumberFormat="1" applyFont="1" applyFill="1"/>
    <xf numFmtId="173" fontId="1" fillId="10" borderId="29" xfId="0" applyNumberFormat="1" applyFont="1" applyFill="1" applyBorder="1"/>
    <xf numFmtId="173" fontId="20" fillId="10" borderId="0" xfId="0" applyNumberFormat="1" applyFont="1" applyFill="1"/>
    <xf numFmtId="172" fontId="2" fillId="11" borderId="0" xfId="1" applyNumberFormat="1" applyFill="1" applyAlignment="1">
      <alignment horizontal="right"/>
    </xf>
    <xf numFmtId="9" fontId="20" fillId="10" borderId="0" xfId="0" applyNumberFormat="1" applyFont="1" applyFill="1"/>
    <xf numFmtId="9" fontId="0" fillId="10" borderId="0" xfId="0" applyNumberFormat="1" applyFill="1"/>
    <xf numFmtId="9" fontId="0" fillId="10" borderId="29" xfId="0" applyNumberFormat="1" applyFill="1" applyBorder="1"/>
    <xf numFmtId="172" fontId="20" fillId="9" borderId="0" xfId="1" applyNumberFormat="1" applyFont="1" applyFill="1"/>
    <xf numFmtId="10" fontId="20" fillId="10" borderId="0" xfId="0" applyNumberFormat="1" applyFont="1" applyFill="1"/>
    <xf numFmtId="10" fontId="0" fillId="10" borderId="29" xfId="0" applyNumberFormat="1" applyFill="1" applyBorder="1"/>
    <xf numFmtId="2" fontId="2" fillId="11" borderId="0" xfId="1" applyNumberFormat="1" applyFill="1" applyAlignment="1">
      <alignment horizontal="right"/>
    </xf>
    <xf numFmtId="173" fontId="20" fillId="10" borderId="31" xfId="0" applyNumberFormat="1" applyFont="1" applyFill="1" applyBorder="1"/>
    <xf numFmtId="173" fontId="0" fillId="10" borderId="31" xfId="0" applyNumberFormat="1" applyFill="1" applyBorder="1"/>
    <xf numFmtId="173" fontId="20" fillId="10" borderId="32" xfId="0" applyNumberFormat="1" applyFont="1" applyFill="1" applyBorder="1"/>
    <xf numFmtId="173" fontId="2" fillId="11" borderId="25" xfId="1" applyNumberFormat="1" applyFill="1" applyBorder="1"/>
    <xf numFmtId="173" fontId="2" fillId="9" borderId="26" xfId="1" applyNumberFormat="1" applyFill="1" applyBorder="1"/>
    <xf numFmtId="173" fontId="21" fillId="11" borderId="26" xfId="1" applyNumberFormat="1" applyFont="1" applyFill="1" applyBorder="1"/>
    <xf numFmtId="0" fontId="20" fillId="10" borderId="26" xfId="0" applyFont="1" applyFill="1" applyBorder="1"/>
    <xf numFmtId="0" fontId="20" fillId="10" borderId="27" xfId="0" applyFont="1" applyFill="1" applyBorder="1"/>
    <xf numFmtId="173" fontId="2" fillId="11" borderId="28" xfId="1" applyNumberFormat="1" applyFill="1" applyBorder="1"/>
    <xf numFmtId="173" fontId="2" fillId="9" borderId="0" xfId="1" applyNumberFormat="1" applyFill="1"/>
    <xf numFmtId="173" fontId="22" fillId="11" borderId="70" xfId="1" applyNumberFormat="1" applyFont="1" applyFill="1" applyBorder="1"/>
    <xf numFmtId="173" fontId="22" fillId="11" borderId="28" xfId="1" applyNumberFormat="1" applyFont="1" applyFill="1" applyBorder="1"/>
    <xf numFmtId="173" fontId="2" fillId="11" borderId="71" xfId="1" applyNumberFormat="1" applyFill="1" applyBorder="1"/>
    <xf numFmtId="173" fontId="20" fillId="11" borderId="0" xfId="1" applyNumberFormat="1" applyFont="1" applyFill="1"/>
    <xf numFmtId="173" fontId="22" fillId="11" borderId="71" xfId="1" applyNumberFormat="1" applyFont="1" applyFill="1" applyBorder="1"/>
    <xf numFmtId="173" fontId="23" fillId="11" borderId="70" xfId="1" applyNumberFormat="1" applyFont="1" applyFill="1" applyBorder="1"/>
    <xf numFmtId="173" fontId="21" fillId="11" borderId="28" xfId="1" applyNumberFormat="1" applyFont="1" applyFill="1" applyBorder="1"/>
    <xf numFmtId="172" fontId="2" fillId="11" borderId="28" xfId="1" applyNumberFormat="1" applyFill="1" applyBorder="1" applyAlignment="1">
      <alignment horizontal="right"/>
    </xf>
    <xf numFmtId="172" fontId="21" fillId="9" borderId="0" xfId="1" applyNumberFormat="1" applyFont="1" applyFill="1" applyAlignment="1">
      <alignment horizontal="right"/>
    </xf>
    <xf numFmtId="172" fontId="2" fillId="11" borderId="28" xfId="1" applyNumberFormat="1" applyFill="1" applyBorder="1"/>
    <xf numFmtId="2" fontId="2" fillId="11" borderId="28" xfId="1" applyNumberFormat="1" applyFill="1" applyBorder="1" applyAlignment="1">
      <alignment horizontal="right"/>
    </xf>
    <xf numFmtId="2" fontId="2" fillId="9" borderId="0" xfId="1" applyNumberFormat="1" applyFill="1" applyAlignment="1">
      <alignment horizontal="right"/>
    </xf>
    <xf numFmtId="0" fontId="20" fillId="10" borderId="28" xfId="0" applyFont="1" applyFill="1" applyBorder="1"/>
    <xf numFmtId="2" fontId="20" fillId="10" borderId="0" xfId="0" applyNumberFormat="1" applyFont="1" applyFill="1"/>
    <xf numFmtId="165" fontId="22" fillId="11" borderId="72" xfId="1" applyNumberFormat="1" applyFont="1" applyFill="1" applyBorder="1"/>
    <xf numFmtId="0" fontId="26" fillId="0" borderId="25" xfId="0" applyFont="1" applyBorder="1"/>
    <xf numFmtId="0" fontId="26" fillId="0" borderId="68" xfId="0" applyFont="1" applyBorder="1"/>
    <xf numFmtId="0" fontId="26" fillId="0" borderId="73" xfId="0" applyFont="1" applyBorder="1" applyAlignment="1">
      <alignment horizontal="left" wrapText="1"/>
    </xf>
    <xf numFmtId="0" fontId="26" fillId="0" borderId="28" xfId="0" applyFont="1" applyBorder="1"/>
    <xf numFmtId="0" fontId="26" fillId="19" borderId="28" xfId="0" applyFont="1" applyFill="1" applyBorder="1"/>
    <xf numFmtId="165" fontId="26" fillId="19" borderId="0" xfId="3" applyNumberFormat="1" applyFont="1" applyFill="1" applyBorder="1" applyAlignment="1">
      <alignment horizontal="right"/>
    </xf>
    <xf numFmtId="200" fontId="26" fillId="19" borderId="0" xfId="0" applyNumberFormat="1" applyFont="1" applyFill="1"/>
    <xf numFmtId="200" fontId="26" fillId="19" borderId="0" xfId="0" applyNumberFormat="1" applyFont="1" applyFill="1" applyAlignment="1">
      <alignment horizontal="right"/>
    </xf>
    <xf numFmtId="200" fontId="26" fillId="19" borderId="29" xfId="0" applyNumberFormat="1" applyFont="1" applyFill="1" applyBorder="1" applyAlignment="1">
      <alignment horizontal="right"/>
    </xf>
    <xf numFmtId="165" fontId="26" fillId="0" borderId="0" xfId="3" applyNumberFormat="1" applyFont="1" applyBorder="1" applyAlignment="1">
      <alignment horizontal="right"/>
    </xf>
    <xf numFmtId="200" fontId="26" fillId="0" borderId="29" xfId="0" applyNumberFormat="1" applyFont="1" applyBorder="1" applyAlignment="1">
      <alignment horizontal="right"/>
    </xf>
    <xf numFmtId="165" fontId="26" fillId="0" borderId="0" xfId="3" applyNumberFormat="1" applyFont="1" applyBorder="1"/>
    <xf numFmtId="165" fontId="26" fillId="19" borderId="0" xfId="0" applyNumberFormat="1" applyFont="1" applyFill="1"/>
    <xf numFmtId="200" fontId="26" fillId="19" borderId="29" xfId="0" applyNumberFormat="1" applyFont="1" applyFill="1" applyBorder="1"/>
    <xf numFmtId="0" fontId="26" fillId="19" borderId="30" xfId="0" applyFont="1" applyFill="1" applyBorder="1"/>
    <xf numFmtId="165" fontId="26" fillId="19" borderId="31" xfId="0" applyNumberFormat="1" applyFont="1" applyFill="1" applyBorder="1"/>
    <xf numFmtId="200" fontId="26" fillId="19" borderId="31" xfId="0" applyNumberFormat="1" applyFont="1" applyFill="1" applyBorder="1"/>
    <xf numFmtId="200" fontId="26" fillId="19" borderId="32" xfId="0" applyNumberFormat="1" applyFont="1" applyFill="1" applyBorder="1"/>
    <xf numFmtId="199" fontId="54" fillId="25" borderId="43" xfId="4" applyNumberFormat="1" applyFont="1" applyFill="1" applyBorder="1"/>
    <xf numFmtId="0" fontId="6" fillId="16" borderId="12" xfId="0" applyFont="1" applyFill="1" applyBorder="1" applyAlignment="1">
      <alignment horizontal="left"/>
    </xf>
    <xf numFmtId="39" fontId="6" fillId="16" borderId="4" xfId="0" applyNumberFormat="1" applyFont="1" applyFill="1" applyBorder="1" applyAlignment="1">
      <alignment horizontal="center"/>
    </xf>
    <xf numFmtId="10" fontId="6" fillId="16" borderId="13" xfId="0" applyNumberFormat="1" applyFont="1" applyFill="1" applyBorder="1" applyAlignment="1">
      <alignment horizontal="center"/>
    </xf>
    <xf numFmtId="0" fontId="0" fillId="0" borderId="49" xfId="0" applyBorder="1"/>
    <xf numFmtId="39" fontId="0" fillId="0" borderId="6" xfId="0" applyNumberFormat="1" applyBorder="1"/>
    <xf numFmtId="0" fontId="25" fillId="6" borderId="30" xfId="0" applyFont="1" applyFill="1" applyBorder="1"/>
    <xf numFmtId="0" fontId="25" fillId="15" borderId="28" xfId="0" applyFont="1" applyFill="1" applyBorder="1"/>
    <xf numFmtId="0" fontId="26" fillId="10" borderId="28" xfId="0" applyFont="1" applyFill="1" applyBorder="1"/>
    <xf numFmtId="0" fontId="26" fillId="10" borderId="28" xfId="0" applyFont="1" applyFill="1" applyBorder="1" applyAlignment="1">
      <alignment horizontal="left" indent="1"/>
    </xf>
    <xf numFmtId="0" fontId="26" fillId="10" borderId="30" xfId="0" applyFont="1" applyFill="1" applyBorder="1"/>
    <xf numFmtId="0" fontId="36" fillId="10" borderId="28" xfId="0" applyFont="1" applyFill="1" applyBorder="1"/>
    <xf numFmtId="0" fontId="44" fillId="6" borderId="32" xfId="0" applyFont="1" applyFill="1" applyBorder="1"/>
    <xf numFmtId="0" fontId="26" fillId="15" borderId="29" xfId="0" applyFont="1" applyFill="1" applyBorder="1"/>
    <xf numFmtId="173" fontId="36" fillId="9" borderId="29" xfId="1" applyNumberFormat="1" applyFont="1" applyFill="1" applyBorder="1"/>
    <xf numFmtId="199" fontId="26" fillId="10" borderId="29" xfId="0" applyNumberFormat="1" applyFont="1" applyFill="1" applyBorder="1"/>
    <xf numFmtId="199" fontId="26" fillId="10" borderId="32" xfId="4" applyNumberFormat="1" applyFont="1" applyFill="1" applyBorder="1"/>
    <xf numFmtId="0" fontId="26" fillId="10" borderId="32" xfId="0" applyFont="1" applyFill="1" applyBorder="1"/>
    <xf numFmtId="165" fontId="42" fillId="0" borderId="45" xfId="0" applyNumberFormat="1" applyFont="1" applyBorder="1"/>
    <xf numFmtId="173" fontId="0" fillId="0" borderId="45" xfId="0" applyNumberFormat="1" applyBorder="1"/>
    <xf numFmtId="173" fontId="21" fillId="11" borderId="42" xfId="1" applyNumberFormat="1" applyFont="1" applyFill="1" applyBorder="1"/>
    <xf numFmtId="173" fontId="2" fillId="9" borderId="42" xfId="1" applyNumberFormat="1" applyFill="1" applyBorder="1"/>
    <xf numFmtId="0" fontId="20" fillId="10" borderId="42" xfId="0" applyFont="1" applyFill="1" applyBorder="1"/>
    <xf numFmtId="0" fontId="20" fillId="10" borderId="69" xfId="0" applyFont="1" applyFill="1" applyBorder="1"/>
    <xf numFmtId="173" fontId="2" fillId="11" borderId="42" xfId="1" applyNumberFormat="1" applyFill="1" applyBorder="1"/>
    <xf numFmtId="173" fontId="2" fillId="11" borderId="47" xfId="1" applyNumberFormat="1" applyFill="1" applyBorder="1"/>
    <xf numFmtId="173" fontId="2" fillId="9" borderId="47" xfId="1" applyNumberFormat="1" applyFill="1" applyBorder="1"/>
    <xf numFmtId="173" fontId="23" fillId="9" borderId="0" xfId="1" applyNumberFormat="1" applyFont="1" applyFill="1"/>
    <xf numFmtId="173" fontId="22" fillId="11" borderId="39" xfId="1" applyNumberFormat="1" applyFont="1" applyFill="1" applyBorder="1"/>
    <xf numFmtId="173" fontId="22" fillId="9" borderId="39" xfId="1" applyNumberFormat="1" applyFont="1" applyFill="1" applyBorder="1"/>
    <xf numFmtId="173" fontId="23" fillId="11" borderId="39" xfId="1" applyNumberFormat="1" applyFont="1" applyFill="1" applyBorder="1"/>
    <xf numFmtId="1" fontId="1" fillId="10" borderId="39" xfId="0" applyNumberFormat="1" applyFont="1" applyFill="1" applyBorder="1"/>
    <xf numFmtId="1" fontId="1" fillId="10" borderId="74" xfId="0" applyNumberFormat="1" applyFont="1" applyFill="1" applyBorder="1"/>
    <xf numFmtId="173" fontId="22" fillId="11" borderId="42" xfId="1" applyNumberFormat="1" applyFont="1" applyFill="1" applyBorder="1"/>
    <xf numFmtId="173" fontId="22" fillId="9" borderId="42" xfId="1" applyNumberFormat="1" applyFont="1" applyFill="1" applyBorder="1"/>
    <xf numFmtId="173" fontId="23" fillId="11" borderId="42" xfId="1" applyNumberFormat="1" applyFont="1" applyFill="1" applyBorder="1"/>
    <xf numFmtId="199" fontId="0" fillId="10" borderId="0" xfId="4" applyNumberFormat="1" applyFont="1" applyFill="1" applyBorder="1" applyAlignment="1">
      <alignment horizontal="center"/>
    </xf>
    <xf numFmtId="199" fontId="1" fillId="6" borderId="0" xfId="4" applyNumberFormat="1" applyFont="1" applyFill="1" applyBorder="1" applyAlignment="1">
      <alignment horizontal="center"/>
    </xf>
    <xf numFmtId="199" fontId="0" fillId="10" borderId="29" xfId="4" applyNumberFormat="1" applyFont="1" applyFill="1" applyBorder="1" applyAlignment="1">
      <alignment horizontal="center"/>
    </xf>
    <xf numFmtId="199" fontId="1" fillId="19" borderId="0" xfId="4" applyNumberFormat="1" applyFont="1" applyFill="1" applyBorder="1" applyAlignment="1">
      <alignment horizontal="center"/>
    </xf>
    <xf numFmtId="199" fontId="0" fillId="10" borderId="31" xfId="4" applyNumberFormat="1" applyFont="1" applyFill="1" applyBorder="1" applyAlignment="1">
      <alignment horizontal="center"/>
    </xf>
    <xf numFmtId="199" fontId="0" fillId="10" borderId="32" xfId="4" applyNumberFormat="1" applyFont="1" applyFill="1" applyBorder="1" applyAlignment="1">
      <alignment horizontal="center"/>
    </xf>
    <xf numFmtId="9" fontId="1" fillId="14" borderId="28" xfId="4" applyFont="1" applyFill="1" applyBorder="1" applyAlignment="1">
      <alignment horizontal="center"/>
    </xf>
    <xf numFmtId="9" fontId="1" fillId="14" borderId="30" xfId="4" applyFont="1" applyFill="1" applyBorder="1" applyAlignment="1">
      <alignment horizontal="center"/>
    </xf>
    <xf numFmtId="200" fontId="1" fillId="14" borderId="26" xfId="0" applyNumberFormat="1" applyFont="1" applyFill="1" applyBorder="1" applyAlignment="1">
      <alignment horizontal="center"/>
    </xf>
    <xf numFmtId="200" fontId="1" fillId="14" borderId="27" xfId="0" applyNumberFormat="1" applyFont="1" applyFill="1" applyBorder="1" applyAlignment="1">
      <alignment horizontal="center"/>
    </xf>
    <xf numFmtId="199" fontId="0" fillId="10" borderId="25" xfId="4" applyNumberFormat="1" applyFont="1" applyFill="1" applyBorder="1" applyAlignment="1">
      <alignment horizontal="center"/>
    </xf>
    <xf numFmtId="199" fontId="0" fillId="10" borderId="26" xfId="4" applyNumberFormat="1" applyFont="1" applyFill="1" applyBorder="1" applyAlignment="1">
      <alignment horizontal="center"/>
    </xf>
    <xf numFmtId="199" fontId="1" fillId="6" borderId="26" xfId="4" applyNumberFormat="1" applyFont="1" applyFill="1" applyBorder="1" applyAlignment="1">
      <alignment horizontal="center"/>
    </xf>
    <xf numFmtId="199" fontId="0" fillId="10" borderId="27" xfId="4" applyNumberFormat="1" applyFont="1" applyFill="1" applyBorder="1" applyAlignment="1">
      <alignment horizontal="center"/>
    </xf>
    <xf numFmtId="199" fontId="0" fillId="10" borderId="28" xfId="4" applyNumberFormat="1" applyFont="1" applyFill="1" applyBorder="1" applyAlignment="1">
      <alignment horizontal="center"/>
    </xf>
    <xf numFmtId="199" fontId="1" fillId="6" borderId="28" xfId="4" applyNumberFormat="1" applyFont="1" applyFill="1" applyBorder="1" applyAlignment="1">
      <alignment horizontal="center"/>
    </xf>
    <xf numFmtId="199" fontId="0" fillId="10" borderId="30" xfId="4" applyNumberFormat="1" applyFont="1" applyFill="1" applyBorder="1" applyAlignment="1">
      <alignment horizontal="center"/>
    </xf>
    <xf numFmtId="199" fontId="41" fillId="14" borderId="52" xfId="0" applyNumberFormat="1" applyFont="1" applyFill="1" applyBorder="1"/>
    <xf numFmtId="199" fontId="1" fillId="6" borderId="31" xfId="4" applyNumberFormat="1" applyFont="1" applyFill="1" applyBorder="1" applyAlignment="1">
      <alignment horizontal="center"/>
    </xf>
    <xf numFmtId="199" fontId="1" fillId="6" borderId="29" xfId="4" applyNumberFormat="1" applyFont="1" applyFill="1" applyBorder="1" applyAlignment="1">
      <alignment horizontal="center"/>
    </xf>
    <xf numFmtId="0" fontId="1" fillId="21" borderId="38" xfId="0" applyFont="1" applyFill="1" applyBorder="1"/>
    <xf numFmtId="0" fontId="1" fillId="16" borderId="39" xfId="0" applyFont="1" applyFill="1" applyBorder="1"/>
    <xf numFmtId="0" fontId="1" fillId="16" borderId="40" xfId="0" applyFont="1" applyFill="1" applyBorder="1"/>
    <xf numFmtId="0" fontId="1" fillId="0" borderId="49" xfId="0" applyFont="1" applyBorder="1"/>
    <xf numFmtId="0" fontId="1" fillId="16" borderId="44" xfId="0" applyFont="1" applyFill="1" applyBorder="1"/>
    <xf numFmtId="173" fontId="6" fillId="9" borderId="0" xfId="0" applyNumberFormat="1" applyFont="1" applyFill="1" applyAlignment="1">
      <alignment horizontal="left"/>
    </xf>
    <xf numFmtId="173" fontId="8" fillId="9" borderId="0" xfId="0" applyNumberFormat="1" applyFont="1" applyFill="1" applyAlignment="1">
      <alignment horizontal="left"/>
    </xf>
    <xf numFmtId="172" fontId="4" fillId="2" borderId="28" xfId="1" applyNumberFormat="1" applyFont="1" applyFill="1" applyBorder="1" applyAlignment="1">
      <alignment horizontal="left"/>
    </xf>
    <xf numFmtId="165" fontId="6" fillId="7" borderId="30" xfId="1" applyNumberFormat="1" applyFont="1" applyFill="1" applyBorder="1" applyAlignment="1">
      <alignment horizontal="left"/>
    </xf>
    <xf numFmtId="165" fontId="6" fillId="7" borderId="31" xfId="1" applyNumberFormat="1" applyFont="1" applyFill="1" applyBorder="1" applyAlignment="1">
      <alignment horizontal="left"/>
    </xf>
    <xf numFmtId="173" fontId="8" fillId="18" borderId="0" xfId="0" applyNumberFormat="1" applyFont="1" applyFill="1" applyAlignment="1">
      <alignment horizontal="left"/>
    </xf>
    <xf numFmtId="172" fontId="12" fillId="18" borderId="0" xfId="0" applyNumberFormat="1" applyFont="1" applyFill="1" applyAlignment="1">
      <alignment horizontal="left"/>
    </xf>
    <xf numFmtId="173" fontId="6" fillId="15" borderId="28" xfId="0" applyNumberFormat="1" applyFont="1" applyFill="1" applyBorder="1" applyAlignment="1">
      <alignment horizontal="left"/>
    </xf>
    <xf numFmtId="173" fontId="6" fillId="15" borderId="0" xfId="0" applyNumberFormat="1" applyFont="1" applyFill="1" applyAlignment="1">
      <alignment horizontal="left"/>
    </xf>
    <xf numFmtId="173" fontId="8" fillId="15" borderId="0" xfId="0" applyNumberFormat="1" applyFont="1" applyFill="1" applyAlignment="1">
      <alignment horizontal="left"/>
    </xf>
    <xf numFmtId="9" fontId="37" fillId="0" borderId="0" xfId="0" applyNumberFormat="1" applyFont="1"/>
    <xf numFmtId="0" fontId="19" fillId="14" borderId="17" xfId="0" applyFont="1" applyFill="1" applyBorder="1"/>
    <xf numFmtId="193" fontId="19" fillId="14" borderId="18" xfId="0" applyNumberFormat="1" applyFont="1" applyFill="1" applyBorder="1"/>
    <xf numFmtId="0" fontId="19" fillId="14" borderId="20" xfId="0" applyFont="1" applyFill="1" applyBorder="1"/>
    <xf numFmtId="0" fontId="1" fillId="21" borderId="20" xfId="0" applyFont="1" applyFill="1" applyBorder="1"/>
    <xf numFmtId="173" fontId="1" fillId="18" borderId="36" xfId="1" applyNumberFormat="1" applyFont="1" applyFill="1" applyBorder="1" applyAlignment="1">
      <alignment horizontal="left"/>
    </xf>
    <xf numFmtId="173" fontId="1" fillId="11" borderId="4" xfId="1" applyNumberFormat="1" applyFont="1" applyFill="1" applyBorder="1"/>
    <xf numFmtId="173" fontId="22" fillId="11" borderId="29" xfId="1" applyNumberFormat="1" applyFont="1" applyFill="1" applyBorder="1"/>
    <xf numFmtId="173" fontId="1" fillId="18" borderId="20" xfId="1" applyNumberFormat="1" applyFont="1" applyFill="1" applyBorder="1" applyAlignment="1">
      <alignment horizontal="left"/>
    </xf>
    <xf numFmtId="173" fontId="23" fillId="11" borderId="29" xfId="1" applyNumberFormat="1" applyFont="1" applyFill="1" applyBorder="1"/>
    <xf numFmtId="173" fontId="2" fillId="11" borderId="29" xfId="1" applyNumberFormat="1" applyFill="1" applyBorder="1"/>
    <xf numFmtId="173" fontId="2" fillId="11" borderId="51" xfId="1" applyNumberFormat="1" applyFill="1" applyBorder="1"/>
    <xf numFmtId="173" fontId="1" fillId="18" borderId="34" xfId="1" applyNumberFormat="1" applyFont="1" applyFill="1" applyBorder="1" applyAlignment="1">
      <alignment horizontal="left"/>
    </xf>
    <xf numFmtId="0" fontId="1" fillId="10" borderId="0" xfId="0" applyFont="1" applyFill="1"/>
    <xf numFmtId="0" fontId="1" fillId="10" borderId="29" xfId="0" applyFont="1" applyFill="1" applyBorder="1"/>
    <xf numFmtId="173" fontId="23" fillId="11" borderId="69" xfId="1" applyNumberFormat="1" applyFont="1" applyFill="1" applyBorder="1"/>
    <xf numFmtId="173" fontId="1" fillId="9" borderId="0" xfId="1" applyNumberFormat="1" applyFont="1" applyFill="1"/>
    <xf numFmtId="165" fontId="1" fillId="18" borderId="22" xfId="1" applyNumberFormat="1" applyFont="1" applyFill="1" applyBorder="1" applyAlignment="1">
      <alignment horizontal="left"/>
    </xf>
    <xf numFmtId="165" fontId="1" fillId="9" borderId="23" xfId="1" applyNumberFormat="1" applyFont="1" applyFill="1" applyBorder="1"/>
    <xf numFmtId="165" fontId="1" fillId="9" borderId="31" xfId="1" applyNumberFormat="1" applyFont="1" applyFill="1" applyBorder="1"/>
    <xf numFmtId="193" fontId="19" fillId="14" borderId="19" xfId="0" applyNumberFormat="1" applyFont="1" applyFill="1" applyBorder="1"/>
    <xf numFmtId="0" fontId="18" fillId="14" borderId="21" xfId="0" applyFont="1" applyFill="1" applyBorder="1"/>
    <xf numFmtId="0" fontId="1" fillId="6" borderId="20" xfId="0" applyFont="1" applyFill="1" applyBorder="1"/>
    <xf numFmtId="0" fontId="1" fillId="6" borderId="0" xfId="0" applyFont="1" applyFill="1"/>
    <xf numFmtId="0" fontId="1" fillId="0" borderId="20" xfId="0" applyFont="1" applyBorder="1"/>
    <xf numFmtId="0" fontId="1" fillId="0" borderId="0" xfId="0" applyFont="1"/>
    <xf numFmtId="165" fontId="1" fillId="2" borderId="20" xfId="1" applyNumberFormat="1" applyFont="1" applyFill="1" applyBorder="1" applyAlignment="1">
      <alignment horizontal="left"/>
    </xf>
    <xf numFmtId="165" fontId="1" fillId="14" borderId="20" xfId="1" applyNumberFormat="1" applyFont="1" applyFill="1" applyBorder="1" applyAlignment="1">
      <alignment horizontal="left"/>
    </xf>
    <xf numFmtId="165" fontId="1" fillId="14" borderId="36" xfId="1" applyNumberFormat="1" applyFont="1" applyFill="1" applyBorder="1"/>
    <xf numFmtId="165" fontId="1" fillId="14" borderId="4" xfId="1" applyNumberFormat="1" applyFont="1" applyFill="1" applyBorder="1"/>
    <xf numFmtId="165" fontId="1" fillId="14" borderId="36" xfId="1" applyNumberFormat="1" applyFont="1" applyFill="1" applyBorder="1" applyAlignment="1">
      <alignment horizontal="left"/>
    </xf>
    <xf numFmtId="165" fontId="1" fillId="10" borderId="36" xfId="1" applyNumberFormat="1" applyFont="1" applyFill="1" applyBorder="1" applyAlignment="1">
      <alignment horizontal="left"/>
    </xf>
    <xf numFmtId="165" fontId="1" fillId="10" borderId="36" xfId="1" applyNumberFormat="1" applyFont="1" applyFill="1" applyBorder="1"/>
    <xf numFmtId="165" fontId="1" fillId="10" borderId="4" xfId="1" applyNumberFormat="1" applyFont="1" applyFill="1" applyBorder="1"/>
    <xf numFmtId="165" fontId="1" fillId="10" borderId="20" xfId="1" applyNumberFormat="1" applyFont="1" applyFill="1" applyBorder="1" applyAlignment="1">
      <alignment horizontal="left"/>
    </xf>
    <xf numFmtId="165" fontId="1" fillId="10" borderId="20" xfId="1" applyNumberFormat="1" applyFont="1" applyFill="1" applyBorder="1"/>
    <xf numFmtId="165" fontId="1" fillId="10" borderId="0" xfId="1" applyNumberFormat="1" applyFont="1" applyFill="1"/>
    <xf numFmtId="10" fontId="36" fillId="9" borderId="44" xfId="1" applyNumberFormat="1" applyFont="1" applyFill="1" applyBorder="1"/>
    <xf numFmtId="10" fontId="36" fillId="9" borderId="0" xfId="1" applyNumberFormat="1" applyFont="1" applyFill="1"/>
    <xf numFmtId="0" fontId="25" fillId="6" borderId="25" xfId="0" applyFont="1" applyFill="1" applyBorder="1"/>
    <xf numFmtId="0" fontId="25" fillId="6" borderId="26" xfId="0" applyFont="1" applyFill="1" applyBorder="1"/>
    <xf numFmtId="193" fontId="25" fillId="6" borderId="26" xfId="0" applyNumberFormat="1" applyFont="1" applyFill="1" applyBorder="1"/>
    <xf numFmtId="0" fontId="25" fillId="15" borderId="0" xfId="0" applyFont="1" applyFill="1"/>
    <xf numFmtId="199" fontId="26" fillId="10" borderId="0" xfId="0" applyNumberFormat="1" applyFont="1" applyFill="1"/>
    <xf numFmtId="10" fontId="36" fillId="9" borderId="29" xfId="1" applyNumberFormat="1" applyFont="1" applyFill="1" applyBorder="1"/>
    <xf numFmtId="165" fontId="26" fillId="9" borderId="0" xfId="1" applyNumberFormat="1" applyFont="1" applyFill="1" applyAlignment="1">
      <alignment horizontal="left"/>
    </xf>
    <xf numFmtId="172" fontId="26" fillId="9" borderId="0" xfId="1" applyNumberFormat="1" applyFont="1" applyFill="1" applyAlignment="1">
      <alignment horizontal="left"/>
    </xf>
    <xf numFmtId="172" fontId="45" fillId="9" borderId="0" xfId="1" applyNumberFormat="1" applyFont="1" applyFill="1" applyAlignment="1">
      <alignment horizontal="left"/>
    </xf>
    <xf numFmtId="0" fontId="55" fillId="0" borderId="0" xfId="0" applyFont="1"/>
    <xf numFmtId="0" fontId="56" fillId="0" borderId="0" xfId="0" applyFont="1"/>
    <xf numFmtId="0" fontId="57" fillId="0" borderId="0" xfId="0" applyFont="1"/>
    <xf numFmtId="0" fontId="58" fillId="26" borderId="0" xfId="0" applyFont="1" applyFill="1"/>
    <xf numFmtId="0" fontId="60" fillId="0" borderId="0" xfId="0" applyFont="1"/>
    <xf numFmtId="0" fontId="59" fillId="0" borderId="2" xfId="0" applyFont="1" applyBorder="1"/>
    <xf numFmtId="0" fontId="61" fillId="0" borderId="2" xfId="0" applyFont="1" applyBorder="1"/>
    <xf numFmtId="10" fontId="28" fillId="0" borderId="14" xfId="0" applyNumberFormat="1" applyFont="1" applyBorder="1"/>
    <xf numFmtId="0" fontId="55" fillId="0" borderId="0" xfId="0" applyFont="1"/>
    <xf numFmtId="0" fontId="1" fillId="0" borderId="29" xfId="0" applyFont="1" applyBorder="1" applyAlignment="1">
      <alignment horizontal="center" vertical="center" textRotation="90"/>
    </xf>
    <xf numFmtId="0" fontId="1" fillId="0" borderId="0" xfId="0" applyFont="1" applyAlignment="1">
      <alignment horizontal="center"/>
    </xf>
    <xf numFmtId="0" fontId="36" fillId="6" borderId="75" xfId="0" applyFont="1" applyFill="1" applyBorder="1" applyAlignment="1">
      <alignment horizontal="center"/>
    </xf>
    <xf numFmtId="0" fontId="36" fillId="6" borderId="26" xfId="0" applyFont="1" applyFill="1" applyBorder="1" applyAlignment="1">
      <alignment horizontal="center"/>
    </xf>
    <xf numFmtId="0" fontId="36" fillId="6" borderId="27" xfId="0" applyFont="1" applyFill="1" applyBorder="1" applyAlignment="1">
      <alignment horizontal="center"/>
    </xf>
    <xf numFmtId="0" fontId="36" fillId="0" borderId="0" xfId="0" applyFont="1" applyAlignment="1">
      <alignment horizontal="center"/>
    </xf>
    <xf numFmtId="0" fontId="1" fillId="15" borderId="0" xfId="0" applyFont="1" applyFill="1" applyAlignment="1">
      <alignment horizontal="center"/>
    </xf>
    <xf numFmtId="0" fontId="1" fillId="6" borderId="26" xfId="0" applyFont="1" applyFill="1" applyBorder="1" applyAlignment="1">
      <alignment horizontal="center"/>
    </xf>
    <xf numFmtId="0" fontId="1" fillId="6" borderId="27" xfId="0" applyFont="1" applyFill="1" applyBorder="1" applyAlignment="1">
      <alignment horizontal="center"/>
    </xf>
  </cellXfs>
  <cellStyles count="5">
    <cellStyle name="Comma" xfId="3" builtinId="3"/>
    <cellStyle name="Currency" xfId="2" builtinId="4"/>
    <cellStyle name="Normal" xfId="0" builtinId="0"/>
    <cellStyle name="Normal 2" xfId="1" xr:uid="{DF89F20D-CC4B-49B1-8E9D-BCC9C5CA83C6}"/>
    <cellStyle name="Percent" xfId="4" builtinId="5"/>
  </cellStyles>
  <dxfs count="8">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s>
  <tableStyles count="0" defaultTableStyle="TableStyleMedium2" defaultPivotStyle="PivotStyleLight16"/>
  <colors>
    <mruColors>
      <color rgb="FFF7FBFD"/>
      <color rgb="FFEF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Returns Attribution Analysis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Returns Attribution Analysis</a:t>
          </a:r>
        </a:p>
      </cx:txPr>
    </cx:title>
    <cx:plotArea>
      <cx:plotAreaRegion>
        <cx:plotSurface>
          <cx:spPr>
            <a:ln>
              <a:noFill/>
            </a:ln>
          </cx:spPr>
        </cx:plotSurface>
        <cx:series layoutId="waterfall" uniqueId="{4CD192BB-D67A-44B2-8BF0-958DFD0D8DA8}">
          <cx:dataPt idx="1">
            <cx:spPr>
              <a:solidFill>
                <a:srgbClr val="0E2841">
                  <a:lumMod val="25000"/>
                  <a:lumOff val="75000"/>
                </a:srgbClr>
              </a:solidFill>
            </cx:spPr>
          </cx:dataPt>
          <cx:dataPt idx="2">
            <cx:spPr>
              <a:solidFill>
                <a:srgbClr val="0E2841">
                  <a:lumMod val="10000"/>
                  <a:lumOff val="90000"/>
                </a:srgbClr>
              </a:solidFill>
            </cx:spPr>
          </cx:dataPt>
          <cx:dataPt idx="3">
            <cx:spPr>
              <a:solidFill>
                <a:srgbClr val="156082">
                  <a:lumMod val="20000"/>
                  <a:lumOff val="80000"/>
                </a:srgbClr>
              </a:solidFill>
            </cx:spPr>
          </cx:dataPt>
          <cx:dataPt idx="4">
            <cx:spPr>
              <a:solidFill>
                <a:sysClr val="window" lastClr="FFFFFF">
                  <a:lumMod val="85000"/>
                </a:sysClr>
              </a:solidFill>
            </cx:spPr>
          </cx:dataPt>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idx val="4"/>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4</xdr:row>
      <xdr:rowOff>123825</xdr:rowOff>
    </xdr:from>
    <xdr:to>
      <xdr:col>15</xdr:col>
      <xdr:colOff>276225</xdr:colOff>
      <xdr:row>12</xdr:row>
      <xdr:rowOff>38100</xdr:rowOff>
    </xdr:to>
    <xdr:pic>
      <xdr:nvPicPr>
        <xdr:cNvPr id="3" name="Picture 2">
          <a:extLst>
            <a:ext uri="{FF2B5EF4-FFF2-40B4-BE49-F238E27FC236}">
              <a16:creationId xmlns:a16="http://schemas.microsoft.com/office/drawing/2014/main" id="{38C45D6E-12DF-FCB1-1219-A76EAC3A27A4}"/>
            </a:ext>
          </a:extLst>
        </xdr:cNvPr>
        <xdr:cNvPicPr>
          <a:picLocks noChangeAspect="1"/>
        </xdr:cNvPicPr>
      </xdr:nvPicPr>
      <xdr:blipFill>
        <a:blip xmlns:r="http://schemas.openxmlformats.org/officeDocument/2006/relationships" r:embed="rId1"/>
        <a:stretch>
          <a:fillRect/>
        </a:stretch>
      </xdr:blipFill>
      <xdr:spPr>
        <a:xfrm>
          <a:off x="704850" y="885825"/>
          <a:ext cx="8429625" cy="1438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140606</xdr:colOff>
      <xdr:row>27</xdr:row>
      <xdr:rowOff>9072</xdr:rowOff>
    </xdr:from>
    <xdr:to>
      <xdr:col>18</xdr:col>
      <xdr:colOff>399142</xdr:colOff>
      <xdr:row>48</xdr:row>
      <xdr:rowOff>60779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CC4159F-2554-F42F-9E7D-6210729E3F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821306" y="5152572"/>
              <a:ext cx="6938736" cy="40522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2920-1D24-4CF6-A9E5-303CBEFBDFAE}">
  <dimension ref="A1:AQ208"/>
  <sheetViews>
    <sheetView showGridLines="0" zoomScale="70" zoomScaleNormal="70" workbookViewId="0">
      <selection activeCell="F50" sqref="F50"/>
    </sheetView>
  </sheetViews>
  <sheetFormatPr baseColWidth="10" defaultColWidth="8.83203125" defaultRowHeight="15" x14ac:dyDescent="0.2"/>
  <sheetData>
    <row r="1" spans="1:18" x14ac:dyDescent="0.2">
      <c r="A1" s="1557"/>
      <c r="B1" s="1557"/>
      <c r="C1" s="1557"/>
      <c r="D1" s="1557"/>
      <c r="E1" s="1557"/>
      <c r="F1" s="1557"/>
      <c r="G1" s="1557"/>
      <c r="H1" s="1557"/>
      <c r="I1" s="1557"/>
      <c r="J1" s="1557"/>
      <c r="K1" s="1557"/>
      <c r="L1" s="1557"/>
      <c r="M1" s="1557"/>
      <c r="N1" s="1557"/>
      <c r="O1" s="1557"/>
      <c r="P1" s="1557"/>
      <c r="Q1" s="1557"/>
      <c r="R1" s="1557"/>
    </row>
    <row r="2" spans="1:18" x14ac:dyDescent="0.2">
      <c r="A2" s="1557"/>
      <c r="B2" s="1557"/>
      <c r="C2" s="1557"/>
      <c r="D2" s="1557"/>
      <c r="E2" s="1557"/>
      <c r="F2" s="1557"/>
      <c r="G2" s="1557"/>
      <c r="H2" s="1557"/>
      <c r="I2" s="1557"/>
      <c r="J2" s="1557"/>
      <c r="K2" s="1557"/>
      <c r="L2" s="1557"/>
      <c r="M2" s="1557"/>
      <c r="N2" s="1557"/>
      <c r="O2" s="1557"/>
      <c r="P2" s="1557"/>
      <c r="Q2" s="1557"/>
      <c r="R2" s="1557"/>
    </row>
    <row r="3" spans="1:18" x14ac:dyDescent="0.2">
      <c r="A3" s="1557"/>
      <c r="B3" s="1557"/>
      <c r="C3" s="1557"/>
      <c r="D3" s="1557"/>
      <c r="E3" s="1557"/>
      <c r="F3" s="1557"/>
      <c r="G3" s="1557"/>
      <c r="H3" s="1557"/>
      <c r="I3" s="1557"/>
      <c r="J3" s="1557"/>
      <c r="K3" s="1557"/>
      <c r="L3" s="1557"/>
      <c r="M3" s="1557"/>
      <c r="N3" s="1557"/>
      <c r="O3" s="1557"/>
      <c r="P3" s="1557"/>
      <c r="Q3" s="1557"/>
      <c r="R3" s="1557"/>
    </row>
    <row r="4" spans="1:18" x14ac:dyDescent="0.2">
      <c r="A4" s="1557"/>
      <c r="B4" s="1565"/>
      <c r="C4" s="1565"/>
      <c r="D4" s="1565"/>
      <c r="E4" s="1565"/>
      <c r="F4" s="1565"/>
      <c r="G4" s="1565"/>
      <c r="H4" s="1565"/>
      <c r="I4" s="1565"/>
      <c r="J4" s="1565"/>
      <c r="K4" s="1565"/>
      <c r="L4" s="1565"/>
      <c r="M4" s="1565"/>
      <c r="N4" s="1565"/>
      <c r="O4" s="1565"/>
      <c r="P4" s="1565"/>
      <c r="Q4" s="1565"/>
      <c r="R4" s="1565"/>
    </row>
    <row r="5" spans="1:18" x14ac:dyDescent="0.2">
      <c r="A5" s="1557"/>
      <c r="B5" s="1565"/>
      <c r="C5" s="1565"/>
      <c r="D5" s="1565"/>
      <c r="E5" s="1565"/>
      <c r="F5" s="1565"/>
      <c r="G5" s="1565"/>
      <c r="H5" s="1565"/>
      <c r="I5" s="1565"/>
      <c r="J5" s="1565"/>
      <c r="K5" s="1565"/>
      <c r="L5" s="1565"/>
      <c r="M5" s="1565"/>
      <c r="N5" s="1565"/>
      <c r="O5" s="1565"/>
      <c r="P5" s="1565"/>
      <c r="Q5" s="1565"/>
      <c r="R5" s="1565"/>
    </row>
    <row r="6" spans="1:18" x14ac:dyDescent="0.2">
      <c r="A6" s="1557"/>
      <c r="B6" s="1565"/>
      <c r="C6" s="1565"/>
      <c r="D6" s="1565"/>
      <c r="E6" s="1565"/>
      <c r="F6" s="1565"/>
      <c r="G6" s="1565"/>
      <c r="H6" s="1565"/>
      <c r="I6" s="1565"/>
      <c r="J6" s="1565"/>
      <c r="K6" s="1565"/>
      <c r="L6" s="1565"/>
      <c r="M6" s="1565"/>
      <c r="N6" s="1565"/>
      <c r="O6" s="1565"/>
      <c r="P6" s="1565"/>
      <c r="Q6" s="1565"/>
      <c r="R6" s="1565"/>
    </row>
    <row r="7" spans="1:18" x14ac:dyDescent="0.2">
      <c r="A7" s="1557"/>
      <c r="B7" s="1565"/>
      <c r="C7" s="1565"/>
      <c r="D7" s="1565"/>
      <c r="E7" s="1565"/>
      <c r="F7" s="1565"/>
      <c r="G7" s="1565"/>
      <c r="H7" s="1565"/>
      <c r="I7" s="1565"/>
      <c r="J7" s="1565"/>
      <c r="K7" s="1565"/>
      <c r="L7" s="1565"/>
      <c r="M7" s="1565"/>
      <c r="N7" s="1565"/>
      <c r="O7" s="1565"/>
      <c r="P7" s="1565"/>
      <c r="Q7" s="1565"/>
      <c r="R7" s="1565"/>
    </row>
    <row r="8" spans="1:18" x14ac:dyDescent="0.2">
      <c r="A8" s="1557"/>
      <c r="B8" s="1565"/>
      <c r="C8" s="1565"/>
      <c r="D8" s="1565"/>
      <c r="E8" s="1565"/>
      <c r="F8" s="1565"/>
      <c r="G8" s="1565"/>
      <c r="H8" s="1565"/>
      <c r="I8" s="1565"/>
      <c r="J8" s="1565"/>
      <c r="K8" s="1565"/>
      <c r="L8" s="1565"/>
      <c r="M8" s="1565"/>
      <c r="N8" s="1565"/>
      <c r="O8" s="1565"/>
      <c r="P8" s="1565"/>
      <c r="Q8" s="1565"/>
      <c r="R8" s="1565"/>
    </row>
    <row r="9" spans="1:18" x14ac:dyDescent="0.2">
      <c r="A9" s="1557"/>
      <c r="B9" s="1565"/>
      <c r="C9" s="1565"/>
      <c r="D9" s="1565"/>
      <c r="E9" s="1565"/>
      <c r="F9" s="1565"/>
      <c r="G9" s="1565"/>
      <c r="H9" s="1565"/>
      <c r="I9" s="1565"/>
      <c r="J9" s="1565"/>
      <c r="K9" s="1565"/>
      <c r="L9" s="1565"/>
      <c r="M9" s="1565"/>
      <c r="N9" s="1565"/>
      <c r="O9" s="1565"/>
      <c r="P9" s="1565"/>
      <c r="Q9" s="1565"/>
      <c r="R9" s="1565"/>
    </row>
    <row r="10" spans="1:18" x14ac:dyDescent="0.2">
      <c r="A10" s="1557"/>
      <c r="B10" s="1565"/>
      <c r="C10" s="1565"/>
      <c r="D10" s="1565"/>
      <c r="E10" s="1565"/>
      <c r="F10" s="1565"/>
      <c r="G10" s="1565"/>
      <c r="H10" s="1565"/>
      <c r="I10" s="1565"/>
      <c r="J10" s="1565"/>
      <c r="K10" s="1565"/>
      <c r="L10" s="1565"/>
      <c r="M10" s="1565"/>
      <c r="N10" s="1565"/>
      <c r="O10" s="1565"/>
      <c r="P10" s="1565"/>
      <c r="Q10" s="1565"/>
      <c r="R10" s="1565"/>
    </row>
    <row r="11" spans="1:18" x14ac:dyDescent="0.2">
      <c r="A11" s="1557"/>
      <c r="B11" s="1565"/>
      <c r="C11" s="1565"/>
      <c r="D11" s="1565"/>
      <c r="E11" s="1565"/>
      <c r="F11" s="1565"/>
      <c r="G11" s="1565"/>
      <c r="H11" s="1565"/>
      <c r="I11" s="1565"/>
      <c r="J11" s="1565"/>
      <c r="K11" s="1565"/>
      <c r="L11" s="1565"/>
      <c r="M11" s="1565"/>
      <c r="N11" s="1565"/>
      <c r="O11" s="1565"/>
      <c r="P11" s="1565"/>
      <c r="Q11" s="1565"/>
      <c r="R11" s="1565"/>
    </row>
    <row r="12" spans="1:18" x14ac:dyDescent="0.2">
      <c r="A12" s="1557"/>
      <c r="B12" s="1565"/>
      <c r="C12" s="1565"/>
      <c r="D12" s="1565"/>
      <c r="E12" s="1565"/>
      <c r="F12" s="1565"/>
      <c r="G12" s="1565"/>
      <c r="H12" s="1565"/>
      <c r="I12" s="1565"/>
      <c r="J12" s="1565"/>
      <c r="K12" s="1565"/>
      <c r="L12" s="1565"/>
      <c r="M12" s="1565"/>
      <c r="N12" s="1565"/>
      <c r="O12" s="1565"/>
      <c r="P12" s="1565"/>
      <c r="Q12" s="1565"/>
      <c r="R12" s="1565"/>
    </row>
    <row r="13" spans="1:18" x14ac:dyDescent="0.2">
      <c r="A13" s="1557"/>
      <c r="B13" s="1565"/>
      <c r="C13" s="1565"/>
      <c r="D13" s="1565"/>
      <c r="E13" s="1565"/>
      <c r="F13" s="1565"/>
      <c r="G13" s="1565"/>
      <c r="H13" s="1565"/>
      <c r="I13" s="1565"/>
      <c r="J13" s="1565"/>
      <c r="K13" s="1565"/>
      <c r="L13" s="1565"/>
      <c r="M13" s="1565"/>
      <c r="N13" s="1565"/>
      <c r="O13" s="1565"/>
      <c r="P13" s="1565"/>
      <c r="Q13" s="1565"/>
      <c r="R13" s="1565"/>
    </row>
    <row r="14" spans="1:18" x14ac:dyDescent="0.2">
      <c r="A14" s="1557"/>
      <c r="B14" s="1557"/>
      <c r="C14" s="1557"/>
      <c r="D14" s="1557"/>
      <c r="E14" s="1557"/>
      <c r="F14" s="1557"/>
      <c r="G14" s="1557"/>
      <c r="H14" s="1557"/>
      <c r="I14" s="1557"/>
      <c r="J14" s="1557"/>
      <c r="K14" s="1557"/>
      <c r="L14" s="1557"/>
      <c r="M14" s="1557"/>
      <c r="N14" s="1557"/>
      <c r="O14" s="1557"/>
      <c r="P14" s="1557"/>
      <c r="Q14" s="1557"/>
      <c r="R14" s="1557"/>
    </row>
    <row r="15" spans="1:18" x14ac:dyDescent="0.2">
      <c r="A15" s="1557"/>
      <c r="B15" s="1557"/>
      <c r="C15" s="1557"/>
      <c r="D15" s="1557"/>
      <c r="E15" s="1557"/>
      <c r="F15" s="1557"/>
      <c r="G15" s="1557"/>
      <c r="H15" s="1557"/>
      <c r="I15" s="1557"/>
      <c r="J15" s="1557"/>
      <c r="K15" s="1557"/>
      <c r="L15" s="1557"/>
      <c r="M15" s="1557"/>
      <c r="N15" s="1557"/>
      <c r="O15" s="1557"/>
      <c r="P15" s="1557"/>
      <c r="Q15" s="1557"/>
      <c r="R15" s="1557"/>
    </row>
    <row r="16" spans="1:18" ht="47" x14ac:dyDescent="0.55000000000000004">
      <c r="A16" s="1557"/>
      <c r="B16" s="1557"/>
      <c r="C16" s="1558" t="s">
        <v>0</v>
      </c>
      <c r="D16" s="1558"/>
      <c r="E16" s="1558"/>
      <c r="F16" s="1558"/>
      <c r="G16" s="1558"/>
      <c r="H16" s="1558"/>
      <c r="I16" s="1558"/>
      <c r="J16" s="1558"/>
      <c r="K16" s="1558"/>
      <c r="L16" s="1558"/>
      <c r="M16" s="1558"/>
      <c r="N16" s="1557"/>
      <c r="O16" s="1557"/>
      <c r="P16" s="1557"/>
      <c r="Q16" s="1557"/>
      <c r="R16" s="1557"/>
    </row>
    <row r="17" spans="1:18" ht="47" x14ac:dyDescent="0.55000000000000004">
      <c r="A17" s="1557"/>
      <c r="B17" s="1557"/>
      <c r="C17" s="1558"/>
      <c r="D17" s="1559"/>
      <c r="E17" s="1559"/>
      <c r="F17" s="1559"/>
      <c r="G17" s="1559"/>
      <c r="H17" s="1559"/>
      <c r="I17" s="1559"/>
      <c r="J17" s="1557"/>
      <c r="K17" s="1557"/>
      <c r="L17" s="1557"/>
      <c r="M17" s="1557"/>
      <c r="N17" s="1557"/>
      <c r="O17" s="1557"/>
      <c r="P17" s="1557"/>
      <c r="Q17" s="1557"/>
      <c r="R17" s="1557"/>
    </row>
    <row r="18" spans="1:18" x14ac:dyDescent="0.2">
      <c r="A18" s="1557"/>
      <c r="B18" s="1557"/>
      <c r="C18" s="1557"/>
      <c r="D18" s="1557"/>
      <c r="E18" s="1557"/>
      <c r="F18" s="1557"/>
      <c r="G18" s="1557"/>
      <c r="H18" s="1557"/>
      <c r="I18" s="1557"/>
      <c r="J18" s="1557"/>
      <c r="K18" s="1557"/>
      <c r="L18" s="1557"/>
      <c r="M18" s="1557"/>
      <c r="N18" s="1557"/>
      <c r="O18" s="1557"/>
      <c r="P18" s="1557"/>
      <c r="Q18" s="1557"/>
      <c r="R18" s="1557"/>
    </row>
    <row r="19" spans="1:18" ht="27" x14ac:dyDescent="0.35">
      <c r="A19" s="1557"/>
      <c r="B19" s="1557"/>
      <c r="C19" s="1560" t="s">
        <v>1</v>
      </c>
      <c r="D19" s="1560"/>
      <c r="E19" s="1560"/>
      <c r="F19" s="1560"/>
      <c r="G19" s="1560"/>
      <c r="H19" s="1560"/>
      <c r="I19" s="1560"/>
      <c r="J19" s="1560"/>
      <c r="K19" s="1560"/>
      <c r="L19" s="1560"/>
      <c r="M19" s="1560"/>
      <c r="N19" s="1557"/>
      <c r="O19" s="1557"/>
      <c r="P19" s="1557"/>
      <c r="Q19" s="1557"/>
      <c r="R19" s="1557"/>
    </row>
    <row r="20" spans="1:18" x14ac:dyDescent="0.2">
      <c r="A20" s="1557"/>
      <c r="B20" s="1557"/>
      <c r="C20" s="1557"/>
      <c r="D20" s="1557"/>
      <c r="E20" s="1557"/>
      <c r="F20" s="1557"/>
      <c r="G20" s="1557"/>
      <c r="H20" s="1557"/>
      <c r="I20" s="1557"/>
      <c r="J20" s="1557"/>
      <c r="K20" s="1557"/>
      <c r="L20" s="1557"/>
      <c r="M20" s="1557"/>
      <c r="N20" s="1557"/>
      <c r="O20" s="1557"/>
      <c r="P20" s="1557"/>
      <c r="Q20" s="1557"/>
      <c r="R20" s="1557"/>
    </row>
    <row r="21" spans="1:18" ht="24" x14ac:dyDescent="0.3">
      <c r="A21" s="1557"/>
      <c r="B21" s="1557"/>
      <c r="C21" s="1562" t="s">
        <v>2</v>
      </c>
      <c r="D21" s="1562"/>
      <c r="E21" s="1562"/>
      <c r="F21" s="1562"/>
      <c r="G21" s="1557"/>
      <c r="H21" s="1557"/>
      <c r="I21" s="1557"/>
      <c r="J21" s="1557"/>
      <c r="K21" s="1557"/>
      <c r="L21" s="1557"/>
      <c r="M21" s="1557"/>
    </row>
    <row r="22" spans="1:18" x14ac:dyDescent="0.2">
      <c r="A22" s="1557"/>
      <c r="B22" s="1557"/>
      <c r="C22" s="1557"/>
      <c r="D22" s="1557"/>
      <c r="E22" s="1557"/>
      <c r="F22" s="1557"/>
      <c r="G22" s="1557"/>
      <c r="H22" s="1557"/>
      <c r="I22" s="1557"/>
      <c r="J22" s="1557"/>
      <c r="K22" s="1557"/>
      <c r="L22" s="1557"/>
      <c r="M22" s="1557"/>
    </row>
    <row r="23" spans="1:18" ht="22" x14ac:dyDescent="0.3">
      <c r="A23" s="1557"/>
      <c r="B23" s="1557"/>
      <c r="C23" s="1561" t="s">
        <v>3</v>
      </c>
      <c r="D23" s="1561"/>
      <c r="E23" s="1561"/>
      <c r="F23" s="1561"/>
      <c r="G23" s="1557"/>
      <c r="H23" s="1557"/>
      <c r="I23" s="1557"/>
      <c r="J23" s="1557"/>
      <c r="K23" s="1557"/>
      <c r="L23" s="1557"/>
      <c r="M23" s="1557"/>
    </row>
    <row r="24" spans="1:18" ht="22" x14ac:dyDescent="0.3">
      <c r="A24" s="1557"/>
      <c r="B24" s="1557"/>
      <c r="C24" s="1561" t="s">
        <v>4</v>
      </c>
      <c r="D24" s="1561"/>
      <c r="E24" s="1561"/>
      <c r="F24" s="1557"/>
      <c r="G24" s="1557"/>
      <c r="H24" s="1557"/>
      <c r="I24" s="1557"/>
      <c r="J24" s="1557"/>
      <c r="K24" s="1557"/>
      <c r="L24" s="1557"/>
      <c r="M24" s="1557"/>
    </row>
    <row r="25" spans="1:18" ht="22" x14ac:dyDescent="0.3">
      <c r="A25" s="1557"/>
      <c r="B25" s="1557"/>
      <c r="C25" s="1561" t="s">
        <v>5</v>
      </c>
      <c r="D25" s="1561"/>
      <c r="E25" s="1561"/>
      <c r="F25" s="1561"/>
      <c r="G25" s="1557"/>
      <c r="H25" s="1557"/>
      <c r="I25" s="1557"/>
      <c r="J25" s="1557"/>
      <c r="K25" s="1557"/>
      <c r="L25" s="1557"/>
      <c r="M25" s="1557"/>
    </row>
    <row r="26" spans="1:18" ht="22" x14ac:dyDescent="0.3">
      <c r="A26" s="1557"/>
      <c r="B26" s="1557"/>
      <c r="C26" s="1561" t="s">
        <v>6</v>
      </c>
      <c r="D26" s="1561"/>
      <c r="E26" s="1557"/>
      <c r="F26" s="1557"/>
      <c r="G26" s="1557"/>
      <c r="H26" s="1557"/>
      <c r="I26" s="1557"/>
      <c r="J26" s="1557"/>
      <c r="K26" s="1557"/>
      <c r="L26" s="1557"/>
      <c r="M26" s="1557"/>
    </row>
    <row r="27" spans="1:18" ht="22" x14ac:dyDescent="0.3">
      <c r="A27" s="1557"/>
      <c r="B27" s="1557"/>
      <c r="C27" s="1561" t="s">
        <v>7</v>
      </c>
      <c r="D27" s="1561"/>
      <c r="E27" s="1557"/>
      <c r="F27" s="1557"/>
      <c r="G27" s="1557"/>
      <c r="H27" s="1557"/>
      <c r="I27" s="1557"/>
      <c r="J27" s="1557"/>
      <c r="K27" s="1557"/>
      <c r="L27" s="1557"/>
      <c r="M27" s="1557"/>
    </row>
    <row r="28" spans="1:18" ht="22" x14ac:dyDescent="0.3">
      <c r="A28" s="1557"/>
      <c r="B28" s="1557"/>
      <c r="C28" s="1561" t="s">
        <v>8</v>
      </c>
      <c r="D28" s="1561"/>
      <c r="E28" s="1561"/>
      <c r="F28" s="1561"/>
      <c r="G28" s="1557"/>
      <c r="H28" s="1557"/>
      <c r="I28" s="1557"/>
      <c r="J28" s="1557"/>
      <c r="K28" s="1557"/>
      <c r="L28" s="1557"/>
      <c r="M28" s="1557"/>
    </row>
    <row r="29" spans="1:18" ht="22" x14ac:dyDescent="0.3">
      <c r="A29" s="1557"/>
      <c r="B29" s="1557"/>
      <c r="C29" s="1561" t="s">
        <v>9</v>
      </c>
      <c r="D29" s="1561"/>
      <c r="E29" s="1561"/>
      <c r="F29" s="1561"/>
      <c r="G29" s="1557"/>
      <c r="H29" s="1557"/>
      <c r="I29" s="1557"/>
      <c r="J29" s="1557"/>
      <c r="K29" s="1557"/>
      <c r="L29" s="1557"/>
      <c r="M29" s="1557"/>
    </row>
    <row r="30" spans="1:18" ht="22" x14ac:dyDescent="0.3">
      <c r="A30" s="1557"/>
      <c r="B30" s="1557"/>
      <c r="C30" s="1561" t="s">
        <v>10</v>
      </c>
      <c r="D30" s="1561"/>
      <c r="E30" s="1561"/>
      <c r="F30" s="1561"/>
      <c r="G30" s="1561"/>
      <c r="H30" s="1557"/>
      <c r="I30" s="1557"/>
      <c r="J30" s="1557"/>
      <c r="K30" s="1557"/>
      <c r="L30" s="1557"/>
      <c r="M30" s="1557"/>
    </row>
    <row r="31" spans="1:18" ht="22" x14ac:dyDescent="0.3">
      <c r="A31" s="1557"/>
      <c r="B31" s="1557"/>
      <c r="C31" s="1561" t="s">
        <v>11</v>
      </c>
      <c r="D31" s="1561"/>
      <c r="E31" s="1561"/>
      <c r="F31" s="1561"/>
      <c r="G31" s="1557"/>
      <c r="H31" s="1557"/>
      <c r="I31" s="1557"/>
      <c r="J31" s="1557"/>
      <c r="K31" s="1557"/>
      <c r="L31" s="1557"/>
      <c r="M31" s="1557"/>
      <c r="N31" s="1557"/>
      <c r="O31" s="1557"/>
      <c r="P31" s="1557"/>
      <c r="Q31" s="1557"/>
      <c r="R31" s="1557"/>
    </row>
    <row r="32" spans="1:18" ht="22" x14ac:dyDescent="0.3">
      <c r="A32" s="1557"/>
      <c r="B32" s="1557"/>
      <c r="C32" s="1561" t="s">
        <v>12</v>
      </c>
      <c r="D32" s="1561"/>
      <c r="E32" s="1561"/>
      <c r="F32" s="1561"/>
      <c r="G32" s="1557"/>
      <c r="H32" s="1557"/>
      <c r="I32" s="1557"/>
      <c r="J32" s="1557"/>
      <c r="K32" s="1557"/>
      <c r="L32" s="1557"/>
      <c r="M32" s="1557"/>
      <c r="N32" s="1557"/>
      <c r="O32" s="1557"/>
      <c r="P32" s="1557"/>
      <c r="Q32" s="1557"/>
      <c r="R32" s="1557"/>
    </row>
    <row r="33" spans="1:18" ht="22" x14ac:dyDescent="0.3">
      <c r="A33" s="1557"/>
      <c r="B33" s="1557"/>
      <c r="C33" s="1561"/>
      <c r="D33" s="1557"/>
      <c r="E33" s="1557"/>
      <c r="F33" s="1557"/>
      <c r="G33" s="1557"/>
      <c r="H33" s="1557"/>
      <c r="I33" s="1557"/>
      <c r="J33" s="1557"/>
      <c r="K33" s="1557"/>
      <c r="L33" s="1557"/>
      <c r="M33" s="1557"/>
      <c r="N33" s="1557"/>
      <c r="O33" s="1557"/>
      <c r="P33" s="1557"/>
      <c r="Q33" s="1557"/>
      <c r="R33" s="1557"/>
    </row>
    <row r="34" spans="1:18" ht="24" x14ac:dyDescent="0.3">
      <c r="A34" s="1557"/>
      <c r="B34" s="1557"/>
      <c r="C34" s="1562" t="s">
        <v>13</v>
      </c>
      <c r="D34" s="1562"/>
      <c r="E34" s="1562"/>
      <c r="F34" s="1563" t="s">
        <v>14</v>
      </c>
      <c r="G34" s="1557"/>
      <c r="H34" s="1557"/>
      <c r="I34" s="1557"/>
      <c r="J34" s="1557"/>
      <c r="K34" s="1557"/>
      <c r="L34" s="1557"/>
      <c r="M34" s="1557"/>
      <c r="N34" s="1557"/>
      <c r="O34" s="1557"/>
      <c r="P34" s="1557"/>
      <c r="Q34" s="1557"/>
      <c r="R34" s="1557"/>
    </row>
    <row r="35" spans="1:18" ht="22" x14ac:dyDescent="0.3">
      <c r="A35" s="1557"/>
      <c r="B35" s="1557"/>
      <c r="C35" s="1561"/>
      <c r="D35" s="1557"/>
      <c r="E35" s="1557"/>
      <c r="F35" s="1557"/>
      <c r="G35" s="1557"/>
      <c r="H35" s="1557"/>
      <c r="I35" s="1557"/>
      <c r="J35" s="1557"/>
      <c r="K35" s="1557"/>
      <c r="L35" s="1557"/>
      <c r="M35" s="1557"/>
      <c r="N35" s="1557"/>
      <c r="O35" s="1557"/>
      <c r="P35" s="1557"/>
      <c r="Q35" s="1557"/>
      <c r="R35" s="1557"/>
    </row>
    <row r="36" spans="1:18" ht="22" x14ac:dyDescent="0.3">
      <c r="A36" s="1557"/>
      <c r="B36" s="1557"/>
      <c r="C36" s="1561" t="s">
        <v>15</v>
      </c>
      <c r="D36" s="1561"/>
      <c r="E36" s="1561"/>
      <c r="F36" s="1557"/>
      <c r="G36" s="1557"/>
      <c r="H36" s="1557"/>
      <c r="I36" s="1557"/>
      <c r="J36" s="1557"/>
      <c r="K36" s="1557"/>
      <c r="L36" s="1557"/>
      <c r="M36" s="1557"/>
      <c r="N36" s="1557"/>
      <c r="O36" s="1557"/>
      <c r="P36" s="1557"/>
      <c r="Q36" s="1557"/>
      <c r="R36" s="1557"/>
    </row>
    <row r="37" spans="1:18" ht="22" x14ac:dyDescent="0.3">
      <c r="A37" s="1557"/>
      <c r="B37" s="1557"/>
      <c r="C37" s="1561" t="s">
        <v>16</v>
      </c>
      <c r="D37" s="1561"/>
      <c r="E37" s="1557"/>
      <c r="F37" s="1557"/>
      <c r="G37" s="1557"/>
      <c r="H37" s="1557"/>
      <c r="I37" s="1557"/>
      <c r="J37" s="1557"/>
      <c r="K37" s="1557"/>
      <c r="L37" s="1557"/>
      <c r="M37" s="1557"/>
      <c r="N37" s="1557"/>
      <c r="O37" s="1557"/>
      <c r="P37" s="1557"/>
      <c r="Q37" s="1557"/>
      <c r="R37" s="1557"/>
    </row>
    <row r="38" spans="1:18" ht="22" x14ac:dyDescent="0.3">
      <c r="A38" s="1557"/>
      <c r="B38" s="1557"/>
      <c r="C38" s="1561" t="s">
        <v>17</v>
      </c>
      <c r="D38" s="1561"/>
      <c r="E38" s="1557"/>
      <c r="F38" s="1557"/>
      <c r="G38" s="1557"/>
      <c r="H38" s="1557"/>
      <c r="I38" s="1557"/>
      <c r="J38" s="1557"/>
      <c r="K38" s="1557"/>
      <c r="L38" s="1557"/>
      <c r="M38" s="1557"/>
      <c r="N38" s="1557"/>
      <c r="O38" s="1557"/>
      <c r="P38" s="1557"/>
      <c r="Q38" s="1557"/>
      <c r="R38" s="1557"/>
    </row>
    <row r="39" spans="1:18" ht="22" x14ac:dyDescent="0.3">
      <c r="A39" s="1557"/>
      <c r="B39" s="1557"/>
      <c r="C39" s="1561" t="s">
        <v>18</v>
      </c>
      <c r="D39" s="1561"/>
      <c r="E39" s="1561"/>
      <c r="F39" s="1561"/>
      <c r="G39" s="1557"/>
      <c r="H39" s="1557"/>
      <c r="I39" s="1557"/>
      <c r="J39" s="1557"/>
      <c r="K39" s="1557"/>
      <c r="L39" s="1557"/>
      <c r="M39" s="1557"/>
      <c r="N39" s="1557"/>
      <c r="O39" s="1557"/>
      <c r="P39" s="1557"/>
      <c r="Q39" s="1557"/>
      <c r="R39" s="1557"/>
    </row>
    <row r="40" spans="1:18" ht="22" x14ac:dyDescent="0.3">
      <c r="A40" s="1557"/>
      <c r="B40" s="1557"/>
      <c r="C40" s="1561" t="s">
        <v>19</v>
      </c>
      <c r="D40" s="1557"/>
      <c r="E40" s="1557"/>
      <c r="F40" s="1557"/>
      <c r="G40" s="1557"/>
      <c r="H40" s="1557"/>
      <c r="I40" s="1557"/>
      <c r="J40" s="1557"/>
      <c r="K40" s="1557"/>
      <c r="L40" s="1557"/>
      <c r="M40" s="1557"/>
      <c r="N40" s="1557"/>
      <c r="O40" s="1557"/>
      <c r="P40" s="1557"/>
      <c r="Q40" s="1557"/>
      <c r="R40" s="1557"/>
    </row>
    <row r="41" spans="1:18" x14ac:dyDescent="0.2">
      <c r="A41" s="1557"/>
      <c r="B41" s="1557"/>
      <c r="C41" s="1557"/>
      <c r="D41" s="1557"/>
      <c r="E41" s="1557"/>
      <c r="F41" s="1557"/>
      <c r="G41" s="1557"/>
      <c r="H41" s="1557"/>
      <c r="I41" s="1557"/>
      <c r="J41" s="1557"/>
      <c r="K41" s="1557"/>
      <c r="L41" s="1557"/>
      <c r="M41" s="1557"/>
      <c r="N41" s="1557"/>
      <c r="O41" s="1557"/>
      <c r="P41" s="1557"/>
      <c r="Q41" s="1557"/>
      <c r="R41" s="1557"/>
    </row>
    <row r="42" spans="1:18" ht="22" x14ac:dyDescent="0.3">
      <c r="A42" s="1557"/>
      <c r="B42" s="1557"/>
      <c r="C42" s="1561" t="s">
        <v>20</v>
      </c>
      <c r="D42" s="1561"/>
      <c r="E42" s="1561"/>
      <c r="F42" s="1557"/>
      <c r="G42" s="1557"/>
      <c r="H42" s="1557"/>
      <c r="I42" s="1557"/>
      <c r="J42" s="1557"/>
      <c r="K42" s="1557"/>
      <c r="L42" s="1557"/>
      <c r="M42" s="1557"/>
      <c r="N42" s="1557"/>
      <c r="O42" s="1557"/>
      <c r="P42" s="1557"/>
      <c r="Q42" s="1557"/>
      <c r="R42" s="1557"/>
    </row>
    <row r="208" spans="43:43" x14ac:dyDescent="0.2">
      <c r="AQ208" t="s">
        <v>21</v>
      </c>
    </row>
  </sheetData>
  <mergeCells count="1">
    <mergeCell ref="B4:R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66B8-4B47-49B2-A3E2-8EC03B749088}">
  <dimension ref="B3:Q70"/>
  <sheetViews>
    <sheetView showGridLines="0" zoomScale="85" zoomScaleNormal="85" workbookViewId="0">
      <selection activeCell="G31" sqref="G31"/>
    </sheetView>
  </sheetViews>
  <sheetFormatPr baseColWidth="10" defaultColWidth="8.83203125" defaultRowHeight="15" x14ac:dyDescent="0.2"/>
  <cols>
    <col min="2" max="2" width="21" customWidth="1"/>
    <col min="3" max="3" width="10.5" customWidth="1"/>
    <col min="5" max="5" width="29.5" bestFit="1" customWidth="1"/>
    <col min="6" max="6" width="16.6640625" bestFit="1" customWidth="1"/>
    <col min="7" max="7" width="13.1640625" bestFit="1" customWidth="1"/>
    <col min="8" max="8" width="22.83203125" bestFit="1" customWidth="1"/>
    <col min="11" max="11" width="10.6640625" bestFit="1" customWidth="1"/>
    <col min="12" max="15" width="10.33203125" bestFit="1" customWidth="1"/>
    <col min="17" max="17" width="9.1640625" bestFit="1" customWidth="1"/>
  </cols>
  <sheetData>
    <row r="3" spans="2:10" x14ac:dyDescent="0.2">
      <c r="B3" s="781" t="s">
        <v>22</v>
      </c>
      <c r="C3" s="782"/>
      <c r="D3" s="782"/>
      <c r="E3" s="782"/>
    </row>
    <row r="4" spans="2:10" x14ac:dyDescent="0.2">
      <c r="B4" s="782"/>
      <c r="C4" s="782"/>
      <c r="D4" s="782"/>
      <c r="E4" s="782"/>
    </row>
    <row r="5" spans="2:10" x14ac:dyDescent="0.2">
      <c r="B5" s="783" t="s">
        <v>23</v>
      </c>
      <c r="C5" s="784"/>
      <c r="D5" s="784"/>
      <c r="E5" s="785">
        <f>'Consolidated IS Build'!BG27</f>
        <v>267.87400220119025</v>
      </c>
      <c r="H5" s="806" t="s">
        <v>24</v>
      </c>
      <c r="I5" s="807"/>
      <c r="J5" s="808">
        <v>34</v>
      </c>
    </row>
    <row r="6" spans="2:10" x14ac:dyDescent="0.2">
      <c r="B6" s="786" t="s">
        <v>25</v>
      </c>
      <c r="C6" s="787"/>
      <c r="D6" s="787"/>
      <c r="E6" s="788">
        <f>E7/E5</f>
        <v>10.148877373916058</v>
      </c>
      <c r="H6" s="809" t="s">
        <v>26</v>
      </c>
      <c r="J6" s="810">
        <v>50.97</v>
      </c>
    </row>
    <row r="7" spans="2:10" x14ac:dyDescent="0.2">
      <c r="B7" s="789" t="s">
        <v>27</v>
      </c>
      <c r="E7" s="790">
        <f>E10-E9-E8</f>
        <v>2718.6203999999998</v>
      </c>
      <c r="H7" s="811" t="s">
        <v>28</v>
      </c>
      <c r="I7" s="804"/>
      <c r="J7" s="1564">
        <v>0.33</v>
      </c>
    </row>
    <row r="8" spans="2:10" x14ac:dyDescent="0.2">
      <c r="B8" s="789" t="s">
        <v>29</v>
      </c>
      <c r="E8" s="791">
        <f>-'Balance Sheet Link'!AV42</f>
        <v>-470.04700000000003</v>
      </c>
      <c r="H8" s="813" t="s">
        <v>30</v>
      </c>
      <c r="I8" s="814"/>
      <c r="J8" s="815">
        <f>J5*(1+J7)</f>
        <v>45.22</v>
      </c>
    </row>
    <row r="9" spans="2:10" x14ac:dyDescent="0.2">
      <c r="B9" s="786" t="s">
        <v>31</v>
      </c>
      <c r="C9" s="787"/>
      <c r="D9" s="787"/>
      <c r="E9" s="792">
        <f>'Balance Sheet Link'!AV9</f>
        <v>56.29</v>
      </c>
    </row>
    <row r="10" spans="2:10" x14ac:dyDescent="0.2">
      <c r="B10" s="789" t="s">
        <v>32</v>
      </c>
      <c r="E10" s="790">
        <f>J8*J6</f>
        <v>2304.8633999999997</v>
      </c>
    </row>
    <row r="11" spans="2:10" x14ac:dyDescent="0.2">
      <c r="B11" s="786" t="s">
        <v>33</v>
      </c>
      <c r="C11" s="787"/>
      <c r="D11" s="787"/>
      <c r="E11" s="891">
        <f>0.05*E7</f>
        <v>135.93101999999999</v>
      </c>
    </row>
    <row r="16" spans="2:10" x14ac:dyDescent="0.2">
      <c r="B16" s="1494" t="s">
        <v>34</v>
      </c>
      <c r="C16" s="793"/>
      <c r="D16" s="794"/>
      <c r="E16" s="1495" t="s">
        <v>35</v>
      </c>
      <c r="F16" s="1495" t="s">
        <v>36</v>
      </c>
      <c r="G16" s="1495" t="s">
        <v>37</v>
      </c>
      <c r="H16" s="1496" t="s">
        <v>38</v>
      </c>
    </row>
    <row r="17" spans="2:17" x14ac:dyDescent="0.2">
      <c r="B17" s="789" t="s">
        <v>39</v>
      </c>
      <c r="E17" s="795">
        <v>100</v>
      </c>
      <c r="F17" s="796">
        <v>1.7500000000000002E-2</v>
      </c>
      <c r="G17" s="797">
        <f>E17/$E$5</f>
        <v>0.37330983663317091</v>
      </c>
      <c r="H17" s="798">
        <f>E17/$E$23</f>
        <v>3.4354327691269421E-2</v>
      </c>
      <c r="K17" s="805"/>
    </row>
    <row r="18" spans="2:17" x14ac:dyDescent="0.2">
      <c r="B18" s="789" t="s">
        <v>40</v>
      </c>
      <c r="E18" s="795">
        <f>2.7*E5</f>
        <v>723.25980594321368</v>
      </c>
      <c r="F18" s="796">
        <f>0.0532+0.0175</f>
        <v>7.0699999999999999E-2</v>
      </c>
      <c r="G18" s="797">
        <f t="shared" ref="G18:G23" si="0">E18/$E$5</f>
        <v>2.7</v>
      </c>
      <c r="H18" s="798">
        <f t="shared" ref="H18:H23" si="1">E18/$E$23</f>
        <v>0.24847104379297094</v>
      </c>
      <c r="J18" t="s">
        <v>41</v>
      </c>
    </row>
    <row r="19" spans="2:17" x14ac:dyDescent="0.2">
      <c r="B19" s="789" t="s">
        <v>42</v>
      </c>
      <c r="E19" s="795">
        <f>0.51*E23-(E17+E18)</f>
        <v>661.26931825678616</v>
      </c>
      <c r="F19" s="796">
        <v>7.4999999999999997E-2</v>
      </c>
      <c r="G19" s="797">
        <f t="shared" si="0"/>
        <v>2.4685834116896914</v>
      </c>
      <c r="H19" s="798">
        <f t="shared" si="1"/>
        <v>0.22717462851575962</v>
      </c>
      <c r="J19" t="s">
        <v>43</v>
      </c>
    </row>
    <row r="20" spans="2:17" x14ac:dyDescent="0.2">
      <c r="B20" s="789" t="s">
        <v>44</v>
      </c>
      <c r="E20" s="795">
        <f>E9</f>
        <v>56.29</v>
      </c>
      <c r="G20" s="797">
        <f t="shared" si="0"/>
        <v>0.2101361070408119</v>
      </c>
      <c r="H20" s="798">
        <f t="shared" si="1"/>
        <v>1.9338051057415557E-2</v>
      </c>
    </row>
    <row r="21" spans="2:17" x14ac:dyDescent="0.2">
      <c r="B21" s="789" t="s">
        <v>45</v>
      </c>
      <c r="E21" s="795">
        <f>0.05*E10</f>
        <v>115.24316999999999</v>
      </c>
      <c r="G21" s="797">
        <f t="shared" si="0"/>
        <v>0.43021408965788743</v>
      </c>
      <c r="H21" s="798">
        <f t="shared" si="1"/>
        <v>3.9591016263606692E-2</v>
      </c>
      <c r="J21" t="s">
        <v>46</v>
      </c>
    </row>
    <row r="22" spans="2:17" x14ac:dyDescent="0.2">
      <c r="B22" s="789" t="s">
        <v>47</v>
      </c>
      <c r="E22" s="795">
        <f>E23-SUM(E17:E21)</f>
        <v>1254.7791258</v>
      </c>
      <c r="G22" s="797">
        <f t="shared" si="0"/>
        <v>4.6842139046311102</v>
      </c>
      <c r="H22" s="798">
        <f t="shared" si="1"/>
        <v>0.43107093267897778</v>
      </c>
      <c r="Q22" s="795"/>
    </row>
    <row r="23" spans="2:17" x14ac:dyDescent="0.2">
      <c r="B23" s="1497" t="s">
        <v>48</v>
      </c>
      <c r="C23" s="852"/>
      <c r="D23" s="852"/>
      <c r="E23" s="853">
        <f>E29</f>
        <v>2910.8414199999997</v>
      </c>
      <c r="F23" s="852"/>
      <c r="G23" s="854">
        <f t="shared" si="0"/>
        <v>10.866457349652672</v>
      </c>
      <c r="H23" s="855">
        <f t="shared" si="1"/>
        <v>1</v>
      </c>
    </row>
    <row r="24" spans="2:17" x14ac:dyDescent="0.2">
      <c r="B24" s="789"/>
      <c r="H24" s="799"/>
    </row>
    <row r="25" spans="2:17" x14ac:dyDescent="0.2">
      <c r="B25" s="1498" t="s">
        <v>49</v>
      </c>
      <c r="C25" s="800"/>
      <c r="D25" s="800"/>
      <c r="E25" s="801"/>
      <c r="F25" s="800"/>
      <c r="G25" s="802"/>
      <c r="H25" s="803"/>
    </row>
    <row r="26" spans="2:17" x14ac:dyDescent="0.2">
      <c r="B26" s="806" t="s">
        <v>50</v>
      </c>
      <c r="C26" s="807"/>
      <c r="D26" s="807"/>
      <c r="E26" s="856">
        <f>-E8</f>
        <v>470.04700000000003</v>
      </c>
      <c r="F26" s="807"/>
      <c r="G26" s="857">
        <f>E26/$E$5</f>
        <v>1.754731687799121</v>
      </c>
      <c r="H26" s="858">
        <f>E26/$E$23</f>
        <v>0.16148148668298121</v>
      </c>
    </row>
    <row r="27" spans="2:17" x14ac:dyDescent="0.2">
      <c r="B27" s="809" t="s">
        <v>51</v>
      </c>
      <c r="E27" s="795">
        <f>E10</f>
        <v>2304.8633999999997</v>
      </c>
      <c r="G27" s="797">
        <f t="shared" ref="G27:G29" si="2">E27/$E$5</f>
        <v>8.6042817931577478</v>
      </c>
      <c r="H27" s="812">
        <f t="shared" ref="H27:H28" si="3">E27/$E$23</f>
        <v>0.79182032527213386</v>
      </c>
    </row>
    <row r="28" spans="2:17" x14ac:dyDescent="0.2">
      <c r="B28" s="809" t="s">
        <v>52</v>
      </c>
      <c r="E28" s="795">
        <f>E11</f>
        <v>135.93101999999999</v>
      </c>
      <c r="G28" s="797">
        <f t="shared" si="2"/>
        <v>0.50744386869580282</v>
      </c>
      <c r="H28" s="812">
        <f t="shared" si="3"/>
        <v>4.6698188044884972E-2</v>
      </c>
    </row>
    <row r="29" spans="2:17" x14ac:dyDescent="0.2">
      <c r="B29" s="1497" t="s">
        <v>48</v>
      </c>
      <c r="C29" s="852"/>
      <c r="D29" s="852"/>
      <c r="E29" s="853">
        <f>SUM(E26:E28)</f>
        <v>2910.8414199999997</v>
      </c>
      <c r="F29" s="852"/>
      <c r="G29" s="854">
        <f t="shared" si="2"/>
        <v>10.866457349652672</v>
      </c>
      <c r="H29" s="855">
        <f>E29/$E$23</f>
        <v>1</v>
      </c>
    </row>
    <row r="30" spans="2:17" x14ac:dyDescent="0.2">
      <c r="H30" s="851"/>
    </row>
    <row r="31" spans="2:17" x14ac:dyDescent="0.2">
      <c r="H31" s="851"/>
    </row>
    <row r="32" spans="2:17" x14ac:dyDescent="0.2">
      <c r="B32" s="979" t="s">
        <v>53</v>
      </c>
      <c r="C32" s="980"/>
      <c r="E32" s="876" t="s">
        <v>54</v>
      </c>
    </row>
    <row r="33" spans="2:8" x14ac:dyDescent="0.2">
      <c r="B33" s="789" t="s">
        <v>55</v>
      </c>
      <c r="C33" s="1456">
        <f>LBO!N40</f>
        <v>616.0962822473731</v>
      </c>
    </row>
    <row r="34" spans="2:8" x14ac:dyDescent="0.2">
      <c r="B34" s="789" t="s">
        <v>56</v>
      </c>
      <c r="C34" s="982">
        <f>E6</f>
        <v>10.148877373916058</v>
      </c>
      <c r="E34" s="979" t="s">
        <v>57</v>
      </c>
      <c r="F34" s="1194" t="s">
        <v>58</v>
      </c>
      <c r="G34" s="1194" t="s">
        <v>59</v>
      </c>
      <c r="H34" s="1195" t="s">
        <v>60</v>
      </c>
    </row>
    <row r="35" spans="2:8" x14ac:dyDescent="0.2">
      <c r="B35" s="789" t="s">
        <v>61</v>
      </c>
      <c r="C35" s="983">
        <v>8.1999999999999993</v>
      </c>
      <c r="E35" s="789" t="s">
        <v>62</v>
      </c>
      <c r="F35" s="888"/>
      <c r="G35" s="888"/>
      <c r="H35" s="1196">
        <f>E21+E22</f>
        <v>1370.0222957999999</v>
      </c>
    </row>
    <row r="36" spans="2:8" x14ac:dyDescent="0.2">
      <c r="B36" s="789" t="s">
        <v>27</v>
      </c>
      <c r="C36" s="1457">
        <f>C33*C35</f>
        <v>5051.9895144284592</v>
      </c>
      <c r="E36" s="789" t="s">
        <v>63</v>
      </c>
      <c r="F36" s="1197">
        <f>E5</f>
        <v>267.87400220119025</v>
      </c>
      <c r="G36" s="1197">
        <f>C33</f>
        <v>616.0962822473731</v>
      </c>
      <c r="H36" s="1196">
        <f>H44*F45</f>
        <v>3534.0652190541664</v>
      </c>
    </row>
    <row r="37" spans="2:8" x14ac:dyDescent="0.2">
      <c r="B37" s="789" t="s">
        <v>64</v>
      </c>
      <c r="C37" s="981">
        <f>LBO!N42</f>
        <v>799.1479699909986</v>
      </c>
      <c r="E37" s="789" t="s">
        <v>65</v>
      </c>
      <c r="F37" s="1198">
        <f>C34</f>
        <v>10.148877373916058</v>
      </c>
      <c r="G37" s="1198">
        <f>C35</f>
        <v>8.1999999999999993</v>
      </c>
      <c r="H37" s="1196">
        <f>G44*H45</f>
        <v>-1200.6961046257072</v>
      </c>
    </row>
    <row r="38" spans="2:8" x14ac:dyDescent="0.2">
      <c r="B38" s="786" t="s">
        <v>66</v>
      </c>
      <c r="C38" s="985">
        <f>'Valuation and Cash Flow'!H31</f>
        <v>0</v>
      </c>
      <c r="E38" s="789" t="s">
        <v>67</v>
      </c>
      <c r="F38" s="877">
        <f>E11</f>
        <v>135.93101999999999</v>
      </c>
      <c r="G38" s="888"/>
      <c r="H38" s="1196">
        <f>-F38</f>
        <v>-135.93101999999999</v>
      </c>
    </row>
    <row r="39" spans="2:8" x14ac:dyDescent="0.2">
      <c r="B39" s="789" t="s">
        <v>68</v>
      </c>
      <c r="C39" s="1457">
        <f>C36-C37+C38</f>
        <v>4252.8415444374605</v>
      </c>
      <c r="E39" s="789" t="s">
        <v>69</v>
      </c>
      <c r="F39" s="877">
        <f>SUM(E17:E19)</f>
        <v>1484.5291241999998</v>
      </c>
      <c r="G39" s="888">
        <f>LBO!N43</f>
        <v>799.1479699909986</v>
      </c>
      <c r="H39" s="1196">
        <f>H40-SUM(H36:H38)</f>
        <v>685.38115420900112</v>
      </c>
    </row>
    <row r="40" spans="2:8" x14ac:dyDescent="0.2">
      <c r="B40" s="789"/>
      <c r="C40" s="984"/>
      <c r="E40" s="1199" t="s">
        <v>70</v>
      </c>
      <c r="F40" s="1200">
        <f>C41</f>
        <v>1370.0222957999999</v>
      </c>
      <c r="G40" s="1200">
        <f>C39</f>
        <v>4252.8415444374605</v>
      </c>
      <c r="H40" s="1201">
        <f>G40-F40</f>
        <v>2882.8192486374605</v>
      </c>
    </row>
    <row r="41" spans="2:8" x14ac:dyDescent="0.2">
      <c r="B41" s="789" t="s">
        <v>71</v>
      </c>
      <c r="C41" s="1137">
        <f>E21+E22</f>
        <v>1370.0222957999999</v>
      </c>
      <c r="F41" s="888"/>
      <c r="G41" s="782"/>
      <c r="H41" s="1197"/>
    </row>
    <row r="42" spans="2:8" x14ac:dyDescent="0.2">
      <c r="B42" s="789" t="s">
        <v>72</v>
      </c>
      <c r="C42" s="986">
        <f>C39/C41</f>
        <v>3.1042133821290041</v>
      </c>
    </row>
    <row r="43" spans="2:8" x14ac:dyDescent="0.2">
      <c r="B43" s="789" t="s">
        <v>73</v>
      </c>
      <c r="C43" s="987">
        <v>5</v>
      </c>
      <c r="E43" s="783"/>
      <c r="F43" s="1202" t="s">
        <v>58</v>
      </c>
      <c r="G43" s="1202" t="s">
        <v>59</v>
      </c>
      <c r="H43" s="1203" t="s">
        <v>74</v>
      </c>
    </row>
    <row r="44" spans="2:8" x14ac:dyDescent="0.2">
      <c r="B44" s="789"/>
      <c r="C44" s="799"/>
      <c r="E44" s="789" t="s">
        <v>55</v>
      </c>
      <c r="F44" s="805">
        <f>E5</f>
        <v>267.87400220119025</v>
      </c>
      <c r="G44" s="888">
        <f>C33</f>
        <v>616.0962822473731</v>
      </c>
      <c r="H44" s="984">
        <f>G44-F44</f>
        <v>348.22228004618285</v>
      </c>
    </row>
    <row r="45" spans="2:8" x14ac:dyDescent="0.2">
      <c r="B45" s="786" t="s">
        <v>75</v>
      </c>
      <c r="C45" s="1438">
        <f>C42^(1/C43)-1</f>
        <v>0.254267916409324</v>
      </c>
      <c r="E45" s="786" t="s">
        <v>76</v>
      </c>
      <c r="F45" s="1204">
        <f>E6</f>
        <v>10.148877373916058</v>
      </c>
      <c r="G45" s="1204">
        <f>C35</f>
        <v>8.1999999999999993</v>
      </c>
      <c r="H45" s="1205">
        <f>G45-F45</f>
        <v>-1.9488773739160585</v>
      </c>
    </row>
    <row r="46" spans="2:8" x14ac:dyDescent="0.2">
      <c r="E46" s="782"/>
      <c r="F46" s="782"/>
      <c r="G46" s="782"/>
      <c r="H46" s="782"/>
    </row>
    <row r="47" spans="2:8" x14ac:dyDescent="0.2">
      <c r="E47" s="876" t="s">
        <v>77</v>
      </c>
      <c r="F47" s="782"/>
      <c r="G47" s="782"/>
      <c r="H47" s="782"/>
    </row>
    <row r="48" spans="2:8" x14ac:dyDescent="0.2">
      <c r="E48" s="782"/>
      <c r="F48" s="782"/>
      <c r="G48" s="782"/>
      <c r="H48" s="782"/>
    </row>
    <row r="49" spans="3:15" x14ac:dyDescent="0.2">
      <c r="E49" s="1439" t="s">
        <v>57</v>
      </c>
      <c r="F49" s="1440" t="s">
        <v>60</v>
      </c>
      <c r="G49" s="1441" t="s">
        <v>78</v>
      </c>
      <c r="H49" s="782"/>
    </row>
    <row r="50" spans="3:15" x14ac:dyDescent="0.2">
      <c r="E50" s="809" t="s">
        <v>63</v>
      </c>
      <c r="F50" s="1197">
        <f>H36</f>
        <v>3534.0652190541664</v>
      </c>
      <c r="G50" s="812">
        <f>F50/F54</f>
        <v>1.2259059324390564</v>
      </c>
      <c r="H50" s="782"/>
    </row>
    <row r="51" spans="3:15" x14ac:dyDescent="0.2">
      <c r="E51" s="809" t="s">
        <v>65</v>
      </c>
      <c r="F51" s="1197">
        <f>H37</f>
        <v>-1200.6961046257072</v>
      </c>
      <c r="G51" s="812">
        <f>F51/F54</f>
        <v>-0.41650065476467379</v>
      </c>
      <c r="H51" s="782"/>
    </row>
    <row r="52" spans="3:15" x14ac:dyDescent="0.2">
      <c r="E52" s="809" t="s">
        <v>69</v>
      </c>
      <c r="F52" s="1197">
        <f>H39</f>
        <v>685.38115420900112</v>
      </c>
      <c r="G52" s="812">
        <f>F52/F54</f>
        <v>0.23774683568279231</v>
      </c>
      <c r="H52" s="782"/>
    </row>
    <row r="53" spans="3:15" x14ac:dyDescent="0.2">
      <c r="E53" s="809" t="s">
        <v>67</v>
      </c>
      <c r="F53" s="1197">
        <f>-F38</f>
        <v>-135.93101999999999</v>
      </c>
      <c r="G53" s="812">
        <f>F53/F54</f>
        <v>-4.7152113357175132E-2</v>
      </c>
      <c r="H53" s="782"/>
    </row>
    <row r="54" spans="3:15" x14ac:dyDescent="0.2">
      <c r="E54" s="1442" t="s">
        <v>79</v>
      </c>
      <c r="F54" s="1443">
        <f>F50+F51+F52+F53</f>
        <v>2882.8192486374605</v>
      </c>
      <c r="G54" s="855">
        <f>G50+G51+G52+G53</f>
        <v>0.99999999999999967</v>
      </c>
      <c r="J54" s="1567" t="s">
        <v>80</v>
      </c>
      <c r="K54" s="1567"/>
      <c r="L54" s="1567"/>
      <c r="M54" s="1567"/>
      <c r="N54" s="1567"/>
      <c r="O54" s="1567"/>
    </row>
    <row r="55" spans="3:15" ht="16" thickBot="1" x14ac:dyDescent="0.25"/>
    <row r="56" spans="3:15" ht="16" thickBot="1" x14ac:dyDescent="0.25">
      <c r="J56" s="1491">
        <f>C45</f>
        <v>0.254267916409324</v>
      </c>
      <c r="K56" s="1482">
        <v>7.8</v>
      </c>
      <c r="L56" s="1482">
        <v>8</v>
      </c>
      <c r="M56" s="1482">
        <v>8.1999999999999993</v>
      </c>
      <c r="N56" s="1482">
        <v>8.4</v>
      </c>
      <c r="O56" s="1483">
        <v>8.6</v>
      </c>
    </row>
    <row r="57" spans="3:15" x14ac:dyDescent="0.2">
      <c r="I57" s="1566" t="s">
        <v>28</v>
      </c>
      <c r="J57" s="1480">
        <v>0.25</v>
      </c>
      <c r="K57" s="1484">
        <f t="dataTable" ref="K57:O63" dt2D="1" dtr="1" r1="C35" r2="J7"/>
        <v>0.25849235831628836</v>
      </c>
      <c r="L57" s="1485">
        <v>0.2659678605289173</v>
      </c>
      <c r="M57" s="1486">
        <v>0.27327085226238346</v>
      </c>
      <c r="N57" s="1485">
        <v>0.28041004028288974</v>
      </c>
      <c r="O57" s="1487">
        <v>0.28739346638006991</v>
      </c>
    </row>
    <row r="58" spans="3:15" x14ac:dyDescent="0.2">
      <c r="I58" s="1566"/>
      <c r="J58" s="1480">
        <v>0.28000000000000003</v>
      </c>
      <c r="K58" s="1488">
        <v>0.25122324384857997</v>
      </c>
      <c r="L58" s="1474">
        <v>0.25871882819637526</v>
      </c>
      <c r="M58" s="1475">
        <v>0.26604000892441393</v>
      </c>
      <c r="N58" s="1474">
        <v>0.27319565905771515</v>
      </c>
      <c r="O58" s="1476">
        <v>0.28019396865175161</v>
      </c>
    </row>
    <row r="59" spans="3:15" x14ac:dyDescent="0.2">
      <c r="I59" s="1566"/>
      <c r="J59" s="1480">
        <v>0.3</v>
      </c>
      <c r="K59" s="1488">
        <v>0.24644691767398119</v>
      </c>
      <c r="L59" s="1474">
        <v>0.25395650139252957</v>
      </c>
      <c r="M59" s="1475">
        <v>0.26129038761103951</v>
      </c>
      <c r="N59" s="1474">
        <v>0.26845756331175874</v>
      </c>
      <c r="O59" s="1476">
        <v>0.2754663201137717</v>
      </c>
    </row>
    <row r="60" spans="3:15" x14ac:dyDescent="0.2">
      <c r="C60" t="s">
        <v>81</v>
      </c>
      <c r="I60" s="1566"/>
      <c r="J60" s="1480">
        <v>0.33</v>
      </c>
      <c r="K60" s="1489">
        <v>0.23938261565643471</v>
      </c>
      <c r="L60" s="1475">
        <v>0.24691410949683967</v>
      </c>
      <c r="M60" s="1477">
        <v>0.254267916409324</v>
      </c>
      <c r="N60" s="1475">
        <v>0.26145319913840503</v>
      </c>
      <c r="O60" s="1493">
        <v>0.26847840585330118</v>
      </c>
    </row>
    <row r="61" spans="3:15" x14ac:dyDescent="0.2">
      <c r="I61" s="1566"/>
      <c r="J61" s="1480">
        <v>0.35</v>
      </c>
      <c r="K61" s="1488">
        <v>0.23473741149505467</v>
      </c>
      <c r="L61" s="1474">
        <v>0.24228411672745587</v>
      </c>
      <c r="M61" s="1475">
        <v>0.24965177576919073</v>
      </c>
      <c r="N61" s="1474">
        <v>0.25684967184839902</v>
      </c>
      <c r="O61" s="1476">
        <v>0.2638863603805115</v>
      </c>
    </row>
    <row r="62" spans="3:15" x14ac:dyDescent="0.2">
      <c r="I62" s="1566"/>
      <c r="J62" s="1480">
        <v>0.37</v>
      </c>
      <c r="K62" s="1488">
        <v>0.23014178900015247</v>
      </c>
      <c r="L62" s="1474">
        <v>0.23770418762504208</v>
      </c>
      <c r="M62" s="1475">
        <v>0.24508615393360822</v>
      </c>
      <c r="N62" s="1474">
        <v>0.25229709436055647</v>
      </c>
      <c r="O62" s="1476">
        <v>0.25934567393461982</v>
      </c>
    </row>
    <row r="63" spans="3:15" ht="16" thickBot="1" x14ac:dyDescent="0.25">
      <c r="I63" s="1566"/>
      <c r="J63" s="1481">
        <v>0.4</v>
      </c>
      <c r="K63" s="1490">
        <v>0.22333795847778459</v>
      </c>
      <c r="L63" s="1478">
        <v>0.23092479867309335</v>
      </c>
      <c r="M63" s="1492">
        <v>0.23832907604544595</v>
      </c>
      <c r="N63" s="1478">
        <v>0.24556038709375638</v>
      </c>
      <c r="O63" s="1479">
        <v>0.25262756582946078</v>
      </c>
    </row>
    <row r="70" ht="14.5" customHeight="1" x14ac:dyDescent="0.2"/>
  </sheetData>
  <mergeCells count="2">
    <mergeCell ref="I57:I63"/>
    <mergeCell ref="J54:O5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91AE-2C57-4154-BCF6-E90093FB677C}">
  <dimension ref="B2:T33"/>
  <sheetViews>
    <sheetView showGridLines="0" zoomScale="70" zoomScaleNormal="70" workbookViewId="0">
      <selection activeCell="B24" sqref="B24:H31"/>
    </sheetView>
  </sheetViews>
  <sheetFormatPr baseColWidth="10" defaultColWidth="8.83203125" defaultRowHeight="15" x14ac:dyDescent="0.2"/>
  <cols>
    <col min="2" max="2" width="37" bestFit="1" customWidth="1"/>
    <col min="8" max="8" width="9.1640625" bestFit="1" customWidth="1"/>
    <col min="10" max="10" width="19.1640625" bestFit="1" customWidth="1"/>
    <col min="12" max="12" width="28.5" bestFit="1" customWidth="1"/>
  </cols>
  <sheetData>
    <row r="2" spans="2:20" x14ac:dyDescent="0.2">
      <c r="B2" s="918" t="s">
        <v>82</v>
      </c>
      <c r="C2" s="919"/>
      <c r="D2" s="919"/>
      <c r="E2" s="919"/>
      <c r="F2" s="919"/>
      <c r="G2" s="919"/>
      <c r="H2" s="920"/>
      <c r="I2" s="782"/>
      <c r="J2" s="782"/>
      <c r="K2" s="782"/>
      <c r="L2" s="782"/>
      <c r="M2" s="782"/>
      <c r="N2" s="782"/>
      <c r="O2" s="782"/>
      <c r="P2" s="782"/>
      <c r="Q2" s="782"/>
      <c r="R2" s="782"/>
      <c r="S2" s="782"/>
      <c r="T2" s="782"/>
    </row>
    <row r="3" spans="2:20" x14ac:dyDescent="0.2">
      <c r="B3" s="908"/>
      <c r="C3" s="782"/>
      <c r="D3" s="782"/>
      <c r="E3" s="782"/>
      <c r="F3" s="782"/>
      <c r="G3" s="782"/>
      <c r="H3" s="909"/>
      <c r="I3" s="782"/>
      <c r="J3" s="872" t="s">
        <v>83</v>
      </c>
      <c r="K3" s="873">
        <v>0.21</v>
      </c>
      <c r="L3" s="782"/>
      <c r="M3" s="782"/>
      <c r="N3" s="782"/>
      <c r="O3" s="782"/>
      <c r="P3" s="782"/>
      <c r="Q3" s="782"/>
      <c r="R3" s="782"/>
      <c r="S3" s="782"/>
      <c r="T3" s="782"/>
    </row>
    <row r="4" spans="2:20" x14ac:dyDescent="0.2">
      <c r="B4" s="904" t="s">
        <v>22</v>
      </c>
      <c r="C4" s="782"/>
      <c r="D4" s="892" t="s">
        <v>84</v>
      </c>
      <c r="E4" s="892" t="s">
        <v>85</v>
      </c>
      <c r="F4" s="892" t="s">
        <v>86</v>
      </c>
      <c r="G4" s="892" t="s">
        <v>87</v>
      </c>
      <c r="H4" s="905" t="s">
        <v>88</v>
      </c>
      <c r="I4" s="782"/>
      <c r="J4" s="782"/>
      <c r="K4" s="782"/>
      <c r="L4" s="782"/>
      <c r="M4" s="782"/>
      <c r="N4" s="782"/>
      <c r="O4" s="782"/>
      <c r="P4" s="782"/>
      <c r="Q4" s="782"/>
      <c r="R4" s="782"/>
      <c r="S4" s="782"/>
      <c r="T4" s="782"/>
    </row>
    <row r="5" spans="2:20" x14ac:dyDescent="0.2">
      <c r="B5" s="906" t="s">
        <v>89</v>
      </c>
      <c r="C5" s="782"/>
      <c r="D5" s="893">
        <f>'Consolidated IS Build'!BH22</f>
        <v>254.93600276590087</v>
      </c>
      <c r="E5" s="893">
        <f>'Consolidated IS Build'!BI22</f>
        <v>282.91408726185045</v>
      </c>
      <c r="F5" s="893">
        <f>'Consolidated IS Build'!BJ22</f>
        <v>356.36515771544964</v>
      </c>
      <c r="G5" s="893">
        <f>'Consolidated IS Build'!BK22</f>
        <v>424.36340913292952</v>
      </c>
      <c r="H5" s="907">
        <f>'Consolidated IS Build'!BL22</f>
        <v>490.44355114443169</v>
      </c>
      <c r="I5" s="782"/>
      <c r="J5" s="782"/>
      <c r="K5" s="782"/>
      <c r="L5" s="973" t="s">
        <v>90</v>
      </c>
      <c r="M5" s="974"/>
      <c r="N5" s="977"/>
      <c r="O5" s="977"/>
      <c r="P5" s="977"/>
      <c r="Q5" s="977"/>
      <c r="R5" s="978"/>
      <c r="S5" s="782"/>
      <c r="T5" s="782"/>
    </row>
    <row r="6" spans="2:20" x14ac:dyDescent="0.2">
      <c r="B6" s="908" t="s">
        <v>91</v>
      </c>
      <c r="C6" s="782"/>
      <c r="D6" s="874">
        <f>LBO!J44</f>
        <v>102.47966714944417</v>
      </c>
      <c r="E6" s="874">
        <f>LBO!K44</f>
        <v>98.828924882371595</v>
      </c>
      <c r="F6" s="874">
        <f>LBO!L44</f>
        <v>90.053149186122027</v>
      </c>
      <c r="G6" s="874">
        <f>LBO!M44</f>
        <v>77.448071870577209</v>
      </c>
      <c r="H6" s="921">
        <f>LBO!N44</f>
        <v>59.343219546867779</v>
      </c>
      <c r="I6" s="782"/>
      <c r="J6" s="782"/>
      <c r="K6" s="782"/>
      <c r="L6" s="904" t="s">
        <v>22</v>
      </c>
      <c r="M6" s="782"/>
      <c r="N6" s="892" t="s">
        <v>84</v>
      </c>
      <c r="O6" s="892" t="s">
        <v>85</v>
      </c>
      <c r="P6" s="892" t="s">
        <v>86</v>
      </c>
      <c r="Q6" s="892" t="s">
        <v>87</v>
      </c>
      <c r="R6" s="905" t="s">
        <v>88</v>
      </c>
      <c r="S6" s="782"/>
      <c r="T6" s="782"/>
    </row>
    <row r="7" spans="2:20" x14ac:dyDescent="0.2">
      <c r="B7" s="908"/>
      <c r="C7" s="782"/>
      <c r="D7" s="782"/>
      <c r="E7" s="782"/>
      <c r="F7" s="782"/>
      <c r="G7" s="782"/>
      <c r="H7" s="909"/>
      <c r="I7" s="782"/>
      <c r="J7" s="782"/>
      <c r="K7" s="782"/>
      <c r="L7" s="906" t="s">
        <v>89</v>
      </c>
      <c r="M7" s="782"/>
      <c r="N7" s="893">
        <f>D5</f>
        <v>254.93600276590087</v>
      </c>
      <c r="O7" s="893">
        <f>E5</f>
        <v>282.91408726185045</v>
      </c>
      <c r="P7" s="893">
        <f>F5</f>
        <v>356.36515771544964</v>
      </c>
      <c r="Q7" s="893">
        <f>G5</f>
        <v>424.36340913292952</v>
      </c>
      <c r="R7" s="907">
        <f>H5</f>
        <v>490.44355114443169</v>
      </c>
      <c r="S7" s="782"/>
      <c r="T7" s="782"/>
    </row>
    <row r="8" spans="2:20" x14ac:dyDescent="0.2">
      <c r="B8" s="906" t="s">
        <v>92</v>
      </c>
      <c r="C8" s="782"/>
      <c r="D8" s="894">
        <f>D5-D6</f>
        <v>152.4563356164567</v>
      </c>
      <c r="E8" s="894">
        <f>E5-E6</f>
        <v>184.08516237947885</v>
      </c>
      <c r="F8" s="894">
        <f>F5-F6</f>
        <v>266.31200852932761</v>
      </c>
      <c r="G8" s="894">
        <f>G5-G6</f>
        <v>346.9153372623523</v>
      </c>
      <c r="H8" s="922">
        <f>H5-H6</f>
        <v>431.10033159756392</v>
      </c>
      <c r="I8" s="782"/>
      <c r="J8" s="782"/>
      <c r="K8" s="782"/>
      <c r="L8" s="908"/>
      <c r="M8" s="782"/>
      <c r="N8" s="782"/>
      <c r="O8" s="782"/>
      <c r="P8" s="782"/>
      <c r="Q8" s="782"/>
      <c r="R8" s="909"/>
      <c r="S8" s="782"/>
      <c r="T8" s="782"/>
    </row>
    <row r="9" spans="2:20" x14ac:dyDescent="0.2">
      <c r="B9" s="908" t="s">
        <v>83</v>
      </c>
      <c r="C9" s="782"/>
      <c r="D9" s="1509">
        <f>$K$3</f>
        <v>0.21</v>
      </c>
      <c r="E9" s="1509">
        <f>$K$3</f>
        <v>0.21</v>
      </c>
      <c r="F9" s="1509">
        <f>$K$3</f>
        <v>0.21</v>
      </c>
      <c r="G9" s="1509">
        <f>$K$3</f>
        <v>0.21</v>
      </c>
      <c r="H9" s="923">
        <f>$K$3</f>
        <v>0.21</v>
      </c>
      <c r="I9" s="782"/>
      <c r="J9" s="782"/>
      <c r="K9" s="782"/>
      <c r="L9" s="908" t="s">
        <v>93</v>
      </c>
      <c r="M9" s="782"/>
      <c r="N9" s="910">
        <f>N7*$K$3</f>
        <v>53.536560580839179</v>
      </c>
      <c r="O9" s="910">
        <f>O7*$K$3</f>
        <v>59.411958324988596</v>
      </c>
      <c r="P9" s="910">
        <f>P7*$K$3</f>
        <v>74.836683120244416</v>
      </c>
      <c r="Q9" s="910">
        <f>Q7*$K$3</f>
        <v>89.116315917915202</v>
      </c>
      <c r="R9" s="911">
        <f>R7*$K$3</f>
        <v>102.99314574033065</v>
      </c>
      <c r="S9" s="782"/>
      <c r="T9" s="782"/>
    </row>
    <row r="10" spans="2:20" x14ac:dyDescent="0.2">
      <c r="B10" s="908" t="s">
        <v>94</v>
      </c>
      <c r="C10" s="782"/>
      <c r="D10" s="895">
        <f>D8*D9</f>
        <v>32.015830479455907</v>
      </c>
      <c r="E10" s="895">
        <f>E8*E9</f>
        <v>38.657884099690556</v>
      </c>
      <c r="F10" s="895">
        <f>F8*F9</f>
        <v>55.925521791158793</v>
      </c>
      <c r="G10" s="895">
        <f>G8*G9</f>
        <v>72.85222082509398</v>
      </c>
      <c r="H10" s="913">
        <f>H8*H9</f>
        <v>90.531069635488421</v>
      </c>
      <c r="I10" s="782"/>
      <c r="J10" s="782"/>
      <c r="K10" s="782"/>
      <c r="L10" s="908" t="s">
        <v>95</v>
      </c>
      <c r="M10" s="782"/>
      <c r="N10" s="896">
        <f>D16</f>
        <v>93.135999999999996</v>
      </c>
      <c r="O10" s="896">
        <f>E16</f>
        <v>100.01489204429819</v>
      </c>
      <c r="P10" s="896">
        <f>F16</f>
        <v>110.25205473439912</v>
      </c>
      <c r="Q10" s="896">
        <f>G16</f>
        <v>117.94024090538311</v>
      </c>
      <c r="R10" s="912">
        <f>H16</f>
        <v>125.65273110294143</v>
      </c>
      <c r="S10" s="782"/>
      <c r="T10" s="782"/>
    </row>
    <row r="11" spans="2:20" x14ac:dyDescent="0.2">
      <c r="B11" s="908" t="s">
        <v>96</v>
      </c>
      <c r="C11" s="782"/>
      <c r="D11" s="894">
        <f>D8-D10</f>
        <v>120.4405051370008</v>
      </c>
      <c r="E11" s="894">
        <f>E8-E10</f>
        <v>145.42727827978828</v>
      </c>
      <c r="F11" s="894">
        <f>F8-F10</f>
        <v>210.38648673816883</v>
      </c>
      <c r="G11" s="894">
        <f>G8-G10</f>
        <v>274.06311643725832</v>
      </c>
      <c r="H11" s="922">
        <f>H8-H10</f>
        <v>340.56926196207553</v>
      </c>
      <c r="I11" s="782"/>
      <c r="J11" s="782"/>
      <c r="K11" s="782"/>
      <c r="L11" s="908" t="s">
        <v>97</v>
      </c>
      <c r="M11" s="782"/>
      <c r="N11" s="895">
        <f>D18</f>
        <v>65.000885999186664</v>
      </c>
      <c r="O11" s="895">
        <f>E18</f>
        <v>13.51059018113844</v>
      </c>
      <c r="P11" s="895">
        <f>F18</f>
        <v>0.14022239837196082</v>
      </c>
      <c r="Q11" s="895">
        <f>G18</f>
        <v>23.384323033994065</v>
      </c>
      <c r="R11" s="913">
        <f>H18</f>
        <v>32.419836319609544</v>
      </c>
      <c r="S11" s="782"/>
      <c r="T11" s="782"/>
    </row>
    <row r="12" spans="2:20" x14ac:dyDescent="0.2">
      <c r="B12" s="908"/>
      <c r="C12" s="782"/>
      <c r="D12" s="782"/>
      <c r="E12" s="782"/>
      <c r="F12" s="782"/>
      <c r="G12" s="782"/>
      <c r="H12" s="909"/>
      <c r="I12" s="782"/>
      <c r="J12" s="782"/>
      <c r="K12" s="782"/>
      <c r="L12" s="908" t="s">
        <v>98</v>
      </c>
      <c r="M12" s="782"/>
      <c r="N12" s="896">
        <f>L24</f>
        <v>180.09</v>
      </c>
      <c r="O12" s="896">
        <f>M24</f>
        <v>165.31800000000001</v>
      </c>
      <c r="P12" s="896">
        <f>N24</f>
        <v>175.76160000000002</v>
      </c>
      <c r="Q12" s="896">
        <f>O24</f>
        <v>195.19391999999999</v>
      </c>
      <c r="R12" s="912">
        <f>P24</f>
        <v>193.92170400000001</v>
      </c>
      <c r="S12" s="782"/>
      <c r="T12" s="782"/>
    </row>
    <row r="13" spans="2:20" x14ac:dyDescent="0.2">
      <c r="B13" s="904" t="s">
        <v>22</v>
      </c>
      <c r="C13" s="782"/>
      <c r="D13" s="892" t="s">
        <v>84</v>
      </c>
      <c r="E13" s="892" t="s">
        <v>85</v>
      </c>
      <c r="F13" s="892" t="s">
        <v>86</v>
      </c>
      <c r="G13" s="892" t="s">
        <v>87</v>
      </c>
      <c r="H13" s="905" t="s">
        <v>87</v>
      </c>
      <c r="I13" s="782"/>
      <c r="J13" s="782"/>
      <c r="K13" s="782"/>
      <c r="L13" s="914" t="s">
        <v>99</v>
      </c>
      <c r="M13" s="915"/>
      <c r="N13" s="916">
        <f>N7-N9+N10+N11-N12</f>
        <v>179.44632818424836</v>
      </c>
      <c r="O13" s="916">
        <f>O7-O9+O10+O11-O12</f>
        <v>171.7096111622985</v>
      </c>
      <c r="P13" s="916">
        <f>P7-P9+P10+P11-P12</f>
        <v>216.15915172797631</v>
      </c>
      <c r="Q13" s="916">
        <f>Q7-Q9+Q10+Q11-Q12</f>
        <v>281.37773715439153</v>
      </c>
      <c r="R13" s="917">
        <f>R7-R9+R10+R11-R12</f>
        <v>351.60126882665202</v>
      </c>
      <c r="S13" s="782"/>
      <c r="T13" s="782"/>
    </row>
    <row r="14" spans="2:20" x14ac:dyDescent="0.2">
      <c r="B14" s="908"/>
      <c r="C14" s="782"/>
      <c r="D14" s="782"/>
      <c r="E14" s="782"/>
      <c r="F14" s="782"/>
      <c r="G14" s="782"/>
      <c r="H14" s="909"/>
      <c r="I14" s="782"/>
      <c r="J14" s="782"/>
      <c r="K14" s="782"/>
      <c r="L14" s="782"/>
      <c r="M14" s="782"/>
      <c r="N14" s="782"/>
      <c r="O14" s="782"/>
      <c r="P14" s="782"/>
      <c r="Q14" s="782"/>
      <c r="R14" s="782"/>
      <c r="S14" s="782"/>
      <c r="T14" s="782"/>
    </row>
    <row r="15" spans="2:20" x14ac:dyDescent="0.2">
      <c r="B15" s="908" t="s">
        <v>96</v>
      </c>
      <c r="C15" s="782"/>
      <c r="D15" s="895">
        <f>D11</f>
        <v>120.4405051370008</v>
      </c>
      <c r="E15" s="895">
        <f>E11</f>
        <v>145.42727827978828</v>
      </c>
      <c r="F15" s="895">
        <f>F11</f>
        <v>210.38648673816883</v>
      </c>
      <c r="G15" s="895">
        <f>G11</f>
        <v>274.06311643725832</v>
      </c>
      <c r="H15" s="913">
        <f>H11</f>
        <v>340.56926196207553</v>
      </c>
      <c r="I15" s="782"/>
      <c r="J15" s="782"/>
      <c r="K15" s="782"/>
      <c r="L15" s="782"/>
      <c r="M15" s="782"/>
      <c r="N15" s="782"/>
      <c r="O15" s="782"/>
      <c r="P15" s="782"/>
      <c r="Q15" s="782"/>
      <c r="R15" s="782"/>
      <c r="S15" s="782"/>
      <c r="T15" s="782"/>
    </row>
    <row r="16" spans="2:20" x14ac:dyDescent="0.2">
      <c r="B16" s="908" t="s">
        <v>95</v>
      </c>
      <c r="C16" s="782"/>
      <c r="D16" s="896">
        <f>'Consolidated IS Build'!BH25</f>
        <v>93.135999999999996</v>
      </c>
      <c r="E16" s="896">
        <f>'Consolidated IS Build'!BI25</f>
        <v>100.01489204429819</v>
      </c>
      <c r="F16" s="896">
        <f>'Consolidated IS Build'!BJ25</f>
        <v>110.25205473439912</v>
      </c>
      <c r="G16" s="896">
        <f>'Consolidated IS Build'!BK25</f>
        <v>117.94024090538311</v>
      </c>
      <c r="H16" s="912">
        <f>'Consolidated IS Build'!BL25</f>
        <v>125.65273110294143</v>
      </c>
      <c r="I16" s="782"/>
      <c r="J16" s="782"/>
      <c r="K16" s="782"/>
      <c r="L16" s="782"/>
      <c r="M16" s="782"/>
      <c r="N16" s="782"/>
      <c r="O16" s="782"/>
      <c r="P16" s="782"/>
      <c r="Q16" s="782"/>
      <c r="R16" s="782"/>
      <c r="S16" s="782"/>
      <c r="T16" s="782"/>
    </row>
    <row r="17" spans="2:20" x14ac:dyDescent="0.2">
      <c r="B17" s="908" t="s">
        <v>100</v>
      </c>
      <c r="C17" s="782"/>
      <c r="D17" s="896">
        <f>'Consolidated IS Build'!BH26</f>
        <v>28.397223673891315</v>
      </c>
      <c r="E17" s="896">
        <f>'Consolidated IS Build'!BI26</f>
        <v>30.492194180058892</v>
      </c>
      <c r="F17" s="896">
        <f>'Consolidated IS Build'!BJ26</f>
        <v>33.272472841150737</v>
      </c>
      <c r="G17" s="896">
        <f>'Consolidated IS Build'!BK26</f>
        <v>35.886187624912395</v>
      </c>
      <c r="H17" s="912">
        <f>'Consolidated IS Build'!BL26</f>
        <v>38.658513658621402</v>
      </c>
      <c r="I17" s="782"/>
      <c r="J17" s="782"/>
      <c r="K17" s="782"/>
      <c r="L17" s="782"/>
      <c r="M17" s="782"/>
      <c r="N17" s="782"/>
      <c r="O17" s="782"/>
      <c r="P17" s="782"/>
      <c r="Q17" s="782"/>
      <c r="R17" s="782"/>
      <c r="S17" s="782"/>
      <c r="T17" s="782"/>
    </row>
    <row r="18" spans="2:20" x14ac:dyDescent="0.2">
      <c r="B18" s="908" t="s">
        <v>97</v>
      </c>
      <c r="C18" s="782"/>
      <c r="D18" s="895">
        <f>'Consolidated BS Build'!AX18</f>
        <v>65.000885999186664</v>
      </c>
      <c r="E18" s="895">
        <f>'Consolidated BS Build'!AY18</f>
        <v>13.51059018113844</v>
      </c>
      <c r="F18" s="895">
        <f>'Consolidated BS Build'!AZ18</f>
        <v>0.14022239837196082</v>
      </c>
      <c r="G18" s="895">
        <f>'Consolidated BS Build'!BA18</f>
        <v>23.384323033994065</v>
      </c>
      <c r="H18" s="913">
        <f>'Consolidated BS Build'!BB18</f>
        <v>32.419836319609544</v>
      </c>
      <c r="I18" s="782"/>
      <c r="J18" s="782"/>
      <c r="K18" s="782"/>
      <c r="L18" s="782"/>
      <c r="M18" s="782"/>
      <c r="N18" s="782"/>
      <c r="O18" s="782"/>
      <c r="P18" s="782"/>
      <c r="Q18" s="782"/>
      <c r="R18" s="782"/>
      <c r="S18" s="782"/>
      <c r="T18" s="782"/>
    </row>
    <row r="19" spans="2:20" x14ac:dyDescent="0.2">
      <c r="B19" s="906" t="s">
        <v>101</v>
      </c>
      <c r="C19" s="782"/>
      <c r="D19" s="895">
        <f>D15+D16+D17+D18</f>
        <v>306.97461481007878</v>
      </c>
      <c r="E19" s="895">
        <f>E15+E16+E17+E18</f>
        <v>289.44495468528385</v>
      </c>
      <c r="F19" s="895">
        <f>F15+F16+F17+F18</f>
        <v>354.05123671209066</v>
      </c>
      <c r="G19" s="895">
        <f>G15+G16+G17+G18</f>
        <v>451.2738680015479</v>
      </c>
      <c r="H19" s="913">
        <f>H15+H16+H17+H18</f>
        <v>537.30034304324795</v>
      </c>
      <c r="I19" s="782"/>
      <c r="J19" s="973"/>
      <c r="K19" s="974"/>
      <c r="L19" s="975">
        <v>2024</v>
      </c>
      <c r="M19" s="975">
        <v>2025</v>
      </c>
      <c r="N19" s="975">
        <v>2026</v>
      </c>
      <c r="O19" s="975">
        <v>2027</v>
      </c>
      <c r="P19" s="976">
        <v>2028</v>
      </c>
      <c r="Q19" s="782"/>
      <c r="R19" s="782"/>
      <c r="S19" s="782"/>
      <c r="T19" s="782"/>
    </row>
    <row r="20" spans="2:20" x14ac:dyDescent="0.2">
      <c r="B20" s="908"/>
      <c r="C20" s="782"/>
      <c r="D20" s="895"/>
      <c r="E20" s="895"/>
      <c r="F20" s="895"/>
      <c r="G20" s="895"/>
      <c r="H20" s="913"/>
      <c r="I20" s="782"/>
      <c r="J20" s="908" t="s">
        <v>102</v>
      </c>
      <c r="K20" s="782"/>
      <c r="L20" s="782">
        <f>'Consolidated IS Build'!BH15</f>
        <v>345.6</v>
      </c>
      <c r="M20" s="782">
        <f>'Consolidated IS Build'!BI15</f>
        <v>361.12</v>
      </c>
      <c r="N20" s="782">
        <f>'Consolidated IS Build'!BJ15</f>
        <v>373.74400000000003</v>
      </c>
      <c r="O20" s="782">
        <f>'Consolidated IS Build'!BK15</f>
        <v>389.2928</v>
      </c>
      <c r="P20" s="909">
        <f>'Consolidated IS Build'!BL15</f>
        <v>404.75135999999998</v>
      </c>
      <c r="Q20" s="782"/>
      <c r="R20" s="782"/>
      <c r="S20" s="782"/>
      <c r="T20" s="782"/>
    </row>
    <row r="21" spans="2:20" x14ac:dyDescent="0.2">
      <c r="B21" s="908" t="s">
        <v>98</v>
      </c>
      <c r="C21" s="782"/>
      <c r="D21" s="896">
        <f>L24</f>
        <v>180.09</v>
      </c>
      <c r="E21" s="896">
        <f>M24</f>
        <v>165.31800000000001</v>
      </c>
      <c r="F21" s="896">
        <f>N24</f>
        <v>175.76160000000002</v>
      </c>
      <c r="G21" s="896">
        <f>O24</f>
        <v>195.19391999999999</v>
      </c>
      <c r="H21" s="912">
        <f>P24</f>
        <v>193.92170400000001</v>
      </c>
      <c r="J21" s="908" t="s">
        <v>103</v>
      </c>
      <c r="K21" s="782"/>
      <c r="L21" s="930">
        <f>'Forecast Assumptions'!G9+'Forecast Assumptions'!G10+'Forecast Assumptions'!G11</f>
        <v>15</v>
      </c>
      <c r="M21" s="930">
        <f>'Forecast Assumptions'!H9+'Forecast Assumptions'!H10+'Forecast Assumptions'!H11</f>
        <v>13</v>
      </c>
      <c r="N21" s="930">
        <f>'Forecast Assumptions'!I9+'Forecast Assumptions'!I10+'Forecast Assumptions'!I11</f>
        <v>14</v>
      </c>
      <c r="O21" s="930">
        <f>'Forecast Assumptions'!J9+'Forecast Assumptions'!J10+'Forecast Assumptions'!J11</f>
        <v>16</v>
      </c>
      <c r="P21" s="931">
        <f>'Forecast Assumptions'!K9+'Forecast Assumptions'!K10+'Forecast Assumptions'!K11</f>
        <v>15.58</v>
      </c>
      <c r="Q21" s="782"/>
      <c r="R21" s="782"/>
      <c r="S21" s="782"/>
      <c r="T21" s="782"/>
    </row>
    <row r="22" spans="2:20" x14ac:dyDescent="0.2">
      <c r="B22" s="906" t="s">
        <v>104</v>
      </c>
      <c r="C22" s="782"/>
      <c r="D22" s="895">
        <f>D19-D21</f>
        <v>126.88461481007877</v>
      </c>
      <c r="E22" s="895">
        <f>E19-E21</f>
        <v>124.12695468528383</v>
      </c>
      <c r="F22" s="895">
        <f>F19-F21</f>
        <v>178.28963671209064</v>
      </c>
      <c r="G22" s="895">
        <f>G19-G21</f>
        <v>256.0799480015479</v>
      </c>
      <c r="H22" s="913">
        <f>H19-H21</f>
        <v>343.37863904324797</v>
      </c>
      <c r="I22" s="782"/>
      <c r="J22" s="908" t="s">
        <v>105</v>
      </c>
      <c r="K22" s="782"/>
      <c r="L22" s="932">
        <v>8.5500000000000007</v>
      </c>
      <c r="M22" s="932">
        <v>8.5500000000000007</v>
      </c>
      <c r="N22" s="932">
        <v>8.5500000000000007</v>
      </c>
      <c r="O22" s="932">
        <v>8.5500000000000007</v>
      </c>
      <c r="P22" s="933">
        <v>8.5500000000000007</v>
      </c>
      <c r="Q22" s="782"/>
      <c r="R22" s="782"/>
      <c r="S22" s="782"/>
      <c r="T22" s="782"/>
    </row>
    <row r="23" spans="2:20" x14ac:dyDescent="0.2">
      <c r="B23" s="908"/>
      <c r="C23" s="782"/>
      <c r="D23" s="895"/>
      <c r="E23" s="895"/>
      <c r="F23" s="895"/>
      <c r="G23" s="895"/>
      <c r="H23" s="913"/>
      <c r="I23" s="782"/>
      <c r="J23" s="908" t="s">
        <v>106</v>
      </c>
      <c r="K23" s="782"/>
      <c r="L23" s="932">
        <v>0.15</v>
      </c>
      <c r="M23" s="932">
        <v>0.15</v>
      </c>
      <c r="N23" s="932">
        <v>0.15</v>
      </c>
      <c r="O23" s="932">
        <v>0.15</v>
      </c>
      <c r="P23" s="933">
        <v>0.15</v>
      </c>
      <c r="Q23" s="782"/>
      <c r="R23" s="782"/>
      <c r="S23" s="782"/>
      <c r="T23" s="782"/>
    </row>
    <row r="24" spans="2:20" x14ac:dyDescent="0.2">
      <c r="B24" s="908" t="s">
        <v>107</v>
      </c>
      <c r="C24" s="782"/>
      <c r="D24" s="897">
        <f>LBO!J13</f>
        <v>100</v>
      </c>
      <c r="E24" s="897">
        <f>LBO!K13</f>
        <v>0</v>
      </c>
      <c r="F24" s="897">
        <f>LBO!L13</f>
        <v>0</v>
      </c>
      <c r="G24" s="897">
        <f>LBO!M13</f>
        <v>0</v>
      </c>
      <c r="H24" s="924">
        <f>LBO!N13</f>
        <v>0</v>
      </c>
      <c r="I24" s="782"/>
      <c r="J24" s="934" t="s">
        <v>108</v>
      </c>
      <c r="K24" s="928"/>
      <c r="L24" s="928">
        <f>(L20*L23+L21*L22)</f>
        <v>180.09</v>
      </c>
      <c r="M24" s="928">
        <f t="shared" ref="M24:P24" si="0">(M20*M23+M21*M22)</f>
        <v>165.31800000000001</v>
      </c>
      <c r="N24" s="928">
        <f t="shared" si="0"/>
        <v>175.76160000000002</v>
      </c>
      <c r="O24" s="928">
        <f t="shared" si="0"/>
        <v>195.19391999999999</v>
      </c>
      <c r="P24" s="929">
        <f t="shared" si="0"/>
        <v>193.92170400000001</v>
      </c>
      <c r="Q24" s="782"/>
      <c r="R24" s="782"/>
      <c r="S24" s="782"/>
      <c r="T24" s="782"/>
    </row>
    <row r="25" spans="2:20" x14ac:dyDescent="0.2">
      <c r="B25" s="908" t="s">
        <v>109</v>
      </c>
      <c r="C25" s="782"/>
      <c r="D25" s="897">
        <f>LBO!J24</f>
        <v>26.884614810078773</v>
      </c>
      <c r="E25" s="897">
        <f>LBO!K24</f>
        <v>124.12695468528383</v>
      </c>
      <c r="F25" s="897">
        <f>LBO!L24</f>
        <v>178.28963671209064</v>
      </c>
      <c r="G25" s="897">
        <f>LBO!M24</f>
        <v>256.0799480015479</v>
      </c>
      <c r="H25" s="924">
        <f>LBO!N24</f>
        <v>137.87865173421244</v>
      </c>
      <c r="I25" s="782"/>
      <c r="J25" s="782"/>
      <c r="K25" s="782"/>
      <c r="L25" s="782"/>
      <c r="M25" s="782"/>
      <c r="N25" s="782"/>
      <c r="O25" s="782"/>
      <c r="P25" s="782"/>
      <c r="Q25" s="782"/>
      <c r="R25" s="782"/>
      <c r="S25" s="782"/>
      <c r="T25" s="782"/>
    </row>
    <row r="26" spans="2:20" x14ac:dyDescent="0.2">
      <c r="B26" s="908" t="s">
        <v>110</v>
      </c>
      <c r="C26" s="782"/>
      <c r="D26" s="897">
        <f>LBO!J32</f>
        <v>0</v>
      </c>
      <c r="E26" s="897">
        <f>LBO!K32</f>
        <v>0</v>
      </c>
      <c r="F26" s="897">
        <f>LBO!L32</f>
        <v>0</v>
      </c>
      <c r="G26" s="897">
        <f>LBO!M32</f>
        <v>0</v>
      </c>
      <c r="H26" s="924">
        <f>LBO!N32</f>
        <v>205.49998730903553</v>
      </c>
      <c r="I26" s="782"/>
      <c r="J26" s="782"/>
      <c r="K26" s="782"/>
      <c r="L26" s="782"/>
      <c r="M26" s="782"/>
      <c r="N26" s="782"/>
      <c r="O26" s="782"/>
      <c r="P26" s="782"/>
      <c r="Q26" s="782"/>
      <c r="R26" s="782"/>
      <c r="S26" s="782"/>
      <c r="T26" s="782"/>
    </row>
    <row r="27" spans="2:20" x14ac:dyDescent="0.2">
      <c r="B27" s="906" t="s">
        <v>111</v>
      </c>
      <c r="C27" s="782"/>
      <c r="D27" s="898">
        <f>D22-D24-D25-D26</f>
        <v>0</v>
      </c>
      <c r="E27" s="898">
        <f>E22-E24-E25-E26</f>
        <v>0</v>
      </c>
      <c r="F27" s="898">
        <f>F22-F24-F25-F26</f>
        <v>0</v>
      </c>
      <c r="G27" s="898">
        <f>G22-G24-G25-G26</f>
        <v>0</v>
      </c>
      <c r="H27" s="925">
        <f>H22-H24-H25-H26</f>
        <v>0</v>
      </c>
      <c r="I27" s="782"/>
      <c r="J27" s="782"/>
      <c r="K27" s="782"/>
      <c r="L27" s="782"/>
      <c r="M27" s="782"/>
      <c r="N27" s="782"/>
      <c r="O27" s="782"/>
      <c r="P27" s="782"/>
      <c r="Q27" s="782"/>
      <c r="R27" s="782"/>
      <c r="S27" s="782"/>
      <c r="T27" s="782"/>
    </row>
    <row r="28" spans="2:20" x14ac:dyDescent="0.2">
      <c r="B28" s="908"/>
      <c r="C28" s="782"/>
      <c r="D28" s="782"/>
      <c r="E28" s="782"/>
      <c r="F28" s="782"/>
      <c r="G28" s="782"/>
      <c r="H28" s="909"/>
      <c r="I28" s="782"/>
      <c r="J28" s="782"/>
      <c r="K28" s="782"/>
      <c r="L28" s="782"/>
      <c r="M28" s="782"/>
      <c r="N28" s="782"/>
      <c r="O28" s="782"/>
      <c r="P28" s="782"/>
      <c r="Q28" s="782"/>
      <c r="R28" s="782"/>
      <c r="S28" s="782"/>
      <c r="T28" s="782"/>
    </row>
    <row r="29" spans="2:20" x14ac:dyDescent="0.2">
      <c r="B29" s="908" t="s">
        <v>112</v>
      </c>
      <c r="C29" s="782"/>
      <c r="D29" s="896">
        <v>0</v>
      </c>
      <c r="E29" s="896">
        <f>D31</f>
        <v>0</v>
      </c>
      <c r="F29" s="896">
        <f>E31</f>
        <v>0</v>
      </c>
      <c r="G29" s="896">
        <f>F31</f>
        <v>0</v>
      </c>
      <c r="H29" s="912">
        <f>G31</f>
        <v>0</v>
      </c>
      <c r="I29" s="782"/>
      <c r="J29" s="782"/>
      <c r="K29" s="782"/>
      <c r="L29" s="782"/>
      <c r="M29" s="782"/>
      <c r="N29" s="782"/>
      <c r="O29" s="782"/>
      <c r="P29" s="782"/>
      <c r="Q29" s="782"/>
      <c r="R29" s="782"/>
      <c r="S29" s="782"/>
      <c r="T29" s="782"/>
    </row>
    <row r="30" spans="2:20" x14ac:dyDescent="0.2">
      <c r="B30" s="908" t="s">
        <v>113</v>
      </c>
      <c r="C30" s="782"/>
      <c r="D30" s="898">
        <f>D27</f>
        <v>0</v>
      </c>
      <c r="E30" s="898">
        <f>E27</f>
        <v>0</v>
      </c>
      <c r="F30" s="898">
        <f>F27</f>
        <v>0</v>
      </c>
      <c r="G30" s="898">
        <f>G27</f>
        <v>0</v>
      </c>
      <c r="H30" s="925">
        <f>H27</f>
        <v>0</v>
      </c>
      <c r="I30" s="782"/>
      <c r="J30" s="782"/>
      <c r="K30" s="782"/>
      <c r="L30" s="782"/>
      <c r="M30" s="782"/>
      <c r="N30" s="782"/>
      <c r="O30" s="782"/>
      <c r="P30" s="782"/>
      <c r="Q30" s="782"/>
      <c r="R30" s="782"/>
      <c r="S30" s="782"/>
      <c r="T30" s="782"/>
    </row>
    <row r="31" spans="2:20" x14ac:dyDescent="0.2">
      <c r="B31" s="926" t="s">
        <v>114</v>
      </c>
      <c r="C31" s="927"/>
      <c r="D31" s="928">
        <f>D29+D30</f>
        <v>0</v>
      </c>
      <c r="E31" s="928">
        <f>E29+E30</f>
        <v>0</v>
      </c>
      <c r="F31" s="928">
        <f>F29+F30</f>
        <v>0</v>
      </c>
      <c r="G31" s="928">
        <f>G29+G30</f>
        <v>0</v>
      </c>
      <c r="H31" s="929">
        <f>H29+H30</f>
        <v>0</v>
      </c>
      <c r="I31" s="782"/>
      <c r="J31" s="782"/>
      <c r="K31" s="782"/>
      <c r="L31" s="782"/>
      <c r="M31" s="782"/>
      <c r="N31" s="782"/>
      <c r="O31" s="782"/>
      <c r="P31" s="782"/>
      <c r="Q31" s="782"/>
      <c r="R31" s="782"/>
      <c r="S31" s="782"/>
      <c r="T31" s="782"/>
    </row>
    <row r="32" spans="2:20" x14ac:dyDescent="0.2">
      <c r="B32" s="782"/>
      <c r="C32" s="782"/>
      <c r="D32" s="782"/>
      <c r="E32" s="782"/>
      <c r="F32" s="782"/>
      <c r="G32" s="782"/>
      <c r="H32" s="782"/>
      <c r="I32" s="782"/>
      <c r="J32" s="782"/>
      <c r="K32" s="782"/>
      <c r="L32" s="782"/>
      <c r="M32" s="782"/>
      <c r="N32" s="782"/>
      <c r="O32" s="782"/>
      <c r="P32" s="782"/>
      <c r="Q32" s="782"/>
      <c r="R32" s="782"/>
      <c r="S32" s="782"/>
      <c r="T32" s="782"/>
    </row>
    <row r="33" spans="2:20" x14ac:dyDescent="0.2">
      <c r="B33" s="782"/>
      <c r="C33" s="782"/>
      <c r="D33" s="782"/>
      <c r="E33" s="782"/>
      <c r="F33" s="782"/>
      <c r="G33" s="782"/>
      <c r="H33" s="782"/>
      <c r="I33" s="782"/>
      <c r="J33" s="782"/>
      <c r="K33" s="782"/>
      <c r="L33" s="782"/>
      <c r="M33" s="782"/>
      <c r="N33" s="782"/>
      <c r="O33" s="782"/>
      <c r="P33" s="782"/>
      <c r="Q33" s="782"/>
      <c r="R33" s="782"/>
      <c r="S33" s="782"/>
      <c r="T33" s="78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366B1-295A-4AC1-8ADE-48D82FB919EA}">
  <dimension ref="C2:P78"/>
  <sheetViews>
    <sheetView showGridLines="0" topLeftCell="A26" zoomScaleNormal="100" workbookViewId="0">
      <selection activeCell="Q7" sqref="Q7"/>
    </sheetView>
  </sheetViews>
  <sheetFormatPr baseColWidth="10" defaultColWidth="8.83203125" defaultRowHeight="14" x14ac:dyDescent="0.15"/>
  <cols>
    <col min="1" max="4" width="8.83203125" style="782"/>
    <col min="5" max="5" width="22" style="782" customWidth="1"/>
    <col min="6" max="6" width="8.83203125" style="782"/>
    <col min="7" max="7" width="8.83203125" style="782" bestFit="1" customWidth="1"/>
    <col min="8" max="11" width="8.83203125" style="782"/>
    <col min="12" max="12" width="6" style="782" customWidth="1"/>
    <col min="13" max="13" width="5.5" style="782" customWidth="1"/>
    <col min="14" max="14" width="16" style="782" customWidth="1"/>
    <col min="15" max="15" width="18.1640625" style="782" customWidth="1"/>
    <col min="16" max="16384" width="8.83203125" style="782"/>
  </cols>
  <sheetData>
    <row r="2" spans="4:16" x14ac:dyDescent="0.15">
      <c r="D2" s="1043" t="s">
        <v>115</v>
      </c>
      <c r="E2" s="875"/>
    </row>
    <row r="3" spans="4:16" ht="15" thickBot="1" x14ac:dyDescent="0.2">
      <c r="D3" s="1044"/>
      <c r="M3" s="1045"/>
      <c r="N3" s="1045"/>
      <c r="O3" s="1045"/>
      <c r="P3" s="1045"/>
    </row>
    <row r="4" spans="4:16" ht="21" thickBot="1" x14ac:dyDescent="0.25">
      <c r="D4" s="1046"/>
      <c r="E4" s="1047"/>
      <c r="F4" s="1048" t="s">
        <v>116</v>
      </c>
      <c r="G4" s="1049" t="s">
        <v>84</v>
      </c>
      <c r="H4" s="1049" t="s">
        <v>85</v>
      </c>
      <c r="I4" s="1049" t="s">
        <v>86</v>
      </c>
      <c r="J4" s="1049" t="s">
        <v>87</v>
      </c>
      <c r="K4" s="1050" t="s">
        <v>88</v>
      </c>
      <c r="M4" s="1045"/>
      <c r="N4" s="1051" t="s">
        <v>117</v>
      </c>
      <c r="O4" s="1052" t="s">
        <v>118</v>
      </c>
      <c r="P4" s="1045"/>
    </row>
    <row r="5" spans="4:16" ht="16" x14ac:dyDescent="0.2">
      <c r="D5" s="1053" t="s">
        <v>119</v>
      </c>
      <c r="E5" s="1054"/>
      <c r="F5" s="1055" cm="1">
        <f t="array" ref="F5:K5">_xlfn.XLOOKUP($O$4,$D$19:$D$21,F19:K21)</f>
        <v>3.3593999999999999</v>
      </c>
      <c r="G5" s="1055">
        <v>4</v>
      </c>
      <c r="H5" s="1055">
        <v>4.5</v>
      </c>
      <c r="I5" s="1055">
        <v>4.9000000000000004</v>
      </c>
      <c r="J5" s="1055">
        <v>5.2</v>
      </c>
      <c r="K5" s="1056">
        <v>5.5</v>
      </c>
      <c r="M5" s="1045"/>
      <c r="N5" s="1045"/>
      <c r="O5" s="1030"/>
      <c r="P5" s="1045"/>
    </row>
    <row r="6" spans="4:16" ht="16" x14ac:dyDescent="0.2">
      <c r="D6" s="1053" t="s">
        <v>120</v>
      </c>
      <c r="E6" s="1054"/>
      <c r="F6" s="1055" cm="1">
        <f t="array" ref="F6:K6">_xlfn.XLOOKUP(O4,D24:D26,F24:K26)</f>
        <v>21.988799999999998</v>
      </c>
      <c r="G6" s="1055">
        <v>22.868351999999998</v>
      </c>
      <c r="H6" s="1055">
        <v>23.78308608</v>
      </c>
      <c r="I6" s="1055">
        <v>24.7344095232</v>
      </c>
      <c r="J6" s="1055">
        <v>25.723785904128</v>
      </c>
      <c r="K6" s="1056">
        <v>26.75273734029312</v>
      </c>
      <c r="M6" s="1045"/>
      <c r="N6" s="1045"/>
      <c r="O6" s="1057" t="s">
        <v>121</v>
      </c>
      <c r="P6" s="1045"/>
    </row>
    <row r="7" spans="4:16" ht="16" x14ac:dyDescent="0.2">
      <c r="D7" s="1053" t="s">
        <v>122</v>
      </c>
      <c r="E7" s="1054"/>
      <c r="F7" s="1055" cm="1">
        <f t="array" ref="F7:K7">_xlfn.XLOOKUP(O4,D29:D31,F29:K31)</f>
        <v>5.1918000000000006</v>
      </c>
      <c r="G7" s="1055">
        <v>5.3475540000000006</v>
      </c>
      <c r="H7" s="1055">
        <v>5.5079806200000005</v>
      </c>
      <c r="I7" s="1055">
        <v>5.6732200386000011</v>
      </c>
      <c r="J7" s="1055">
        <v>5.8434166397580016</v>
      </c>
      <c r="K7" s="1056">
        <v>6.0187191389507415</v>
      </c>
      <c r="M7" s="1045"/>
      <c r="N7" s="1045"/>
      <c r="O7" s="1057" t="s">
        <v>118</v>
      </c>
      <c r="P7" s="1045"/>
    </row>
    <row r="8" spans="4:16" ht="16" x14ac:dyDescent="0.2">
      <c r="D8" s="1053" t="s">
        <v>123</v>
      </c>
      <c r="E8" s="1054"/>
      <c r="F8" s="1058" cm="1">
        <f t="array" ref="F8:K8">_xlfn.XLOOKUP(O4,D36:D38,F36:K38)</f>
        <v>0.38465779420505991</v>
      </c>
      <c r="G8" s="1058">
        <v>0.39</v>
      </c>
      <c r="H8" s="1058">
        <v>0.39500000000000002</v>
      </c>
      <c r="I8" s="1058">
        <v>0.4</v>
      </c>
      <c r="J8" s="1058">
        <v>0.40500000000000003</v>
      </c>
      <c r="K8" s="1059">
        <v>0.41</v>
      </c>
      <c r="M8" s="1045"/>
      <c r="N8" s="1045"/>
      <c r="O8" s="1057" t="s">
        <v>124</v>
      </c>
      <c r="P8" s="1045"/>
    </row>
    <row r="9" spans="4:16" ht="16" x14ac:dyDescent="0.2">
      <c r="D9" s="1053" t="s">
        <v>125</v>
      </c>
      <c r="E9" s="1054"/>
      <c r="F9" s="1060" cm="1">
        <f t="array" ref="F9:K9">_xlfn.XLOOKUP(O4,D43:D45,F43:K45)</f>
        <v>6</v>
      </c>
      <c r="G9" s="1060">
        <v>4</v>
      </c>
      <c r="H9" s="1060">
        <v>5</v>
      </c>
      <c r="I9" s="1060">
        <v>5</v>
      </c>
      <c r="J9" s="1060">
        <v>6</v>
      </c>
      <c r="K9" s="1061">
        <v>6</v>
      </c>
      <c r="M9" s="1045"/>
      <c r="N9" s="1045"/>
      <c r="O9" s="1045"/>
      <c r="P9" s="1045"/>
    </row>
    <row r="10" spans="4:16" ht="16" x14ac:dyDescent="0.2">
      <c r="D10" s="1053" t="s">
        <v>126</v>
      </c>
      <c r="E10" s="1054"/>
      <c r="F10" s="1060" cm="1">
        <f t="array" ref="F10:K10">_xlfn.XLOOKUP(O4,D48:D50,F48:K50)</f>
        <v>3</v>
      </c>
      <c r="G10" s="1060">
        <v>4</v>
      </c>
      <c r="H10" s="1060">
        <v>4</v>
      </c>
      <c r="I10" s="1060">
        <v>4</v>
      </c>
      <c r="J10" s="1060">
        <v>5</v>
      </c>
      <c r="K10" s="1061">
        <v>5</v>
      </c>
    </row>
    <row r="11" spans="4:16" ht="16" x14ac:dyDescent="0.2">
      <c r="D11" s="1053" t="s">
        <v>127</v>
      </c>
      <c r="E11" s="1054"/>
      <c r="F11" s="1060" cm="1">
        <f t="array" ref="F11:K11">_xlfn.XLOOKUP(O4,D53:D55,F53:K55)</f>
        <v>7</v>
      </c>
      <c r="G11" s="1060">
        <v>7</v>
      </c>
      <c r="H11" s="1060">
        <v>4</v>
      </c>
      <c r="I11" s="1060">
        <v>5</v>
      </c>
      <c r="J11" s="1060">
        <v>5</v>
      </c>
      <c r="K11" s="1061">
        <v>4.58</v>
      </c>
    </row>
    <row r="12" spans="4:16" ht="16" x14ac:dyDescent="0.2">
      <c r="D12" s="1053" t="s">
        <v>128</v>
      </c>
      <c r="E12" s="1054"/>
      <c r="F12" s="1060" cm="1">
        <f t="array" ref="F12:K12">_xlfn.XLOOKUP(O4,D60:D62,F60:K62)</f>
        <v>0</v>
      </c>
      <c r="G12" s="1060">
        <v>4</v>
      </c>
      <c r="H12" s="1060">
        <v>2</v>
      </c>
      <c r="I12" s="1060">
        <v>2</v>
      </c>
      <c r="J12" s="1060">
        <v>1</v>
      </c>
      <c r="K12" s="1061">
        <v>0</v>
      </c>
    </row>
    <row r="13" spans="4:16" ht="16" x14ac:dyDescent="0.2">
      <c r="D13" s="1053" t="str">
        <f>D64</f>
        <v>SSS Growth, Franchise</v>
      </c>
      <c r="E13" s="1054"/>
      <c r="F13" s="1062" cm="1">
        <f t="array" ref="F13:K13">_xlfn.XLOOKUP(O4,D65:D67,F65:K67)</f>
        <v>0</v>
      </c>
      <c r="G13" s="1063">
        <v>4.4999999999999998E-2</v>
      </c>
      <c r="H13" s="1063">
        <v>4.4999999999999998E-2</v>
      </c>
      <c r="I13" s="1063">
        <v>4.4999999999999998E-2</v>
      </c>
      <c r="J13" s="1063">
        <v>4.4999999999999998E-2</v>
      </c>
      <c r="K13" s="1064">
        <v>4.4999999999999998E-2</v>
      </c>
    </row>
    <row r="14" spans="4:16" ht="16" x14ac:dyDescent="0.2">
      <c r="D14" s="1053" t="str">
        <f>D70</f>
        <v xml:space="preserve">SSS Growth, North Italia </v>
      </c>
      <c r="E14" s="1054"/>
      <c r="F14" s="1062" cm="1">
        <f t="array" ref="F14:K14">_xlfn.XLOOKUP(O4,D71:D73,F71:K73)</f>
        <v>0</v>
      </c>
      <c r="G14" s="1063">
        <v>0.04</v>
      </c>
      <c r="H14" s="1063">
        <v>0.04</v>
      </c>
      <c r="I14" s="1063">
        <v>0.04</v>
      </c>
      <c r="J14" s="1063">
        <v>0.04</v>
      </c>
      <c r="K14" s="1064">
        <v>0.04</v>
      </c>
    </row>
    <row r="15" spans="4:16" ht="17" thickBot="1" x14ac:dyDescent="0.25">
      <c r="D15" s="1065" t="str">
        <f>D75</f>
        <v>SSS Growth, FRC &amp; Others</v>
      </c>
      <c r="E15" s="1066"/>
      <c r="F15" s="1067" cm="1">
        <f t="array" ref="F15:K15">_xlfn.XLOOKUP(O4,D76:D78,F76:K78)</f>
        <v>0</v>
      </c>
      <c r="G15" s="1068">
        <v>0.05</v>
      </c>
      <c r="H15" s="1068">
        <v>0.05</v>
      </c>
      <c r="I15" s="1068">
        <v>0.05</v>
      </c>
      <c r="J15" s="1068">
        <v>0.05</v>
      </c>
      <c r="K15" s="1069">
        <v>0.05</v>
      </c>
    </row>
    <row r="18" spans="4:13" x14ac:dyDescent="0.15">
      <c r="D18" s="1070" t="s">
        <v>119</v>
      </c>
      <c r="E18" s="1071"/>
      <c r="F18" s="1072" t="s">
        <v>116</v>
      </c>
      <c r="G18" s="1073" t="s">
        <v>84</v>
      </c>
      <c r="H18" s="1073" t="s">
        <v>85</v>
      </c>
      <c r="I18" s="1073" t="s">
        <v>86</v>
      </c>
      <c r="J18" s="1073" t="s">
        <v>87</v>
      </c>
      <c r="K18" s="1074" t="s">
        <v>88</v>
      </c>
    </row>
    <row r="19" spans="4:13" x14ac:dyDescent="0.15">
      <c r="D19" s="1075" t="s">
        <v>121</v>
      </c>
      <c r="E19" s="1076"/>
      <c r="F19" s="1077">
        <f>'Revenue Build - CK F.'!BG33</f>
        <v>3.3593999999999999</v>
      </c>
      <c r="G19" s="1078">
        <f>F19*(1.04)</f>
        <v>3.493776</v>
      </c>
      <c r="H19" s="1078">
        <f>G19*(1.04)</f>
        <v>3.6335270400000002</v>
      </c>
      <c r="I19" s="1078">
        <f t="shared" ref="I19:K19" si="0">H19*(1.03)</f>
        <v>3.7425328512000005</v>
      </c>
      <c r="J19" s="1078">
        <f t="shared" si="0"/>
        <v>3.8548088367360007</v>
      </c>
      <c r="K19" s="1079">
        <f t="shared" si="0"/>
        <v>3.9704531018380806</v>
      </c>
    </row>
    <row r="20" spans="4:13" x14ac:dyDescent="0.15">
      <c r="D20" s="1075" t="s">
        <v>118</v>
      </c>
      <c r="E20" s="1076"/>
      <c r="F20" s="1077">
        <f>'Revenue Build - CK F.'!BG33</f>
        <v>3.3593999999999999</v>
      </c>
      <c r="G20" s="1080">
        <v>4</v>
      </c>
      <c r="H20" s="1080">
        <v>4.5</v>
      </c>
      <c r="I20" s="1080">
        <v>4.9000000000000004</v>
      </c>
      <c r="J20" s="1080">
        <v>5.2</v>
      </c>
      <c r="K20" s="1081">
        <v>5.5</v>
      </c>
    </row>
    <row r="21" spans="4:13" x14ac:dyDescent="0.15">
      <c r="D21" s="1082" t="s">
        <v>124</v>
      </c>
      <c r="E21" s="1083"/>
      <c r="F21" s="1084">
        <f>'Revenue Build - CK F.'!BG33</f>
        <v>3.3593999999999999</v>
      </c>
      <c r="G21" s="1085">
        <v>4.5</v>
      </c>
      <c r="H21" s="1085">
        <v>5</v>
      </c>
      <c r="I21" s="1085">
        <v>5.5</v>
      </c>
      <c r="J21" s="1085">
        <v>5.9</v>
      </c>
      <c r="K21" s="1086">
        <v>6.3</v>
      </c>
    </row>
    <row r="22" spans="4:13" x14ac:dyDescent="0.15">
      <c r="D22" s="1087"/>
      <c r="F22" s="1088"/>
      <c r="G22" s="1088"/>
      <c r="H22" s="1088"/>
      <c r="I22" s="1088"/>
      <c r="J22" s="1088"/>
      <c r="K22" s="1088"/>
    </row>
    <row r="23" spans="4:13" x14ac:dyDescent="0.15">
      <c r="D23" s="1070" t="s">
        <v>120</v>
      </c>
      <c r="E23" s="1071"/>
      <c r="F23" s="1089" t="s">
        <v>116</v>
      </c>
      <c r="G23" s="1090" t="s">
        <v>84</v>
      </c>
      <c r="H23" s="1090" t="s">
        <v>85</v>
      </c>
      <c r="I23" s="1090" t="s">
        <v>86</v>
      </c>
      <c r="J23" s="1090" t="s">
        <v>87</v>
      </c>
      <c r="K23" s="1091" t="s">
        <v>88</v>
      </c>
    </row>
    <row r="24" spans="4:13" x14ac:dyDescent="0.15">
      <c r="D24" s="1075" t="s">
        <v>121</v>
      </c>
      <c r="E24" s="1016"/>
      <c r="F24" s="1092">
        <f>'Revenue Build - CK F.'!BG37</f>
        <v>21.988799999999998</v>
      </c>
      <c r="G24" s="1093">
        <f>F24*(1.03)</f>
        <v>22.648463999999997</v>
      </c>
      <c r="H24" s="1093">
        <f>G24*(1.03)</f>
        <v>23.327917919999997</v>
      </c>
      <c r="I24" s="1093">
        <f>H24*(1.03)</f>
        <v>24.027755457599998</v>
      </c>
      <c r="J24" s="1093">
        <f>I24*(1.03)</f>
        <v>24.748588121327998</v>
      </c>
      <c r="K24" s="1094">
        <f>J24*(1.03)</f>
        <v>25.49104576496784</v>
      </c>
      <c r="L24" s="782" t="s">
        <v>81</v>
      </c>
      <c r="M24" s="782" t="s">
        <v>129</v>
      </c>
    </row>
    <row r="25" spans="4:13" x14ac:dyDescent="0.15">
      <c r="D25" s="1075" t="s">
        <v>118</v>
      </c>
      <c r="E25" s="1016"/>
      <c r="F25" s="1095">
        <f>'Revenue Build - CK F.'!BG37</f>
        <v>21.988799999999998</v>
      </c>
      <c r="G25" s="1080">
        <f>F25*(1.04)</f>
        <v>22.868351999999998</v>
      </c>
      <c r="H25" s="1080">
        <f>G25*(1.04)</f>
        <v>23.78308608</v>
      </c>
      <c r="I25" s="1080">
        <f>H25*(1.04)</f>
        <v>24.7344095232</v>
      </c>
      <c r="J25" s="1080">
        <f>I25*(1.04)</f>
        <v>25.723785904128</v>
      </c>
      <c r="K25" s="1096">
        <f>J25*(1.04)</f>
        <v>26.75273734029312</v>
      </c>
    </row>
    <row r="26" spans="4:13" x14ac:dyDescent="0.15">
      <c r="D26" s="1082" t="s">
        <v>124</v>
      </c>
      <c r="E26" s="1097"/>
      <c r="F26" s="1098">
        <f>'Revenue Build - CK F.'!BG37</f>
        <v>21.988799999999998</v>
      </c>
      <c r="G26" s="1099">
        <f>F26*(1.06)</f>
        <v>23.308128</v>
      </c>
      <c r="H26" s="1099">
        <f>G26*(1.06)</f>
        <v>24.706615680000002</v>
      </c>
      <c r="I26" s="1099">
        <f>H26*(1.06)</f>
        <v>26.189012620800003</v>
      </c>
      <c r="J26" s="1099">
        <f>I26*(1.06)</f>
        <v>27.760353378048006</v>
      </c>
      <c r="K26" s="1100">
        <f>J26*(1.06)</f>
        <v>29.425974580730887</v>
      </c>
    </row>
    <row r="27" spans="4:13" x14ac:dyDescent="0.15">
      <c r="D27" s="1087"/>
      <c r="F27" s="1078"/>
      <c r="G27" s="1088"/>
      <c r="H27" s="1088"/>
      <c r="I27" s="1088"/>
      <c r="J27" s="1088"/>
      <c r="K27" s="1088"/>
    </row>
    <row r="28" spans="4:13" x14ac:dyDescent="0.15">
      <c r="D28" s="1070" t="s">
        <v>122</v>
      </c>
      <c r="E28" s="1071"/>
      <c r="F28" s="1072" t="s">
        <v>116</v>
      </c>
      <c r="G28" s="1073" t="s">
        <v>84</v>
      </c>
      <c r="H28" s="1073" t="s">
        <v>85</v>
      </c>
      <c r="I28" s="1073" t="s">
        <v>86</v>
      </c>
      <c r="J28" s="1073" t="s">
        <v>87</v>
      </c>
      <c r="K28" s="1074" t="s">
        <v>88</v>
      </c>
    </row>
    <row r="29" spans="4:13" x14ac:dyDescent="0.15">
      <c r="D29" s="1075" t="s">
        <v>121</v>
      </c>
      <c r="E29" s="1016"/>
      <c r="F29" s="1092">
        <f>'Revenue Build - CK F.'!BG35</f>
        <v>5.1918000000000006</v>
      </c>
      <c r="G29" s="1093">
        <f>F29*(0.99)</f>
        <v>5.139882000000001</v>
      </c>
      <c r="H29" s="1093">
        <f t="shared" ref="H29:K29" si="1">G29*(0.99)</f>
        <v>5.0884831800000008</v>
      </c>
      <c r="I29" s="1093">
        <f t="shared" si="1"/>
        <v>5.0375983482000004</v>
      </c>
      <c r="J29" s="1093">
        <f t="shared" si="1"/>
        <v>4.9872223647180007</v>
      </c>
      <c r="K29" s="1094">
        <f t="shared" si="1"/>
        <v>4.9373501410708203</v>
      </c>
    </row>
    <row r="30" spans="4:13" x14ac:dyDescent="0.15">
      <c r="D30" s="1075" t="s">
        <v>118</v>
      </c>
      <c r="E30" s="1016"/>
      <c r="F30" s="1095">
        <f>'Revenue Build - CK F.'!BG35</f>
        <v>5.1918000000000006</v>
      </c>
      <c r="G30" s="1080">
        <f>F30*(1.03)</f>
        <v>5.3475540000000006</v>
      </c>
      <c r="H30" s="1080">
        <f>G30*(1.03)</f>
        <v>5.5079806200000005</v>
      </c>
      <c r="I30" s="1080">
        <f>H30*(1.03)</f>
        <v>5.6732200386000011</v>
      </c>
      <c r="J30" s="1080">
        <f>I30*(1.03)</f>
        <v>5.8434166397580016</v>
      </c>
      <c r="K30" s="1096">
        <f>J30*(1.03)</f>
        <v>6.0187191389507415</v>
      </c>
    </row>
    <row r="31" spans="4:13" x14ac:dyDescent="0.15">
      <c r="D31" s="1082" t="s">
        <v>124</v>
      </c>
      <c r="E31" s="1097"/>
      <c r="F31" s="1098">
        <f>'Revenue Build - CK F.'!BG35</f>
        <v>5.1918000000000006</v>
      </c>
      <c r="G31" s="1099">
        <f>F31*(1.05)</f>
        <v>5.4513900000000008</v>
      </c>
      <c r="H31" s="1099">
        <f>G31*(1.05)</f>
        <v>5.7239595000000012</v>
      </c>
      <c r="I31" s="1099">
        <f>H31*(1.05)</f>
        <v>6.0101574750000015</v>
      </c>
      <c r="J31" s="1099">
        <f>I31*(1.05)</f>
        <v>6.3106653487500015</v>
      </c>
      <c r="K31" s="1100">
        <f>J31*(1.05)</f>
        <v>6.6261986161875015</v>
      </c>
    </row>
    <row r="32" spans="4:13" x14ac:dyDescent="0.15">
      <c r="D32" s="1087"/>
    </row>
    <row r="33" spans="3:13" ht="15" thickBot="1" x14ac:dyDescent="0.2">
      <c r="C33" s="1101"/>
      <c r="D33" s="1102"/>
      <c r="E33" s="1101"/>
      <c r="F33" s="1101"/>
      <c r="G33" s="1101"/>
      <c r="H33" s="1101"/>
      <c r="I33" s="1101"/>
      <c r="J33" s="1101"/>
      <c r="K33" s="1101"/>
      <c r="L33" s="1101"/>
    </row>
    <row r="34" spans="3:13" x14ac:dyDescent="0.15">
      <c r="D34" s="1087"/>
    </row>
    <row r="35" spans="3:13" x14ac:dyDescent="0.15">
      <c r="D35" s="1070" t="s">
        <v>123</v>
      </c>
      <c r="E35" s="1071"/>
      <c r="F35" s="1103" t="s">
        <v>116</v>
      </c>
      <c r="G35" s="1104" t="s">
        <v>84</v>
      </c>
      <c r="H35" s="1104" t="s">
        <v>85</v>
      </c>
      <c r="I35" s="1104" t="s">
        <v>86</v>
      </c>
      <c r="J35" s="1104" t="s">
        <v>87</v>
      </c>
      <c r="K35" s="1105" t="s">
        <v>88</v>
      </c>
    </row>
    <row r="36" spans="3:13" x14ac:dyDescent="0.15">
      <c r="D36" s="1075" t="s">
        <v>121</v>
      </c>
      <c r="E36" s="1076"/>
      <c r="F36" s="1106">
        <f>'Revenue Build - CK F.'!BG28</f>
        <v>0.38465779420505991</v>
      </c>
      <c r="G36" s="1107">
        <f>$F$36+0.01</f>
        <v>0.39465779420505992</v>
      </c>
      <c r="H36" s="1107">
        <f>$F$36+0.01</f>
        <v>0.39465779420505992</v>
      </c>
      <c r="I36" s="1107">
        <f>$F$36+0.02</f>
        <v>0.40465779420505993</v>
      </c>
      <c r="J36" s="1107">
        <f>$F$36+0.02</f>
        <v>0.40465779420505993</v>
      </c>
      <c r="K36" s="1108">
        <f>$F$36+0.02</f>
        <v>0.40465779420505993</v>
      </c>
    </row>
    <row r="37" spans="3:13" x14ac:dyDescent="0.15">
      <c r="D37" s="1075" t="s">
        <v>118</v>
      </c>
      <c r="E37" s="1076"/>
      <c r="F37" s="1109">
        <f>'Revenue Build - CK F.'!BG28</f>
        <v>0.38465779420505991</v>
      </c>
      <c r="G37" s="1110">
        <v>0.39</v>
      </c>
      <c r="H37" s="1110">
        <v>0.39500000000000002</v>
      </c>
      <c r="I37" s="1110">
        <v>0.4</v>
      </c>
      <c r="J37" s="1110">
        <v>0.40500000000000003</v>
      </c>
      <c r="K37" s="1111">
        <v>0.41</v>
      </c>
      <c r="L37" s="1087" t="s">
        <v>130</v>
      </c>
      <c r="M37" s="1087"/>
    </row>
    <row r="38" spans="3:13" x14ac:dyDescent="0.15">
      <c r="D38" s="1082" t="s">
        <v>124</v>
      </c>
      <c r="E38" s="1083"/>
      <c r="F38" s="1112">
        <f>'Revenue Build - CK F.'!BG28</f>
        <v>0.38465779420505991</v>
      </c>
      <c r="G38" s="1113">
        <v>0.4</v>
      </c>
      <c r="H38" s="1113">
        <v>0.41</v>
      </c>
      <c r="I38" s="1113">
        <v>0.42</v>
      </c>
      <c r="J38" s="1113">
        <v>0.42</v>
      </c>
      <c r="K38" s="1114">
        <v>0.43</v>
      </c>
      <c r="L38" s="1087" t="s">
        <v>131</v>
      </c>
      <c r="M38" s="1087"/>
    </row>
    <row r="39" spans="3:13" x14ac:dyDescent="0.15">
      <c r="D39" s="1087"/>
    </row>
    <row r="40" spans="3:13" ht="15" thickBot="1" x14ac:dyDescent="0.2">
      <c r="C40" s="1101"/>
      <c r="D40" s="1102"/>
      <c r="E40" s="1101"/>
      <c r="F40" s="1101"/>
      <c r="G40" s="1101"/>
      <c r="H40" s="1101"/>
      <c r="I40" s="1101"/>
      <c r="J40" s="1101"/>
      <c r="K40" s="1101"/>
      <c r="L40" s="1101"/>
    </row>
    <row r="41" spans="3:13" x14ac:dyDescent="0.15">
      <c r="D41" s="1087"/>
    </row>
    <row r="42" spans="3:13" x14ac:dyDescent="0.15">
      <c r="D42" s="1070" t="s">
        <v>125</v>
      </c>
      <c r="E42" s="1071"/>
      <c r="F42" s="1103" t="s">
        <v>116</v>
      </c>
      <c r="G42" s="1104" t="s">
        <v>84</v>
      </c>
      <c r="H42" s="1104" t="s">
        <v>85</v>
      </c>
      <c r="I42" s="1104" t="s">
        <v>86</v>
      </c>
      <c r="J42" s="1104" t="s">
        <v>87</v>
      </c>
      <c r="K42" s="1105" t="s">
        <v>88</v>
      </c>
    </row>
    <row r="43" spans="3:13" x14ac:dyDescent="0.15">
      <c r="D43" s="1075" t="s">
        <v>121</v>
      </c>
      <c r="E43" s="1076"/>
      <c r="F43" s="1115">
        <f>'Revenue Build - CK F.'!BG10</f>
        <v>6</v>
      </c>
      <c r="G43" s="1116">
        <f>2</f>
        <v>2</v>
      </c>
      <c r="H43" s="1117">
        <f>G43+1</f>
        <v>3</v>
      </c>
      <c r="I43" s="1117">
        <f>H43</f>
        <v>3</v>
      </c>
      <c r="J43" s="1117">
        <f>I43</f>
        <v>3</v>
      </c>
      <c r="K43" s="1118">
        <f>J43</f>
        <v>3</v>
      </c>
    </row>
    <row r="44" spans="3:13" x14ac:dyDescent="0.15">
      <c r="D44" s="1075" t="s">
        <v>118</v>
      </c>
      <c r="E44" s="1076"/>
      <c r="F44" s="1119">
        <f>'Revenue Build - CK F.'!BG10</f>
        <v>6</v>
      </c>
      <c r="G44" s="1120">
        <v>4</v>
      </c>
      <c r="H44" s="1120">
        <v>5</v>
      </c>
      <c r="I44" s="1120">
        <v>5</v>
      </c>
      <c r="J44" s="1120">
        <v>6</v>
      </c>
      <c r="K44" s="1121">
        <v>6</v>
      </c>
    </row>
    <row r="45" spans="3:13" x14ac:dyDescent="0.15">
      <c r="D45" s="1082" t="s">
        <v>124</v>
      </c>
      <c r="E45" s="1083"/>
      <c r="F45" s="1122">
        <f>'Revenue Build - CK F.'!BG10</f>
        <v>6</v>
      </c>
      <c r="G45" s="1123">
        <v>6</v>
      </c>
      <c r="H45" s="1123">
        <v>6</v>
      </c>
      <c r="I45" s="1123">
        <v>7</v>
      </c>
      <c r="J45" s="1123">
        <v>7</v>
      </c>
      <c r="K45" s="1124">
        <v>8</v>
      </c>
    </row>
    <row r="46" spans="3:13" x14ac:dyDescent="0.15">
      <c r="D46" s="1087"/>
    </row>
    <row r="47" spans="3:13" x14ac:dyDescent="0.15">
      <c r="D47" s="1070" t="s">
        <v>126</v>
      </c>
      <c r="E47" s="1071"/>
      <c r="F47" s="1103" t="s">
        <v>116</v>
      </c>
      <c r="G47" s="1104" t="s">
        <v>84</v>
      </c>
      <c r="H47" s="1104" t="s">
        <v>85</v>
      </c>
      <c r="I47" s="1104" t="s">
        <v>86</v>
      </c>
      <c r="J47" s="1104" t="s">
        <v>87</v>
      </c>
      <c r="K47" s="1105" t="s">
        <v>88</v>
      </c>
    </row>
    <row r="48" spans="3:13" x14ac:dyDescent="0.15">
      <c r="D48" s="1075" t="s">
        <v>121</v>
      </c>
      <c r="E48" s="1076"/>
      <c r="F48" s="1115">
        <f>'Revenue Build - North Italia'!BC10</f>
        <v>3</v>
      </c>
      <c r="G48" s="1117">
        <v>2</v>
      </c>
      <c r="H48" s="1117">
        <v>2</v>
      </c>
      <c r="I48" s="1117">
        <v>2</v>
      </c>
      <c r="J48" s="1117">
        <v>2</v>
      </c>
      <c r="K48" s="1118">
        <v>2</v>
      </c>
    </row>
    <row r="49" spans="3:12" x14ac:dyDescent="0.15">
      <c r="D49" s="1075" t="s">
        <v>118</v>
      </c>
      <c r="E49" s="1076"/>
      <c r="F49" s="1119">
        <f>'Revenue Build - North Italia'!BC10</f>
        <v>3</v>
      </c>
      <c r="G49" s="1120">
        <v>4</v>
      </c>
      <c r="H49" s="1120">
        <v>4</v>
      </c>
      <c r="I49" s="1120">
        <v>4</v>
      </c>
      <c r="J49" s="1120">
        <v>5</v>
      </c>
      <c r="K49" s="1121">
        <v>5</v>
      </c>
    </row>
    <row r="50" spans="3:12" x14ac:dyDescent="0.15">
      <c r="D50" s="1082" t="s">
        <v>124</v>
      </c>
      <c r="E50" s="1083"/>
      <c r="F50" s="1122">
        <f>'Revenue Build - North Italia'!BC10</f>
        <v>3</v>
      </c>
      <c r="G50" s="1125">
        <v>5</v>
      </c>
      <c r="H50" s="1125">
        <v>5</v>
      </c>
      <c r="I50" s="1125">
        <v>6</v>
      </c>
      <c r="J50" s="1125">
        <v>6</v>
      </c>
      <c r="K50" s="1126">
        <v>7</v>
      </c>
    </row>
    <row r="51" spans="3:12" x14ac:dyDescent="0.15">
      <c r="D51" s="1087"/>
    </row>
    <row r="52" spans="3:12" x14ac:dyDescent="0.15">
      <c r="D52" s="1070" t="s">
        <v>127</v>
      </c>
      <c r="E52" s="1071"/>
      <c r="F52" s="1103" t="s">
        <v>116</v>
      </c>
      <c r="G52" s="1104" t="s">
        <v>84</v>
      </c>
      <c r="H52" s="1104" t="s">
        <v>85</v>
      </c>
      <c r="I52" s="1104" t="s">
        <v>86</v>
      </c>
      <c r="J52" s="1104" t="s">
        <v>87</v>
      </c>
      <c r="K52" s="1105" t="s">
        <v>88</v>
      </c>
    </row>
    <row r="53" spans="3:12" x14ac:dyDescent="0.15">
      <c r="D53" s="1075" t="s">
        <v>121</v>
      </c>
      <c r="E53" s="1076"/>
      <c r="F53" s="1115">
        <f>'Revenue Build - FRC &amp; Others'!BG10+'Revenue Build - FRC &amp; Others'!BG42</f>
        <v>7</v>
      </c>
      <c r="G53" s="1120">
        <v>5</v>
      </c>
      <c r="H53" s="1120">
        <v>4</v>
      </c>
      <c r="I53" s="1120">
        <v>4</v>
      </c>
      <c r="J53" s="1120">
        <v>4</v>
      </c>
      <c r="K53" s="1127">
        <v>3</v>
      </c>
    </row>
    <row r="54" spans="3:12" x14ac:dyDescent="0.15">
      <c r="D54" s="1075" t="s">
        <v>118</v>
      </c>
      <c r="E54" s="1076"/>
      <c r="F54" s="1119">
        <f>'Revenue Build - FRC &amp; Others'!BG10+'Revenue Build - FRC &amp; Others'!BG42</f>
        <v>7</v>
      </c>
      <c r="G54" s="1120">
        <v>7</v>
      </c>
      <c r="H54" s="1120">
        <v>4</v>
      </c>
      <c r="I54" s="1120">
        <v>5</v>
      </c>
      <c r="J54" s="1120">
        <v>5</v>
      </c>
      <c r="K54" s="1121">
        <v>4.58</v>
      </c>
    </row>
    <row r="55" spans="3:12" x14ac:dyDescent="0.15">
      <c r="D55" s="1082" t="s">
        <v>124</v>
      </c>
      <c r="E55" s="1083"/>
      <c r="F55" s="1122">
        <f>'Revenue Build - FRC &amp; Others'!BG10+'Revenue Build - FRC &amp; Others'!BG42</f>
        <v>7</v>
      </c>
      <c r="G55" s="1125">
        <v>7</v>
      </c>
      <c r="H55" s="1125">
        <v>6</v>
      </c>
      <c r="I55" s="1125">
        <v>6</v>
      </c>
      <c r="J55" s="1125">
        <v>6</v>
      </c>
      <c r="K55" s="1126">
        <v>6</v>
      </c>
    </row>
    <row r="56" spans="3:12" x14ac:dyDescent="0.15">
      <c r="D56" s="1087"/>
    </row>
    <row r="57" spans="3:12" ht="15" thickBot="1" x14ac:dyDescent="0.2">
      <c r="C57" s="1101"/>
      <c r="D57" s="1102"/>
      <c r="E57" s="1101"/>
      <c r="F57" s="1101"/>
      <c r="G57" s="1101"/>
      <c r="H57" s="1101"/>
      <c r="I57" s="1101"/>
      <c r="J57" s="1101"/>
      <c r="K57" s="1101"/>
      <c r="L57" s="1101"/>
    </row>
    <row r="58" spans="3:12" x14ac:dyDescent="0.15">
      <c r="D58" s="1087"/>
    </row>
    <row r="59" spans="3:12" x14ac:dyDescent="0.15">
      <c r="D59" s="1070" t="s">
        <v>128</v>
      </c>
      <c r="E59" s="1071"/>
      <c r="F59" s="1103" t="s">
        <v>116</v>
      </c>
      <c r="G59" s="1104" t="s">
        <v>84</v>
      </c>
      <c r="H59" s="1104" t="s">
        <v>85</v>
      </c>
      <c r="I59" s="1104" t="s">
        <v>86</v>
      </c>
      <c r="J59" s="1104" t="s">
        <v>87</v>
      </c>
      <c r="K59" s="1105" t="s">
        <v>88</v>
      </c>
    </row>
    <row r="60" spans="3:12" x14ac:dyDescent="0.15">
      <c r="D60" s="1075" t="s">
        <v>121</v>
      </c>
      <c r="E60" s="1076"/>
      <c r="F60" s="1115">
        <f>'Revenue Build - CK F.'!BG76</f>
        <v>0</v>
      </c>
      <c r="G60" s="1128">
        <f>G61-1</f>
        <v>3</v>
      </c>
      <c r="H60" s="1128">
        <f>H61</f>
        <v>2</v>
      </c>
      <c r="I60" s="1128">
        <f t="shared" ref="I60:J60" si="2">I61-1</f>
        <v>1</v>
      </c>
      <c r="J60" s="1128">
        <f t="shared" si="2"/>
        <v>0</v>
      </c>
      <c r="K60" s="1129">
        <f>K61</f>
        <v>0</v>
      </c>
    </row>
    <row r="61" spans="3:12" x14ac:dyDescent="0.15">
      <c r="D61" s="1075" t="s">
        <v>118</v>
      </c>
      <c r="E61" s="1076"/>
      <c r="F61" s="1119">
        <f>'Revenue Build - CK F.'!BG76</f>
        <v>0</v>
      </c>
      <c r="G61" s="1120">
        <v>4</v>
      </c>
      <c r="H61" s="1120">
        <v>2</v>
      </c>
      <c r="I61" s="1120">
        <v>2</v>
      </c>
      <c r="J61" s="1120">
        <v>1</v>
      </c>
      <c r="K61" s="1121">
        <v>0</v>
      </c>
    </row>
    <row r="62" spans="3:12" x14ac:dyDescent="0.15">
      <c r="D62" s="1082" t="s">
        <v>124</v>
      </c>
      <c r="E62" s="1083"/>
      <c r="F62" s="1122">
        <f>'Revenue Build - CK F.'!BG76</f>
        <v>0</v>
      </c>
      <c r="G62" s="1130">
        <f>G61+1</f>
        <v>5</v>
      </c>
      <c r="H62" s="1130">
        <f t="shared" ref="H62:K62" si="3">H61+1</f>
        <v>3</v>
      </c>
      <c r="I62" s="1130">
        <f t="shared" si="3"/>
        <v>3</v>
      </c>
      <c r="J62" s="1130">
        <f t="shared" si="3"/>
        <v>2</v>
      </c>
      <c r="K62" s="1131">
        <f t="shared" si="3"/>
        <v>1</v>
      </c>
    </row>
    <row r="64" spans="3:12" x14ac:dyDescent="0.15">
      <c r="D64" s="1070" t="s">
        <v>132</v>
      </c>
      <c r="E64" s="1071"/>
      <c r="F64" s="1103" t="s">
        <v>116</v>
      </c>
      <c r="G64" s="1104" t="s">
        <v>84</v>
      </c>
      <c r="H64" s="1104" t="s">
        <v>85</v>
      </c>
      <c r="I64" s="1104" t="s">
        <v>86</v>
      </c>
      <c r="J64" s="1104" t="s">
        <v>87</v>
      </c>
      <c r="K64" s="1105" t="s">
        <v>88</v>
      </c>
    </row>
    <row r="65" spans="4:11" x14ac:dyDescent="0.15">
      <c r="D65" s="1075" t="s">
        <v>121</v>
      </c>
      <c r="E65" s="1076"/>
      <c r="F65" s="1115">
        <f>'Revenue Build - CK F.'!BG81</f>
        <v>0</v>
      </c>
      <c r="G65" s="1132">
        <f>G66-0.006</f>
        <v>3.9E-2</v>
      </c>
      <c r="H65" s="1132">
        <f t="shared" ref="H65:K65" si="4">H66-0.006</f>
        <v>3.9E-2</v>
      </c>
      <c r="I65" s="1132">
        <f t="shared" si="4"/>
        <v>3.9E-2</v>
      </c>
      <c r="J65" s="1132">
        <f t="shared" si="4"/>
        <v>3.9E-2</v>
      </c>
      <c r="K65" s="1132">
        <f t="shared" si="4"/>
        <v>3.9E-2</v>
      </c>
    </row>
    <row r="66" spans="4:11" x14ac:dyDescent="0.15">
      <c r="D66" s="1075" t="s">
        <v>118</v>
      </c>
      <c r="E66" s="1076"/>
      <c r="F66" s="1119">
        <f>'Revenue Build - CK F.'!BG81</f>
        <v>0</v>
      </c>
      <c r="G66" s="1133">
        <v>4.4999999999999998E-2</v>
      </c>
      <c r="H66" s="1133">
        <v>4.4999999999999998E-2</v>
      </c>
      <c r="I66" s="1133">
        <v>4.4999999999999998E-2</v>
      </c>
      <c r="J66" s="1133">
        <v>4.4999999999999998E-2</v>
      </c>
      <c r="K66" s="1134">
        <v>4.4999999999999998E-2</v>
      </c>
    </row>
    <row r="67" spans="4:11" x14ac:dyDescent="0.15">
      <c r="D67" s="1082" t="s">
        <v>124</v>
      </c>
      <c r="E67" s="1083"/>
      <c r="F67" s="1122">
        <f>'Revenue Build - CK F.'!BG81</f>
        <v>0</v>
      </c>
      <c r="G67" s="1135">
        <f>G66+0.01</f>
        <v>5.5E-2</v>
      </c>
      <c r="H67" s="1135">
        <f t="shared" ref="H67:K67" si="5">H66+0.01</f>
        <v>5.5E-2</v>
      </c>
      <c r="I67" s="1135">
        <f t="shared" si="5"/>
        <v>5.5E-2</v>
      </c>
      <c r="J67" s="1135">
        <f t="shared" si="5"/>
        <v>5.5E-2</v>
      </c>
      <c r="K67" s="1136">
        <f t="shared" si="5"/>
        <v>5.5E-2</v>
      </c>
    </row>
    <row r="70" spans="4:11" x14ac:dyDescent="0.15">
      <c r="D70" s="1070" t="s">
        <v>133</v>
      </c>
      <c r="E70" s="1071"/>
      <c r="F70" s="1103" t="s">
        <v>116</v>
      </c>
      <c r="G70" s="1104" t="s">
        <v>84</v>
      </c>
      <c r="H70" s="1104" t="s">
        <v>85</v>
      </c>
      <c r="I70" s="1104" t="s">
        <v>86</v>
      </c>
      <c r="J70" s="1104" t="s">
        <v>87</v>
      </c>
      <c r="K70" s="1105" t="s">
        <v>88</v>
      </c>
    </row>
    <row r="71" spans="4:11" x14ac:dyDescent="0.15">
      <c r="D71" s="1075" t="s">
        <v>121</v>
      </c>
      <c r="E71" s="1076"/>
      <c r="F71" s="1115">
        <f>'Revenue Build - CK F.'!BG87</f>
        <v>0</v>
      </c>
      <c r="G71" s="1132">
        <f>G72-0.0075</f>
        <v>3.2500000000000001E-2</v>
      </c>
      <c r="H71" s="1132">
        <f t="shared" ref="H71:K71" si="6">H72-0.0075</f>
        <v>3.2500000000000001E-2</v>
      </c>
      <c r="I71" s="1132">
        <f t="shared" si="6"/>
        <v>3.2500000000000001E-2</v>
      </c>
      <c r="J71" s="1132">
        <f t="shared" si="6"/>
        <v>3.2500000000000001E-2</v>
      </c>
      <c r="K71" s="1132">
        <f t="shared" si="6"/>
        <v>3.2500000000000001E-2</v>
      </c>
    </row>
    <row r="72" spans="4:11" x14ac:dyDescent="0.15">
      <c r="D72" s="1075" t="s">
        <v>118</v>
      </c>
      <c r="E72" s="1076"/>
      <c r="F72" s="1119">
        <f>'Revenue Build - CK F.'!BG87</f>
        <v>0</v>
      </c>
      <c r="G72" s="1133">
        <v>0.04</v>
      </c>
      <c r="H72" s="1133">
        <v>0.04</v>
      </c>
      <c r="I72" s="1133">
        <v>0.04</v>
      </c>
      <c r="J72" s="1133">
        <v>0.04</v>
      </c>
      <c r="K72" s="1134">
        <v>0.04</v>
      </c>
    </row>
    <row r="73" spans="4:11" x14ac:dyDescent="0.15">
      <c r="D73" s="1082" t="s">
        <v>124</v>
      </c>
      <c r="E73" s="1083"/>
      <c r="F73" s="1122">
        <f>'Revenue Build - CK F.'!BG87</f>
        <v>0</v>
      </c>
      <c r="G73" s="1135">
        <f>G72+0.01</f>
        <v>0.05</v>
      </c>
      <c r="H73" s="1135">
        <f t="shared" ref="H73" si="7">H72+0.01</f>
        <v>0.05</v>
      </c>
      <c r="I73" s="1135">
        <f t="shared" ref="I73" si="8">I72+0.01</f>
        <v>0.05</v>
      </c>
      <c r="J73" s="1135">
        <f t="shared" ref="J73" si="9">J72+0.01</f>
        <v>0.05</v>
      </c>
      <c r="K73" s="1136">
        <f t="shared" ref="K73" si="10">K72+0.01</f>
        <v>0.05</v>
      </c>
    </row>
    <row r="75" spans="4:11" x14ac:dyDescent="0.15">
      <c r="D75" s="1070" t="s">
        <v>134</v>
      </c>
      <c r="E75" s="1071"/>
      <c r="F75" s="1103" t="s">
        <v>116</v>
      </c>
      <c r="G75" s="1104" t="s">
        <v>84</v>
      </c>
      <c r="H75" s="1104" t="s">
        <v>85</v>
      </c>
      <c r="I75" s="1104" t="s">
        <v>86</v>
      </c>
      <c r="J75" s="1104" t="s">
        <v>87</v>
      </c>
      <c r="K75" s="1105" t="s">
        <v>88</v>
      </c>
    </row>
    <row r="76" spans="4:11" x14ac:dyDescent="0.15">
      <c r="D76" s="1075" t="s">
        <v>121</v>
      </c>
      <c r="E76" s="1076"/>
      <c r="F76" s="1115">
        <f>'Revenue Build - CK F.'!BG92</f>
        <v>0</v>
      </c>
      <c r="G76" s="1132">
        <f>G77-0.008</f>
        <v>4.2000000000000003E-2</v>
      </c>
      <c r="H76" s="1132">
        <f t="shared" ref="H76:K76" si="11">H77-0.008</f>
        <v>4.2000000000000003E-2</v>
      </c>
      <c r="I76" s="1132">
        <f t="shared" si="11"/>
        <v>4.2000000000000003E-2</v>
      </c>
      <c r="J76" s="1132">
        <f t="shared" si="11"/>
        <v>4.2000000000000003E-2</v>
      </c>
      <c r="K76" s="1132">
        <f t="shared" si="11"/>
        <v>4.2000000000000003E-2</v>
      </c>
    </row>
    <row r="77" spans="4:11" x14ac:dyDescent="0.15">
      <c r="D77" s="1075" t="s">
        <v>118</v>
      </c>
      <c r="E77" s="1076"/>
      <c r="F77" s="1119">
        <f>'Revenue Build - CK F.'!BG92</f>
        <v>0</v>
      </c>
      <c r="G77" s="1133">
        <v>0.05</v>
      </c>
      <c r="H77" s="1133">
        <v>0.05</v>
      </c>
      <c r="I77" s="1133">
        <v>0.05</v>
      </c>
      <c r="J77" s="1133">
        <v>0.05</v>
      </c>
      <c r="K77" s="1134">
        <v>0.05</v>
      </c>
    </row>
    <row r="78" spans="4:11" x14ac:dyDescent="0.15">
      <c r="D78" s="1082" t="s">
        <v>124</v>
      </c>
      <c r="E78" s="1083"/>
      <c r="F78" s="1122">
        <f>'Revenue Build - CK F.'!BG92</f>
        <v>0</v>
      </c>
      <c r="G78" s="1135">
        <f>G77+0.01</f>
        <v>6.0000000000000005E-2</v>
      </c>
      <c r="H78" s="1135">
        <f t="shared" ref="H78" si="12">H77+0.01</f>
        <v>6.0000000000000005E-2</v>
      </c>
      <c r="I78" s="1135">
        <f t="shared" ref="I78" si="13">I77+0.01</f>
        <v>6.0000000000000005E-2</v>
      </c>
      <c r="J78" s="1135">
        <f t="shared" ref="J78" si="14">J77+0.01</f>
        <v>6.0000000000000005E-2</v>
      </c>
      <c r="K78" s="1136">
        <f t="shared" ref="K78" si="15">K77+0.01</f>
        <v>6.0000000000000005E-2</v>
      </c>
    </row>
  </sheetData>
  <dataValidations count="1">
    <dataValidation type="list" allowBlank="1" showInputMessage="1" showErrorMessage="1" sqref="O4" xr:uid="{D90D0171-4486-40F7-BB57-DA5A8E5E4287}">
      <formula1>$O$6:$O$8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EB6E-716B-4362-A5FA-CB2620A8538F}">
  <dimension ref="B2:N47"/>
  <sheetViews>
    <sheetView showGridLines="0" tabSelected="1" zoomScale="75" workbookViewId="0">
      <selection activeCell="I4" sqref="I4"/>
    </sheetView>
  </sheetViews>
  <sheetFormatPr baseColWidth="10" defaultColWidth="8.83203125" defaultRowHeight="15" x14ac:dyDescent="0.2"/>
  <cols>
    <col min="2" max="2" width="42.5" bestFit="1" customWidth="1"/>
    <col min="10" max="10" width="15.5" customWidth="1"/>
    <col min="11" max="11" width="13" customWidth="1"/>
    <col min="12" max="14" width="11.5" bestFit="1" customWidth="1"/>
  </cols>
  <sheetData>
    <row r="2" spans="2:14" ht="16" x14ac:dyDescent="0.2">
      <c r="B2" s="935" t="s">
        <v>22</v>
      </c>
      <c r="C2" s="936"/>
      <c r="D2" s="936"/>
      <c r="E2" s="936"/>
      <c r="F2" s="936"/>
      <c r="G2" s="936"/>
      <c r="H2" s="936"/>
      <c r="I2" s="936"/>
      <c r="J2" s="937" t="s">
        <v>84</v>
      </c>
      <c r="K2" s="937" t="s">
        <v>85</v>
      </c>
      <c r="L2" s="937" t="s">
        <v>86</v>
      </c>
      <c r="M2" s="937" t="s">
        <v>87</v>
      </c>
      <c r="N2" s="938" t="s">
        <v>88</v>
      </c>
    </row>
    <row r="3" spans="2:14" ht="16" x14ac:dyDescent="0.2">
      <c r="B3" s="939"/>
      <c r="C3" s="859"/>
      <c r="D3" s="859"/>
      <c r="E3" s="859"/>
      <c r="F3" s="859"/>
      <c r="G3" s="859"/>
      <c r="H3" s="859"/>
      <c r="I3" s="859"/>
      <c r="J3" s="859"/>
      <c r="K3" s="859"/>
      <c r="L3" s="859"/>
      <c r="M3" s="859"/>
      <c r="N3" s="940"/>
    </row>
    <row r="4" spans="2:14" ht="16" x14ac:dyDescent="0.2">
      <c r="B4" s="939" t="s">
        <v>135</v>
      </c>
      <c r="C4" s="859"/>
      <c r="D4" s="859"/>
      <c r="E4" s="859"/>
      <c r="F4" s="859"/>
      <c r="G4" s="859"/>
      <c r="H4" s="859"/>
      <c r="I4" s="859"/>
      <c r="J4" s="941">
        <f>'Valuation and Cash Flow'!D29</f>
        <v>0</v>
      </c>
      <c r="K4" s="941">
        <f>'Valuation and Cash Flow'!E29</f>
        <v>0</v>
      </c>
      <c r="L4" s="941">
        <f>'Valuation and Cash Flow'!F29</f>
        <v>0</v>
      </c>
      <c r="M4" s="941">
        <f>'Valuation and Cash Flow'!G29</f>
        <v>0</v>
      </c>
      <c r="N4" s="941">
        <f>'Valuation and Cash Flow'!H29</f>
        <v>0</v>
      </c>
    </row>
    <row r="5" spans="2:14" ht="16" x14ac:dyDescent="0.2">
      <c r="B5" s="939" t="s">
        <v>136</v>
      </c>
      <c r="C5" s="859"/>
      <c r="D5" s="859"/>
      <c r="E5" s="859"/>
      <c r="F5" s="859"/>
      <c r="G5" s="859"/>
      <c r="H5" s="859"/>
      <c r="I5" s="859"/>
      <c r="J5" s="941">
        <f>'Valuation and Cash Flow'!D22</f>
        <v>126.88461481007877</v>
      </c>
      <c r="K5" s="941">
        <f>'Valuation and Cash Flow'!E22</f>
        <v>124.12695468528383</v>
      </c>
      <c r="L5" s="941">
        <f>'Valuation and Cash Flow'!F22</f>
        <v>178.28963671209064</v>
      </c>
      <c r="M5" s="941">
        <f>'Valuation and Cash Flow'!G22</f>
        <v>256.0799480015479</v>
      </c>
      <c r="N5" s="942">
        <f>'Valuation and Cash Flow'!H22</f>
        <v>343.37863904324797</v>
      </c>
    </row>
    <row r="6" spans="2:14" ht="16" x14ac:dyDescent="0.2">
      <c r="B6" s="939"/>
      <c r="C6" s="859"/>
      <c r="D6" s="859"/>
      <c r="E6" s="859"/>
      <c r="F6" s="859"/>
      <c r="G6" s="859"/>
      <c r="H6" s="859"/>
      <c r="I6" s="859"/>
      <c r="J6" s="860"/>
      <c r="K6" s="860"/>
      <c r="L6" s="860"/>
      <c r="M6" s="860"/>
      <c r="N6" s="943"/>
    </row>
    <row r="7" spans="2:14" ht="16" x14ac:dyDescent="0.2">
      <c r="B7" s="944" t="s">
        <v>137</v>
      </c>
      <c r="C7" s="945"/>
      <c r="D7" s="945"/>
      <c r="E7" s="945"/>
      <c r="F7" s="945"/>
      <c r="G7" s="945"/>
      <c r="H7" s="945"/>
      <c r="I7" s="945"/>
      <c r="J7" s="946">
        <f>J4+J5</f>
        <v>126.88461481007877</v>
      </c>
      <c r="K7" s="946">
        <f>K4+K5</f>
        <v>124.12695468528383</v>
      </c>
      <c r="L7" s="946">
        <f>L4+L5</f>
        <v>178.28963671209064</v>
      </c>
      <c r="M7" s="946">
        <f>M4+M5</f>
        <v>256.0799480015479</v>
      </c>
      <c r="N7" s="947">
        <f>N4+N5</f>
        <v>343.37863904324797</v>
      </c>
    </row>
    <row r="8" spans="2:14" ht="16" x14ac:dyDescent="0.2">
      <c r="B8" s="859"/>
      <c r="C8" s="859"/>
      <c r="D8" s="859"/>
      <c r="E8" s="859"/>
      <c r="F8" s="859"/>
      <c r="G8" s="859"/>
      <c r="H8" s="859"/>
      <c r="I8" s="859"/>
      <c r="J8" s="860"/>
      <c r="K8" s="860"/>
      <c r="L8" s="860"/>
      <c r="M8" s="860"/>
      <c r="N8" s="860"/>
    </row>
    <row r="9" spans="2:14" ht="16" x14ac:dyDescent="0.2">
      <c r="B9" s="859"/>
      <c r="C9" s="859"/>
      <c r="D9" s="859"/>
      <c r="E9" s="859"/>
      <c r="F9" s="859"/>
      <c r="G9" s="859"/>
      <c r="H9" s="859"/>
      <c r="I9" s="859"/>
      <c r="J9" s="859"/>
      <c r="K9" s="859"/>
      <c r="L9" s="859"/>
      <c r="M9" s="859"/>
      <c r="N9" s="859"/>
    </row>
    <row r="10" spans="2:14" ht="16" x14ac:dyDescent="0.2">
      <c r="B10" s="989" t="s">
        <v>138</v>
      </c>
      <c r="C10" s="990"/>
      <c r="D10" s="990"/>
      <c r="E10" s="990"/>
      <c r="F10" s="990"/>
      <c r="G10" s="990"/>
      <c r="H10" s="990"/>
      <c r="I10" s="990"/>
      <c r="J10" s="991"/>
      <c r="K10" s="991"/>
      <c r="L10" s="991"/>
      <c r="M10" s="991"/>
      <c r="N10" s="992"/>
    </row>
    <row r="11" spans="2:14" ht="16" x14ac:dyDescent="0.2">
      <c r="B11" s="948"/>
      <c r="C11" s="859"/>
      <c r="D11" s="859"/>
      <c r="E11" s="859"/>
      <c r="F11" s="859"/>
      <c r="G11" s="859"/>
      <c r="H11" s="859"/>
      <c r="I11" s="859"/>
      <c r="J11" s="860"/>
      <c r="K11" s="860"/>
      <c r="L11" s="860"/>
      <c r="M11" s="860"/>
      <c r="N11" s="943"/>
    </row>
    <row r="12" spans="2:14" ht="16" x14ac:dyDescent="0.2">
      <c r="B12" s="939" t="s">
        <v>139</v>
      </c>
      <c r="C12" s="859"/>
      <c r="D12" s="859"/>
      <c r="E12" s="859"/>
      <c r="F12" s="859"/>
      <c r="G12" s="859"/>
      <c r="H12" s="859"/>
      <c r="I12" s="859"/>
      <c r="J12" s="941">
        <f>I16</f>
        <v>100</v>
      </c>
      <c r="K12" s="941">
        <f>J16</f>
        <v>0</v>
      </c>
      <c r="L12" s="941">
        <f>K16</f>
        <v>0</v>
      </c>
      <c r="M12" s="941">
        <f>L16</f>
        <v>0</v>
      </c>
      <c r="N12" s="942">
        <f>M16</f>
        <v>0</v>
      </c>
    </row>
    <row r="13" spans="2:14" ht="16" x14ac:dyDescent="0.2">
      <c r="B13" s="939" t="s">
        <v>140</v>
      </c>
      <c r="C13" s="859"/>
      <c r="D13" s="859"/>
      <c r="E13" s="859"/>
      <c r="F13" s="859"/>
      <c r="G13" s="859"/>
      <c r="H13" s="859"/>
      <c r="I13" s="859"/>
      <c r="J13" s="860">
        <f>IF(J7&gt;J12,J12,J7)</f>
        <v>100</v>
      </c>
      <c r="K13" s="860">
        <f>IF(K7&gt;K12,K12,K7)</f>
        <v>0</v>
      </c>
      <c r="L13" s="860">
        <f>IF(L7&gt;L12,L12,L7)</f>
        <v>0</v>
      </c>
      <c r="M13" s="860">
        <f>IF(M7&gt;M12,M12,M7)</f>
        <v>0</v>
      </c>
      <c r="N13" s="943">
        <f>IF(N7&gt;N12,N12,N7)</f>
        <v>0</v>
      </c>
    </row>
    <row r="14" spans="2:14" ht="16" x14ac:dyDescent="0.2">
      <c r="B14" s="939" t="s">
        <v>141</v>
      </c>
      <c r="C14" s="949" t="s">
        <v>142</v>
      </c>
      <c r="D14" s="950">
        <f>Transaction!F17</f>
        <v>1.7500000000000002E-2</v>
      </c>
      <c r="E14" s="859"/>
      <c r="F14" s="859"/>
      <c r="G14" s="859"/>
      <c r="H14" s="859"/>
      <c r="I14" s="859"/>
      <c r="J14" s="860">
        <f>J12*$D$14</f>
        <v>1.7500000000000002</v>
      </c>
      <c r="K14" s="860">
        <f>K12*$D$14</f>
        <v>0</v>
      </c>
      <c r="L14" s="860">
        <f>L12*$D$14</f>
        <v>0</v>
      </c>
      <c r="M14" s="860">
        <f>M12*$D$14</f>
        <v>0</v>
      </c>
      <c r="N14" s="943">
        <f>N12*$D$14</f>
        <v>0</v>
      </c>
    </row>
    <row r="15" spans="2:14" ht="16" x14ac:dyDescent="0.2">
      <c r="B15" s="939"/>
      <c r="C15" s="951"/>
      <c r="D15" s="952"/>
      <c r="E15" s="859"/>
      <c r="F15" s="859"/>
      <c r="G15" s="859"/>
      <c r="H15" s="859"/>
      <c r="I15" s="859"/>
      <c r="J15" s="860"/>
      <c r="K15" s="860"/>
      <c r="L15" s="860"/>
      <c r="M15" s="860"/>
      <c r="N15" s="943"/>
    </row>
    <row r="16" spans="2:14" ht="16" x14ac:dyDescent="0.2">
      <c r="B16" s="953" t="s">
        <v>143</v>
      </c>
      <c r="C16" s="861"/>
      <c r="D16" s="861"/>
      <c r="E16" s="861"/>
      <c r="F16" s="861"/>
      <c r="G16" s="861"/>
      <c r="H16" s="861"/>
      <c r="I16" s="862">
        <f>Transaction!E17</f>
        <v>100</v>
      </c>
      <c r="J16" s="863">
        <f>J12-J13</f>
        <v>0</v>
      </c>
      <c r="K16" s="863">
        <f>K12-K13</f>
        <v>0</v>
      </c>
      <c r="L16" s="863">
        <f>L12-L13</f>
        <v>0</v>
      </c>
      <c r="M16" s="863">
        <f>M12-M13</f>
        <v>0</v>
      </c>
      <c r="N16" s="954">
        <f>N12-N13</f>
        <v>0</v>
      </c>
    </row>
    <row r="17" spans="2:14" ht="16" x14ac:dyDescent="0.2">
      <c r="B17" s="939"/>
      <c r="C17" s="859"/>
      <c r="D17" s="859"/>
      <c r="E17" s="859"/>
      <c r="F17" s="859"/>
      <c r="G17" s="859"/>
      <c r="H17" s="859"/>
      <c r="I17" s="859"/>
      <c r="J17" s="860"/>
      <c r="K17" s="860"/>
      <c r="L17" s="860"/>
      <c r="M17" s="860"/>
      <c r="N17" s="943"/>
    </row>
    <row r="18" spans="2:14" ht="16" x14ac:dyDescent="0.2">
      <c r="B18" s="955" t="s">
        <v>144</v>
      </c>
      <c r="C18" s="988"/>
      <c r="D18" s="956"/>
      <c r="E18" s="956"/>
      <c r="F18" s="956" t="s">
        <v>145</v>
      </c>
      <c r="G18" s="956"/>
      <c r="H18" s="956"/>
      <c r="I18" s="956"/>
      <c r="J18" s="957"/>
      <c r="K18" s="957"/>
      <c r="L18" s="957"/>
      <c r="M18" s="957"/>
      <c r="N18" s="958"/>
    </row>
    <row r="19" spans="2:14" ht="16" x14ac:dyDescent="0.2">
      <c r="B19" s="859"/>
      <c r="C19" s="859"/>
      <c r="D19" s="859"/>
      <c r="E19" s="859"/>
      <c r="F19" s="864"/>
      <c r="G19" s="859"/>
      <c r="H19" s="859"/>
      <c r="I19" s="859"/>
      <c r="J19" s="860"/>
      <c r="K19" s="860"/>
      <c r="L19" s="860"/>
      <c r="M19" s="860"/>
      <c r="N19" s="860"/>
    </row>
    <row r="20" spans="2:14" ht="16" x14ac:dyDescent="0.2">
      <c r="B20" s="859"/>
      <c r="C20" s="859"/>
      <c r="D20" s="859"/>
      <c r="E20" s="859"/>
      <c r="F20" s="864"/>
      <c r="G20" s="859"/>
      <c r="H20" s="859"/>
      <c r="I20" s="859"/>
      <c r="J20" s="860"/>
      <c r="K20" s="860"/>
      <c r="L20" s="860"/>
      <c r="M20" s="860"/>
      <c r="N20" s="860"/>
    </row>
    <row r="21" spans="2:14" ht="16" x14ac:dyDescent="0.2">
      <c r="B21" s="989" t="s">
        <v>146</v>
      </c>
      <c r="C21" s="990"/>
      <c r="D21" s="990"/>
      <c r="E21" s="990"/>
      <c r="F21" s="993"/>
      <c r="G21" s="990"/>
      <c r="H21" s="990"/>
      <c r="I21" s="990"/>
      <c r="J21" s="991"/>
      <c r="K21" s="991"/>
      <c r="L21" s="991"/>
      <c r="M21" s="991"/>
      <c r="N21" s="992"/>
    </row>
    <row r="22" spans="2:14" ht="16" x14ac:dyDescent="0.2">
      <c r="B22" s="948"/>
      <c r="C22" s="859"/>
      <c r="D22" s="859"/>
      <c r="E22" s="859"/>
      <c r="F22" s="864"/>
      <c r="G22" s="859"/>
      <c r="H22" s="859"/>
      <c r="I22" s="859"/>
      <c r="J22" s="860"/>
      <c r="K22" s="860"/>
      <c r="L22" s="860"/>
      <c r="M22" s="860"/>
      <c r="N22" s="943"/>
    </row>
    <row r="23" spans="2:14" ht="16" x14ac:dyDescent="0.2">
      <c r="B23" s="939" t="s">
        <v>139</v>
      </c>
      <c r="C23" s="859"/>
      <c r="D23" s="859"/>
      <c r="E23" s="859"/>
      <c r="F23" s="864"/>
      <c r="G23" s="859"/>
      <c r="H23" s="859"/>
      <c r="I23" s="859"/>
      <c r="J23" s="860">
        <f>I27</f>
        <v>723.25980594321368</v>
      </c>
      <c r="K23" s="860">
        <f>J27</f>
        <v>696.37519113313488</v>
      </c>
      <c r="L23" s="860">
        <f>K27</f>
        <v>572.24823644785101</v>
      </c>
      <c r="M23" s="860">
        <f>L27</f>
        <v>393.95859973576034</v>
      </c>
      <c r="N23" s="943">
        <f>M27</f>
        <v>137.87865173421244</v>
      </c>
    </row>
    <row r="24" spans="2:14" ht="16" x14ac:dyDescent="0.2">
      <c r="B24" s="939" t="s">
        <v>147</v>
      </c>
      <c r="C24" s="859"/>
      <c r="D24" s="859"/>
      <c r="E24" s="859"/>
      <c r="F24" s="864"/>
      <c r="G24" s="859"/>
      <c r="H24" s="859"/>
      <c r="I24" s="859"/>
      <c r="J24" s="860">
        <f>IF(J7-J13&gt;0,MIN(J23,J7-J13),0)</f>
        <v>26.884614810078773</v>
      </c>
      <c r="K24" s="860">
        <f>IF(K7-K13&gt;0,MIN(K23,K7-K13),0)</f>
        <v>124.12695468528383</v>
      </c>
      <c r="L24" s="860">
        <f>IF(L7-L13&gt;0,MIN(L23,L7-L13),0)</f>
        <v>178.28963671209064</v>
      </c>
      <c r="M24" s="860">
        <f>IF(M7-M13&gt;0,MIN(M23,M7-M13),0)</f>
        <v>256.0799480015479</v>
      </c>
      <c r="N24" s="943">
        <f>IF(N7-N13&gt;0,MIN(N23,N7-N13),0)</f>
        <v>137.87865173421244</v>
      </c>
    </row>
    <row r="25" spans="2:14" ht="16" x14ac:dyDescent="0.2">
      <c r="B25" s="939" t="s">
        <v>141</v>
      </c>
      <c r="C25" s="949" t="s">
        <v>142</v>
      </c>
      <c r="D25" s="950">
        <f>Transaction!F18</f>
        <v>7.0699999999999999E-2</v>
      </c>
      <c r="E25" s="859"/>
      <c r="F25" s="859"/>
      <c r="G25" s="859"/>
      <c r="H25" s="859"/>
      <c r="I25" s="859"/>
      <c r="J25" s="860">
        <f>J23*$D$25</f>
        <v>51.134468280185203</v>
      </c>
      <c r="K25" s="860">
        <f>K23*$D$25</f>
        <v>49.233726013112637</v>
      </c>
      <c r="L25" s="860">
        <f>L23*$D$25</f>
        <v>40.457950316863069</v>
      </c>
      <c r="M25" s="860">
        <f>M23*$D$25</f>
        <v>27.852873001318255</v>
      </c>
      <c r="N25" s="943">
        <f>N23*$D$25</f>
        <v>9.7480206776088192</v>
      </c>
    </row>
    <row r="26" spans="2:14" ht="16" x14ac:dyDescent="0.2">
      <c r="B26" s="939"/>
      <c r="C26" s="859"/>
      <c r="D26" s="859"/>
      <c r="E26" s="859"/>
      <c r="F26" s="864"/>
      <c r="G26" s="859"/>
      <c r="H26" s="859"/>
      <c r="I26" s="859"/>
      <c r="J26" s="860"/>
      <c r="K26" s="860"/>
      <c r="L26" s="860"/>
      <c r="M26" s="860"/>
      <c r="N26" s="943"/>
    </row>
    <row r="27" spans="2:14" ht="16" x14ac:dyDescent="0.2">
      <c r="B27" s="959" t="s">
        <v>143</v>
      </c>
      <c r="C27" s="960"/>
      <c r="D27" s="960"/>
      <c r="E27" s="960"/>
      <c r="F27" s="961"/>
      <c r="G27" s="960"/>
      <c r="H27" s="960"/>
      <c r="I27" s="962">
        <f>Transaction!E18</f>
        <v>723.25980594321368</v>
      </c>
      <c r="J27" s="946">
        <f>J23-J24</f>
        <v>696.37519113313488</v>
      </c>
      <c r="K27" s="946">
        <f>K23-K24</f>
        <v>572.24823644785101</v>
      </c>
      <c r="L27" s="946">
        <f>L23-L24</f>
        <v>393.95859973576034</v>
      </c>
      <c r="M27" s="946">
        <f>M23-M24</f>
        <v>137.87865173421244</v>
      </c>
      <c r="N27" s="947">
        <f>N23-N24</f>
        <v>0</v>
      </c>
    </row>
    <row r="28" spans="2:14" ht="16" x14ac:dyDescent="0.2">
      <c r="B28" s="859"/>
      <c r="C28" s="859"/>
      <c r="D28" s="859"/>
      <c r="E28" s="859"/>
      <c r="F28" s="864"/>
      <c r="G28" s="859"/>
      <c r="H28" s="859"/>
      <c r="I28" s="859"/>
      <c r="J28" s="860"/>
      <c r="K28" s="860"/>
      <c r="L28" s="860"/>
      <c r="M28" s="860"/>
      <c r="N28" s="860"/>
    </row>
    <row r="29" spans="2:14" ht="16" x14ac:dyDescent="0.2">
      <c r="B29" s="859"/>
      <c r="C29" s="859"/>
      <c r="D29" s="859"/>
      <c r="E29" s="859"/>
      <c r="F29" s="864"/>
      <c r="G29" s="859"/>
      <c r="H29" s="859"/>
      <c r="I29" s="859"/>
      <c r="J29" s="860"/>
      <c r="K29" s="860"/>
      <c r="L29" s="860"/>
      <c r="M29" s="860"/>
      <c r="N29" s="860"/>
    </row>
    <row r="30" spans="2:14" ht="16" x14ac:dyDescent="0.2">
      <c r="B30" s="989" t="s">
        <v>148</v>
      </c>
      <c r="C30" s="990"/>
      <c r="D30" s="990"/>
      <c r="E30" s="990"/>
      <c r="F30" s="993"/>
      <c r="G30" s="990"/>
      <c r="H30" s="990"/>
      <c r="I30" s="990"/>
      <c r="J30" s="991"/>
      <c r="K30" s="991"/>
      <c r="L30" s="991"/>
      <c r="M30" s="991"/>
      <c r="N30" s="992"/>
    </row>
    <row r="31" spans="2:14" ht="16" x14ac:dyDescent="0.2">
      <c r="B31" s="939" t="s">
        <v>139</v>
      </c>
      <c r="C31" s="859"/>
      <c r="D31" s="859"/>
      <c r="E31" s="859"/>
      <c r="F31" s="864"/>
      <c r="G31" s="859"/>
      <c r="H31" s="859"/>
      <c r="I31" s="859"/>
      <c r="J31" s="860">
        <f>I35</f>
        <v>661.26931825678616</v>
      </c>
      <c r="K31" s="860">
        <f>J35</f>
        <v>661.26931825678616</v>
      </c>
      <c r="L31" s="860">
        <f>K35</f>
        <v>661.26931825678616</v>
      </c>
      <c r="M31" s="860">
        <f>L35</f>
        <v>661.26931825678616</v>
      </c>
      <c r="N31" s="943">
        <f>M35</f>
        <v>661.26931825678616</v>
      </c>
    </row>
    <row r="32" spans="2:14" ht="16" x14ac:dyDescent="0.2">
      <c r="B32" s="939" t="s">
        <v>147</v>
      </c>
      <c r="C32" s="859"/>
      <c r="D32" s="859"/>
      <c r="E32" s="859"/>
      <c r="F32" s="864"/>
      <c r="G32" s="859"/>
      <c r="H32" s="859"/>
      <c r="I32" s="859"/>
      <c r="J32" s="860">
        <f>IF(J7-J13-J24&gt;0,MIN(J31,J7-J13-J24),0)</f>
        <v>0</v>
      </c>
      <c r="K32" s="860">
        <f>IF(K7-K13-K24&gt;0,MIN(K31,K7-K13-K24),0)</f>
        <v>0</v>
      </c>
      <c r="L32" s="860">
        <f>IF(L7-L13-L24&gt;0,MIN(L31,L7-L13-L24),0)</f>
        <v>0</v>
      </c>
      <c r="M32" s="860">
        <f>IF(M7-M13-M24&gt;0,MIN(M31,M7-M13-M24),0)</f>
        <v>0</v>
      </c>
      <c r="N32" s="943">
        <f>IF(N7-N13-N24&gt;0,MIN(N31,N7-N13-N24),0)</f>
        <v>205.49998730903553</v>
      </c>
    </row>
    <row r="33" spans="2:14" ht="16" x14ac:dyDescent="0.2">
      <c r="B33" s="939" t="s">
        <v>141</v>
      </c>
      <c r="C33" s="949" t="s">
        <v>142</v>
      </c>
      <c r="D33" s="950">
        <f>Transaction!F19</f>
        <v>7.4999999999999997E-2</v>
      </c>
      <c r="E33" s="859"/>
      <c r="F33" s="859"/>
      <c r="G33" s="859"/>
      <c r="H33" s="859"/>
      <c r="I33" s="859"/>
      <c r="J33" s="860">
        <f>J31*$D$33</f>
        <v>49.595198869258958</v>
      </c>
      <c r="K33" s="860">
        <f>K31*$D$33</f>
        <v>49.595198869258958</v>
      </c>
      <c r="L33" s="860">
        <f>L31*$D$33</f>
        <v>49.595198869258958</v>
      </c>
      <c r="M33" s="860">
        <f>M31*$D$33</f>
        <v>49.595198869258958</v>
      </c>
      <c r="N33" s="943">
        <f>N31*$D$33</f>
        <v>49.595198869258958</v>
      </c>
    </row>
    <row r="34" spans="2:14" ht="16" x14ac:dyDescent="0.2">
      <c r="B34" s="939"/>
      <c r="C34" s="859"/>
      <c r="D34" s="859"/>
      <c r="E34" s="859"/>
      <c r="F34" s="859"/>
      <c r="G34" s="859"/>
      <c r="H34" s="859"/>
      <c r="I34" s="859"/>
      <c r="J34" s="860"/>
      <c r="K34" s="860"/>
      <c r="L34" s="860"/>
      <c r="M34" s="860"/>
      <c r="N34" s="943"/>
    </row>
    <row r="35" spans="2:14" ht="16" x14ac:dyDescent="0.2">
      <c r="B35" s="959" t="s">
        <v>143</v>
      </c>
      <c r="C35" s="960"/>
      <c r="D35" s="960"/>
      <c r="E35" s="960"/>
      <c r="F35" s="960"/>
      <c r="G35" s="960"/>
      <c r="H35" s="960"/>
      <c r="I35" s="962">
        <f>Transaction!E19</f>
        <v>661.26931825678616</v>
      </c>
      <c r="J35" s="946">
        <f>J31-J32</f>
        <v>661.26931825678616</v>
      </c>
      <c r="K35" s="946">
        <f>K31-K32</f>
        <v>661.26931825678616</v>
      </c>
      <c r="L35" s="946">
        <f>L31-L32</f>
        <v>661.26931825678616</v>
      </c>
      <c r="M35" s="946">
        <f>M31-M32</f>
        <v>661.26931825678616</v>
      </c>
      <c r="N35" s="947">
        <f>N31-N32</f>
        <v>455.76933094775063</v>
      </c>
    </row>
    <row r="36" spans="2:14" ht="16" x14ac:dyDescent="0.2">
      <c r="B36" s="865"/>
      <c r="C36" s="865"/>
      <c r="D36" s="865"/>
      <c r="E36" s="865"/>
      <c r="F36" s="865"/>
      <c r="G36" s="865"/>
      <c r="H36" s="865"/>
      <c r="I36" s="866"/>
      <c r="J36" s="867"/>
      <c r="K36" s="867"/>
      <c r="L36" s="867"/>
      <c r="M36" s="867"/>
      <c r="N36" s="867"/>
    </row>
    <row r="37" spans="2:14" ht="16" x14ac:dyDescent="0.2">
      <c r="B37" s="865"/>
      <c r="C37" s="865"/>
      <c r="D37" s="865"/>
      <c r="E37" s="865"/>
      <c r="F37" s="865"/>
      <c r="G37" s="865"/>
      <c r="H37" s="865"/>
      <c r="I37" s="866"/>
      <c r="J37" s="867"/>
      <c r="K37" s="867"/>
      <c r="L37" s="867"/>
      <c r="M37" s="867"/>
      <c r="N37" s="867"/>
    </row>
    <row r="38" spans="2:14" ht="16" x14ac:dyDescent="0.2">
      <c r="B38" s="989" t="s">
        <v>149</v>
      </c>
      <c r="C38" s="990"/>
      <c r="D38" s="990"/>
      <c r="E38" s="990"/>
      <c r="F38" s="990"/>
      <c r="G38" s="990"/>
      <c r="H38" s="990"/>
      <c r="I38" s="1004"/>
      <c r="J38" s="1005"/>
      <c r="K38" s="1005"/>
      <c r="L38" s="1005"/>
      <c r="M38" s="1005"/>
      <c r="N38" s="1006"/>
    </row>
    <row r="39" spans="2:14" ht="16" x14ac:dyDescent="0.2">
      <c r="B39" s="963"/>
      <c r="C39" s="865"/>
      <c r="D39" s="865"/>
      <c r="E39" s="865"/>
      <c r="F39" s="865"/>
      <c r="G39" s="865"/>
      <c r="H39" s="865"/>
      <c r="I39" s="866"/>
      <c r="J39" s="867"/>
      <c r="K39" s="867"/>
      <c r="L39" s="867"/>
      <c r="M39" s="867"/>
      <c r="N39" s="964"/>
    </row>
    <row r="40" spans="2:14" ht="16" x14ac:dyDescent="0.2">
      <c r="B40" s="965" t="s">
        <v>55</v>
      </c>
      <c r="C40" s="868"/>
      <c r="D40" s="868"/>
      <c r="E40" s="868"/>
      <c r="F40" s="868"/>
      <c r="G40" s="868"/>
      <c r="H40" s="868"/>
      <c r="I40" s="868"/>
      <c r="J40" s="869">
        <f>'Valuation and Cash Flow'!D5+'Valuation and Cash Flow'!D16</f>
        <v>348.07200276590083</v>
      </c>
      <c r="K40" s="869">
        <f>'Valuation and Cash Flow'!E5+'Valuation and Cash Flow'!E16</f>
        <v>382.92897930614868</v>
      </c>
      <c r="L40" s="869">
        <f>'Valuation and Cash Flow'!F5+'Valuation and Cash Flow'!F16</f>
        <v>466.61721244984875</v>
      </c>
      <c r="M40" s="869">
        <f>'Valuation and Cash Flow'!G5+'Valuation and Cash Flow'!G16</f>
        <v>542.30365003831264</v>
      </c>
      <c r="N40" s="966">
        <f>'Valuation and Cash Flow'!H5+'Valuation and Cash Flow'!H16</f>
        <v>616.0962822473731</v>
      </c>
    </row>
    <row r="41" spans="2:14" ht="16" x14ac:dyDescent="0.2">
      <c r="B41" s="939"/>
      <c r="C41" s="859"/>
      <c r="D41" s="859"/>
      <c r="E41" s="859"/>
      <c r="F41" s="859"/>
      <c r="G41" s="859"/>
      <c r="H41" s="859"/>
      <c r="I41" s="859"/>
      <c r="J41" s="941"/>
      <c r="K41" s="941"/>
      <c r="L41" s="941"/>
      <c r="M41" s="941"/>
      <c r="N41" s="942"/>
    </row>
    <row r="42" spans="2:14" ht="16" x14ac:dyDescent="0.2">
      <c r="B42" s="939" t="s">
        <v>150</v>
      </c>
      <c r="C42" s="859"/>
      <c r="D42" s="859"/>
      <c r="E42" s="859"/>
      <c r="F42" s="859"/>
      <c r="G42" s="859"/>
      <c r="H42" s="859"/>
      <c r="I42" s="859"/>
      <c r="J42" s="860">
        <f>J12+J23+J31</f>
        <v>1484.5291241999998</v>
      </c>
      <c r="K42" s="860">
        <f>K12+K23+K31</f>
        <v>1357.644509389921</v>
      </c>
      <c r="L42" s="860">
        <f>L12+L23+L31</f>
        <v>1233.5175547046372</v>
      </c>
      <c r="M42" s="860">
        <f>M12+M23+M31</f>
        <v>1055.2279179925465</v>
      </c>
      <c r="N42" s="943">
        <f>N12+N23+N31</f>
        <v>799.1479699909986</v>
      </c>
    </row>
    <row r="43" spans="2:14" ht="16" x14ac:dyDescent="0.2">
      <c r="B43" s="939" t="s">
        <v>151</v>
      </c>
      <c r="C43" s="859"/>
      <c r="D43" s="859"/>
      <c r="E43" s="859"/>
      <c r="F43" s="859"/>
      <c r="G43" s="859"/>
      <c r="H43" s="859"/>
      <c r="I43" s="859"/>
      <c r="J43" s="860">
        <f>J42-J4</f>
        <v>1484.5291241999998</v>
      </c>
      <c r="K43" s="860">
        <f>K42-K4</f>
        <v>1357.644509389921</v>
      </c>
      <c r="L43" s="860">
        <f>L42-L4</f>
        <v>1233.5175547046372</v>
      </c>
      <c r="M43" s="860">
        <f>M42-M4</f>
        <v>1055.2279179925465</v>
      </c>
      <c r="N43" s="943">
        <f>N42-N4</f>
        <v>799.1479699909986</v>
      </c>
    </row>
    <row r="44" spans="2:14" ht="16" x14ac:dyDescent="0.2">
      <c r="B44" s="939" t="s">
        <v>152</v>
      </c>
      <c r="C44" s="859"/>
      <c r="D44" s="859"/>
      <c r="E44" s="859"/>
      <c r="F44" s="859"/>
      <c r="G44" s="859"/>
      <c r="H44" s="859"/>
      <c r="I44" s="859"/>
      <c r="J44" s="860">
        <f>J33+J25+J14</f>
        <v>102.47966714944417</v>
      </c>
      <c r="K44" s="860">
        <f>K33+K25+K14</f>
        <v>98.828924882371595</v>
      </c>
      <c r="L44" s="860">
        <f>L33+L25+L14</f>
        <v>90.053149186122027</v>
      </c>
      <c r="M44" s="860">
        <f>M33+M25+M14</f>
        <v>77.448071870577209</v>
      </c>
      <c r="N44" s="943">
        <f>N33+N25+N14</f>
        <v>59.343219546867779</v>
      </c>
    </row>
    <row r="45" spans="2:14" ht="17" thickBot="1" x14ac:dyDescent="0.25">
      <c r="B45" s="939"/>
      <c r="C45" s="859"/>
      <c r="D45" s="859"/>
      <c r="E45" s="859"/>
      <c r="F45" s="859"/>
      <c r="G45" s="859"/>
      <c r="H45" s="859"/>
      <c r="I45" s="859"/>
      <c r="J45" s="860"/>
      <c r="K45" s="860"/>
      <c r="L45" s="860"/>
      <c r="M45" s="860"/>
      <c r="N45" s="943"/>
    </row>
    <row r="46" spans="2:14" ht="16" x14ac:dyDescent="0.2">
      <c r="B46" s="967" t="s">
        <v>153</v>
      </c>
      <c r="C46" s="870"/>
      <c r="D46" s="870"/>
      <c r="E46" s="870"/>
      <c r="F46" s="870"/>
      <c r="G46" s="870"/>
      <c r="H46" s="870"/>
      <c r="I46" s="870"/>
      <c r="J46" s="871">
        <f>J42/J40</f>
        <v>4.2650058390316277</v>
      </c>
      <c r="K46" s="871">
        <f>K42/K40</f>
        <v>3.5454211688285286</v>
      </c>
      <c r="L46" s="871">
        <f>L42/L40</f>
        <v>2.6435320468106682</v>
      </c>
      <c r="M46" s="871">
        <f>M42/M40</f>
        <v>1.9458248490822381</v>
      </c>
      <c r="N46" s="968">
        <f>N42/N40</f>
        <v>1.2971153909189264</v>
      </c>
    </row>
    <row r="47" spans="2:14" ht="17" thickBot="1" x14ac:dyDescent="0.25">
      <c r="B47" s="969" t="s">
        <v>154</v>
      </c>
      <c r="C47" s="970"/>
      <c r="D47" s="970"/>
      <c r="E47" s="970"/>
      <c r="F47" s="970"/>
      <c r="G47" s="970"/>
      <c r="H47" s="970"/>
      <c r="I47" s="970"/>
      <c r="J47" s="971">
        <f>J40/J44</f>
        <v>3.3964981781050674</v>
      </c>
      <c r="K47" s="971">
        <f>K40/K44</f>
        <v>3.8746650311325288</v>
      </c>
      <c r="L47" s="971">
        <f>L40/L44</f>
        <v>5.1815757324093505</v>
      </c>
      <c r="M47" s="971">
        <f>M40/M44</f>
        <v>7.0021581808331073</v>
      </c>
      <c r="N47" s="972">
        <f>IFERROR(N40/N44,0)</f>
        <v>10.381915355313605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5DB05-0FD6-48F4-A12C-A53C42F5AFEE}">
  <dimension ref="B1:BL34"/>
  <sheetViews>
    <sheetView showGridLines="0" zoomScale="116" zoomScaleNormal="55" workbookViewId="0">
      <selection activeCell="BG12" sqref="BG12"/>
    </sheetView>
  </sheetViews>
  <sheetFormatPr baseColWidth="10" defaultColWidth="8.83203125" defaultRowHeight="14" outlineLevelCol="1" x14ac:dyDescent="0.15"/>
  <cols>
    <col min="1" max="1" width="8.83203125" style="1007"/>
    <col min="2" max="2" width="26.5" style="1007" bestFit="1" customWidth="1"/>
    <col min="3" max="9" width="8.83203125" style="1007"/>
    <col min="10" max="13" width="8.83203125" style="1007" hidden="1" customWidth="1" outlineLevel="1"/>
    <col min="14" max="14" width="8.5" style="1007" collapsed="1"/>
    <col min="15" max="18" width="8.83203125" style="1007" hidden="1" customWidth="1" outlineLevel="1"/>
    <col min="19" max="19" width="8.5" style="1007" collapsed="1"/>
    <col min="20" max="23" width="0" style="1007" hidden="1" customWidth="1" outlineLevel="1"/>
    <col min="24" max="24" width="8.5" style="1007" collapsed="1"/>
    <col min="25" max="28" width="0" style="1007" hidden="1" customWidth="1" outlineLevel="1"/>
    <col min="29" max="29" width="8.5" style="1007" collapsed="1"/>
    <col min="30" max="33" width="8.83203125" style="1007" hidden="1" customWidth="1" outlineLevel="1"/>
    <col min="34" max="34" width="8.5" style="1007" collapsed="1"/>
    <col min="35" max="38" width="0" style="1007" hidden="1" customWidth="1" outlineLevel="1"/>
    <col min="39" max="39" width="8.5" style="1007" collapsed="1"/>
    <col min="40" max="43" width="0" style="1007" hidden="1" customWidth="1" outlineLevel="1"/>
    <col min="44" max="44" width="8.5" style="1007" collapsed="1"/>
    <col min="45" max="48" width="0" style="1007" hidden="1" customWidth="1" outlineLevel="1"/>
    <col min="49" max="49" width="8.5" style="1007" collapsed="1"/>
    <col min="50" max="53" width="0" style="1007" hidden="1" customWidth="1" outlineLevel="1"/>
    <col min="54" max="54" width="8.5" style="1007" collapsed="1"/>
    <col min="55" max="58" width="8.83203125" style="1007" hidden="1" customWidth="1" outlineLevel="1"/>
    <col min="59" max="59" width="8.5" style="1007" collapsed="1"/>
    <col min="60" max="63" width="10.1640625" style="1007" bestFit="1" customWidth="1"/>
    <col min="64" max="64" width="10.6640625" style="1007" customWidth="1"/>
    <col min="65" max="16384" width="8.83203125" style="1007"/>
  </cols>
  <sheetData>
    <row r="1" spans="2:64" x14ac:dyDescent="0.15">
      <c r="B1" s="1548" t="s">
        <v>155</v>
      </c>
      <c r="C1" s="1549"/>
      <c r="D1" s="1549"/>
      <c r="E1" s="1549"/>
      <c r="F1" s="1549"/>
      <c r="G1" s="1549"/>
      <c r="H1" s="1549"/>
      <c r="I1" s="1549"/>
      <c r="J1" s="1550">
        <v>41730</v>
      </c>
      <c r="K1" s="1550">
        <v>41821</v>
      </c>
      <c r="L1" s="1550">
        <v>41912</v>
      </c>
      <c r="M1" s="1550">
        <v>42003</v>
      </c>
      <c r="N1" s="1550">
        <v>42003</v>
      </c>
      <c r="O1" s="1550">
        <v>42094</v>
      </c>
      <c r="P1" s="1550">
        <v>42185</v>
      </c>
      <c r="Q1" s="1550">
        <v>42276</v>
      </c>
      <c r="R1" s="1550">
        <v>42367</v>
      </c>
      <c r="S1" s="1550">
        <v>42367</v>
      </c>
      <c r="T1" s="1550">
        <v>42458</v>
      </c>
      <c r="U1" s="1550">
        <v>42549</v>
      </c>
      <c r="V1" s="1550">
        <v>42640</v>
      </c>
      <c r="W1" s="1550">
        <v>42738</v>
      </c>
      <c r="X1" s="1550">
        <v>42738</v>
      </c>
      <c r="Y1" s="1550">
        <v>42829</v>
      </c>
      <c r="Z1" s="1550">
        <v>42920</v>
      </c>
      <c r="AA1" s="1550">
        <v>43011</v>
      </c>
      <c r="AB1" s="1550">
        <v>43102</v>
      </c>
      <c r="AC1" s="1550">
        <v>43102</v>
      </c>
      <c r="AD1" s="1550">
        <v>43193</v>
      </c>
      <c r="AE1" s="1550">
        <v>43284</v>
      </c>
      <c r="AF1" s="1550">
        <v>43375</v>
      </c>
      <c r="AG1" s="1550">
        <v>43466</v>
      </c>
      <c r="AH1" s="1550">
        <v>43466</v>
      </c>
      <c r="AI1" s="1550">
        <v>43557</v>
      </c>
      <c r="AJ1" s="1550">
        <v>43648</v>
      </c>
      <c r="AK1" s="1550">
        <v>43739</v>
      </c>
      <c r="AL1" s="1550">
        <v>43830</v>
      </c>
      <c r="AM1" s="1550">
        <v>43830</v>
      </c>
      <c r="AN1" s="1550">
        <v>43921</v>
      </c>
      <c r="AO1" s="1550">
        <v>44012</v>
      </c>
      <c r="AP1" s="1550">
        <v>44103</v>
      </c>
      <c r="AQ1" s="1550">
        <v>44194</v>
      </c>
      <c r="AR1" s="1550">
        <v>44194</v>
      </c>
      <c r="AS1" s="1550">
        <v>44285</v>
      </c>
      <c r="AT1" s="1550">
        <v>44376</v>
      </c>
      <c r="AU1" s="1550">
        <v>44467</v>
      </c>
      <c r="AV1" s="1550">
        <v>44558</v>
      </c>
      <c r="AW1" s="1550">
        <v>44558</v>
      </c>
      <c r="AX1" s="1550">
        <v>44649</v>
      </c>
      <c r="AY1" s="1550">
        <v>44740</v>
      </c>
      <c r="AZ1" s="1550">
        <v>44831</v>
      </c>
      <c r="BA1" s="1550">
        <v>44929</v>
      </c>
      <c r="BB1" s="1550">
        <v>44929</v>
      </c>
      <c r="BC1" s="1550">
        <v>45019</v>
      </c>
      <c r="BD1" s="1550">
        <v>45111</v>
      </c>
      <c r="BE1" s="1550">
        <v>45202</v>
      </c>
      <c r="BF1" s="1550">
        <v>45293</v>
      </c>
      <c r="BG1" s="1550">
        <v>45293</v>
      </c>
      <c r="BH1" s="1568" t="s">
        <v>156</v>
      </c>
      <c r="BI1" s="1569"/>
      <c r="BJ1" s="1569"/>
      <c r="BK1" s="1569"/>
      <c r="BL1" s="1570"/>
    </row>
    <row r="2" spans="2:64" x14ac:dyDescent="0.15">
      <c r="B2" s="1444"/>
      <c r="C2" s="1008"/>
      <c r="D2" s="1008"/>
      <c r="E2" s="1008"/>
      <c r="F2" s="1008"/>
      <c r="G2" s="1008"/>
      <c r="H2" s="1008"/>
      <c r="I2" s="1008"/>
      <c r="J2" s="1008" t="s">
        <v>157</v>
      </c>
      <c r="K2" s="1008" t="s">
        <v>158</v>
      </c>
      <c r="L2" s="1008" t="s">
        <v>159</v>
      </c>
      <c r="M2" s="1008" t="s">
        <v>160</v>
      </c>
      <c r="N2" s="1009" t="s">
        <v>161</v>
      </c>
      <c r="O2" s="1009" t="s">
        <v>162</v>
      </c>
      <c r="P2" s="1009" t="s">
        <v>163</v>
      </c>
      <c r="Q2" s="1009" t="s">
        <v>164</v>
      </c>
      <c r="R2" s="1009" t="s">
        <v>165</v>
      </c>
      <c r="S2" s="1009" t="s">
        <v>166</v>
      </c>
      <c r="T2" s="1009" t="s">
        <v>167</v>
      </c>
      <c r="U2" s="1009" t="s">
        <v>168</v>
      </c>
      <c r="V2" s="1009" t="s">
        <v>169</v>
      </c>
      <c r="W2" s="1009" t="s">
        <v>170</v>
      </c>
      <c r="X2" s="1009" t="s">
        <v>171</v>
      </c>
      <c r="Y2" s="1009" t="s">
        <v>172</v>
      </c>
      <c r="Z2" s="1009" t="s">
        <v>173</v>
      </c>
      <c r="AA2" s="1009" t="s">
        <v>174</v>
      </c>
      <c r="AB2" s="1009" t="s">
        <v>175</v>
      </c>
      <c r="AC2" s="1009" t="s">
        <v>176</v>
      </c>
      <c r="AD2" s="1009" t="s">
        <v>177</v>
      </c>
      <c r="AE2" s="1009" t="s">
        <v>178</v>
      </c>
      <c r="AF2" s="1009" t="s">
        <v>179</v>
      </c>
      <c r="AG2" s="1009" t="s">
        <v>180</v>
      </c>
      <c r="AH2" s="1009" t="s">
        <v>181</v>
      </c>
      <c r="AI2" s="1009" t="s">
        <v>182</v>
      </c>
      <c r="AJ2" s="1009" t="s">
        <v>183</v>
      </c>
      <c r="AK2" s="1009" t="s">
        <v>184</v>
      </c>
      <c r="AL2" s="1009" t="s">
        <v>185</v>
      </c>
      <c r="AM2" s="1009" t="s">
        <v>186</v>
      </c>
      <c r="AN2" s="1009" t="s">
        <v>187</v>
      </c>
      <c r="AO2" s="1009" t="s">
        <v>188</v>
      </c>
      <c r="AP2" s="1009" t="s">
        <v>189</v>
      </c>
      <c r="AQ2" s="1009" t="s">
        <v>190</v>
      </c>
      <c r="AR2" s="1009" t="s">
        <v>191</v>
      </c>
      <c r="AS2" s="1009" t="s">
        <v>192</v>
      </c>
      <c r="AT2" s="1009" t="s">
        <v>193</v>
      </c>
      <c r="AU2" s="1009" t="s">
        <v>194</v>
      </c>
      <c r="AV2" s="1009" t="s">
        <v>195</v>
      </c>
      <c r="AW2" s="1009" t="s">
        <v>196</v>
      </c>
      <c r="AX2" s="1009" t="s">
        <v>197</v>
      </c>
      <c r="AY2" s="1009" t="s">
        <v>198</v>
      </c>
      <c r="AZ2" s="1009" t="s">
        <v>199</v>
      </c>
      <c r="BA2" s="1009" t="s">
        <v>200</v>
      </c>
      <c r="BB2" s="1009" t="s">
        <v>201</v>
      </c>
      <c r="BC2" s="1009" t="s">
        <v>202</v>
      </c>
      <c r="BD2" s="1009" t="s">
        <v>203</v>
      </c>
      <c r="BE2" s="1009" t="s">
        <v>204</v>
      </c>
      <c r="BF2" s="1009" t="s">
        <v>205</v>
      </c>
      <c r="BG2" s="1009" t="s">
        <v>206</v>
      </c>
      <c r="BH2" s="1010" t="s">
        <v>207</v>
      </c>
      <c r="BI2" s="1009" t="s">
        <v>208</v>
      </c>
      <c r="BJ2" s="1009" t="s">
        <v>209</v>
      </c>
      <c r="BK2" s="1009" t="s">
        <v>210</v>
      </c>
      <c r="BL2" s="1450" t="s">
        <v>211</v>
      </c>
    </row>
    <row r="3" spans="2:64" x14ac:dyDescent="0.15">
      <c r="B3" s="1445"/>
      <c r="C3" s="1551"/>
      <c r="D3" s="1551"/>
      <c r="E3" s="1551"/>
      <c r="F3" s="1551"/>
      <c r="G3" s="1551"/>
      <c r="H3" s="1551"/>
      <c r="I3" s="1551"/>
      <c r="J3" s="1551"/>
      <c r="K3" s="1551"/>
      <c r="L3" s="1551"/>
      <c r="M3" s="1551"/>
      <c r="N3" s="1011"/>
      <c r="O3" s="1011"/>
      <c r="P3" s="1011"/>
      <c r="Q3" s="1011"/>
      <c r="R3" s="1011"/>
      <c r="S3" s="1011"/>
      <c r="T3" s="1011"/>
      <c r="U3" s="1011"/>
      <c r="V3" s="1011"/>
      <c r="W3" s="1011"/>
      <c r="X3" s="1011"/>
      <c r="Y3" s="1011"/>
      <c r="Z3" s="1011"/>
      <c r="AA3" s="1011"/>
      <c r="AB3" s="1011"/>
      <c r="AC3" s="1011"/>
      <c r="AD3" s="1011"/>
      <c r="AE3" s="1011"/>
      <c r="AF3" s="1011"/>
      <c r="AG3" s="1011"/>
      <c r="AH3" s="1011"/>
      <c r="AI3" s="1011"/>
      <c r="AJ3" s="1011"/>
      <c r="AK3" s="1011"/>
      <c r="AL3" s="1011"/>
      <c r="AM3" s="1011"/>
      <c r="AN3" s="1011"/>
      <c r="AO3" s="1011"/>
      <c r="AP3" s="1011"/>
      <c r="AQ3" s="1011"/>
      <c r="AR3" s="1011"/>
      <c r="AS3" s="1011"/>
      <c r="AT3" s="1011"/>
      <c r="AU3" s="1011"/>
      <c r="AV3" s="1011"/>
      <c r="AW3" s="1011"/>
      <c r="AX3" s="1011"/>
      <c r="AY3" s="1011"/>
      <c r="AZ3" s="1011"/>
      <c r="BA3" s="1011"/>
      <c r="BB3" s="1011"/>
      <c r="BC3" s="1011"/>
      <c r="BD3" s="1011"/>
      <c r="BE3" s="1011"/>
      <c r="BF3" s="1011"/>
      <c r="BG3" s="1011"/>
      <c r="BH3" s="1012"/>
      <c r="BL3" s="1451"/>
    </row>
    <row r="4" spans="2:64" x14ac:dyDescent="0.15">
      <c r="B4" s="1446" t="s">
        <v>212</v>
      </c>
      <c r="C4" s="1013"/>
      <c r="D4" s="1013"/>
      <c r="E4" s="1013"/>
      <c r="F4" s="1013"/>
      <c r="G4" s="1013"/>
      <c r="H4" s="1013"/>
      <c r="I4" s="1013"/>
      <c r="J4" s="1014">
        <f>J5+J6+J7</f>
        <v>481.43099999999998</v>
      </c>
      <c r="K4" s="1014">
        <f t="shared" ref="K4:BG4" si="0">K5+K6+K7</f>
        <v>496.40600000000001</v>
      </c>
      <c r="L4" s="1014">
        <f t="shared" si="0"/>
        <v>499.11400000000003</v>
      </c>
      <c r="M4" s="1014">
        <f t="shared" si="0"/>
        <v>499.673</v>
      </c>
      <c r="N4" s="1014">
        <f t="shared" si="0"/>
        <v>1792.796</v>
      </c>
      <c r="O4" s="1014">
        <f t="shared" si="0"/>
        <v>472.81700000000001</v>
      </c>
      <c r="P4" s="1014">
        <f t="shared" si="0"/>
        <v>483.28500000000003</v>
      </c>
      <c r="Q4" s="1014">
        <f t="shared" si="0"/>
        <v>481.07600000000002</v>
      </c>
      <c r="R4" s="1014">
        <f t="shared" si="0"/>
        <v>476.58</v>
      </c>
      <c r="S4" s="1014">
        <f t="shared" si="0"/>
        <v>2039.7224403760911</v>
      </c>
      <c r="T4" s="1014">
        <f t="shared" si="0"/>
        <v>553.69299999999998</v>
      </c>
      <c r="U4" s="1014">
        <f t="shared" si="0"/>
        <v>558.86199999999997</v>
      </c>
      <c r="V4" s="1014">
        <f t="shared" si="0"/>
        <v>560.01799999999992</v>
      </c>
      <c r="W4" s="1014">
        <f t="shared" si="0"/>
        <v>603.14599999999996</v>
      </c>
      <c r="X4" s="1014">
        <f t="shared" si="0"/>
        <v>2210.8926136835389</v>
      </c>
      <c r="Y4" s="1014">
        <f t="shared" si="0"/>
        <v>563.42600000000004</v>
      </c>
      <c r="Z4" s="1014">
        <f t="shared" si="0"/>
        <v>569.86899999999991</v>
      </c>
      <c r="AA4" s="1014">
        <f t="shared" si="0"/>
        <v>555.39200000000005</v>
      </c>
      <c r="AB4" s="1014">
        <f t="shared" si="0"/>
        <v>571.81500000000005</v>
      </c>
      <c r="AC4" s="1014">
        <f t="shared" si="0"/>
        <v>2190.5835025951578</v>
      </c>
      <c r="AD4" s="1014">
        <f t="shared" si="0"/>
        <v>590.69100000000003</v>
      </c>
      <c r="AE4" s="1014">
        <f t="shared" si="0"/>
        <v>593.178</v>
      </c>
      <c r="AF4" s="1014">
        <f t="shared" si="0"/>
        <v>580.88200000000006</v>
      </c>
      <c r="AG4" s="1014">
        <f t="shared" si="0"/>
        <v>585.15499999999997</v>
      </c>
      <c r="AH4" s="1014">
        <f t="shared" si="0"/>
        <v>2259.8247958526026</v>
      </c>
      <c r="AI4" s="1014">
        <f t="shared" si="0"/>
        <v>599.48099999999999</v>
      </c>
      <c r="AJ4" s="1014">
        <f t="shared" si="0"/>
        <v>602.64499999999998</v>
      </c>
      <c r="AK4" s="1014">
        <f t="shared" si="0"/>
        <v>586.53600000000006</v>
      </c>
      <c r="AL4" s="1014">
        <f t="shared" si="0"/>
        <v>616.24600012895519</v>
      </c>
      <c r="AM4" s="1014">
        <f t="shared" si="0"/>
        <v>2404.9080001289553</v>
      </c>
      <c r="AN4" s="1014">
        <f t="shared" si="0"/>
        <v>615.10599999999999</v>
      </c>
      <c r="AO4" s="1014">
        <f t="shared" si="0"/>
        <v>295.851</v>
      </c>
      <c r="AP4" s="1014">
        <f t="shared" si="0"/>
        <v>517.71600000000001</v>
      </c>
      <c r="AQ4" s="1014">
        <f t="shared" si="0"/>
        <v>471.68933522839097</v>
      </c>
      <c r="AR4" s="1014">
        <f t="shared" si="0"/>
        <v>1900.362335228391</v>
      </c>
      <c r="AS4" s="1014">
        <f t="shared" si="0"/>
        <v>627.41700000000003</v>
      </c>
      <c r="AT4" s="1014">
        <f t="shared" si="0"/>
        <v>768.95600000000002</v>
      </c>
      <c r="AU4" s="1014">
        <f t="shared" si="0"/>
        <v>754.47399999999993</v>
      </c>
      <c r="AV4" s="1014">
        <f t="shared" si="0"/>
        <v>685.40360332566286</v>
      </c>
      <c r="AW4" s="1014">
        <f t="shared" si="0"/>
        <v>2836.2506033256623</v>
      </c>
      <c r="AX4" s="1014">
        <f t="shared" si="0"/>
        <v>793.71</v>
      </c>
      <c r="AY4" s="1014">
        <f t="shared" si="0"/>
        <v>832.64300000000003</v>
      </c>
      <c r="AZ4" s="1014">
        <f t="shared" si="0"/>
        <v>784.00100000000009</v>
      </c>
      <c r="BA4" s="1014">
        <f t="shared" si="0"/>
        <v>796.23316746601165</v>
      </c>
      <c r="BB4" s="1014">
        <f t="shared" si="0"/>
        <v>3206.5871674660116</v>
      </c>
      <c r="BC4" s="1014">
        <f t="shared" si="0"/>
        <v>866.11400000000003</v>
      </c>
      <c r="BD4" s="1014">
        <f t="shared" si="0"/>
        <v>866.17</v>
      </c>
      <c r="BE4" s="1014">
        <f t="shared" si="0"/>
        <v>830.21</v>
      </c>
      <c r="BF4" s="1014">
        <f t="shared" si="0"/>
        <v>776.86887294821554</v>
      </c>
      <c r="BG4" s="1014">
        <f t="shared" si="0"/>
        <v>3339.3628729482161</v>
      </c>
      <c r="BH4" s="1015">
        <f>BH5+BH7+BH6</f>
        <v>3668.0852714031062</v>
      </c>
      <c r="BI4" s="1014">
        <f>BI5+BI7+BI6</f>
        <v>3974.6378423560855</v>
      </c>
      <c r="BJ4" s="1014">
        <f>BJ5+BJ7+BJ6</f>
        <v>4301.9083023750973</v>
      </c>
      <c r="BK4" s="1014">
        <f>BK5+BK7+BK6</f>
        <v>4650.2873613137235</v>
      </c>
      <c r="BL4" s="1452">
        <f>BL5+BL7+BL6</f>
        <v>5018.0119514403013</v>
      </c>
    </row>
    <row r="5" spans="2:64" x14ac:dyDescent="0.15">
      <c r="B5" s="1447" t="s">
        <v>213</v>
      </c>
      <c r="C5" s="1013"/>
      <c r="D5" s="1013"/>
      <c r="E5" s="1013"/>
      <c r="F5" s="1013"/>
      <c r="G5" s="1013"/>
      <c r="H5" s="1013"/>
      <c r="I5" s="1013"/>
      <c r="J5" s="1014">
        <f>'Revenue Build - CK F.'!J53</f>
        <v>436.60599999999999</v>
      </c>
      <c r="K5" s="1014">
        <f>'Revenue Build - CK F.'!K53</f>
        <v>451.45400000000001</v>
      </c>
      <c r="L5" s="1014">
        <f>'Revenue Build - CK F.'!L53</f>
        <v>454.27100000000002</v>
      </c>
      <c r="M5" s="1014">
        <f>'Revenue Build - CK F.'!M53</f>
        <v>450.46499999999997</v>
      </c>
      <c r="N5" s="1014">
        <f>'Revenue Build - CK F.'!N53</f>
        <v>1792.796</v>
      </c>
      <c r="O5" s="1014">
        <f>'Revenue Build - CK F.'!O53</f>
        <v>472.81700000000001</v>
      </c>
      <c r="P5" s="1014">
        <f>'Revenue Build - CK F.'!P53</f>
        <v>483.28500000000003</v>
      </c>
      <c r="Q5" s="1014">
        <f>'Revenue Build - CK F.'!Q53</f>
        <v>481.07600000000002</v>
      </c>
      <c r="R5" s="1014">
        <f>'Revenue Build - CK F.'!R53</f>
        <v>476.58</v>
      </c>
      <c r="S5" s="1014">
        <f>'Revenue Build - CK F.'!S53</f>
        <v>1913.758</v>
      </c>
      <c r="T5" s="1014">
        <f>'Revenue Build - CK F.'!T53</f>
        <v>506.31599999999997</v>
      </c>
      <c r="U5" s="1014">
        <f>'Revenue Build - CK F.'!U53</f>
        <v>511.91800000000001</v>
      </c>
      <c r="V5" s="1014">
        <f>'Revenue Build - CK F.'!V53</f>
        <v>512.04</v>
      </c>
      <c r="W5" s="1014">
        <f>'Revenue Build - CK F.'!W53</f>
        <v>547.80899999999997</v>
      </c>
      <c r="X5" s="1014">
        <f>'Revenue Build - CK F.'!X53</f>
        <v>2078.0830000000001</v>
      </c>
      <c r="Y5" s="1014">
        <f>'Revenue Build - CK F.'!Y53</f>
        <v>515.23400000000004</v>
      </c>
      <c r="Z5" s="1014">
        <f>'Revenue Build - CK F.'!Z53</f>
        <v>520.22799999999995</v>
      </c>
      <c r="AA5" s="1014">
        <f>'Revenue Build - CK F.'!AA53</f>
        <v>507.572</v>
      </c>
      <c r="AB5" s="1014">
        <f>'Revenue Build - CK F.'!AB53</f>
        <v>514.78200000000004</v>
      </c>
      <c r="AC5" s="1014">
        <f>'Revenue Build - CK F.'!AC53</f>
        <v>2057.8159999999998</v>
      </c>
      <c r="AD5" s="1014">
        <f>'Revenue Build - CK F.'!AD53</f>
        <v>540.77300000000002</v>
      </c>
      <c r="AE5" s="1014">
        <f>'Revenue Build - CK F.'!AE53</f>
        <v>542.10199999999998</v>
      </c>
      <c r="AF5" s="1014">
        <f>'Revenue Build - CK F.'!AF53</f>
        <v>530.21</v>
      </c>
      <c r="AG5" s="1014">
        <f>'Revenue Build - CK F.'!AG53</f>
        <v>530.78599999999994</v>
      </c>
      <c r="AH5" s="1014">
        <f>'Revenue Build - CK F.'!AH53</f>
        <v>2127.3470000000002</v>
      </c>
      <c r="AI5" s="1014">
        <f>'Revenue Build - CK F.'!AI53</f>
        <v>548.63300000000004</v>
      </c>
      <c r="AJ5" s="1014">
        <f>'Revenue Build - CK F.'!AJ53</f>
        <v>551.51900000000001</v>
      </c>
      <c r="AK5" s="1014">
        <f>'Revenue Build - CK F.'!AK53</f>
        <v>536.101</v>
      </c>
      <c r="AL5" s="1014">
        <f>'Revenue Build - CK F.'!AL53</f>
        <v>544.62899999999991</v>
      </c>
      <c r="AM5" s="1014">
        <f>'Revenue Build - CK F.'!AM53</f>
        <v>2180.8820000000001</v>
      </c>
      <c r="AN5" s="1014">
        <f>'Revenue Build - CK F.'!AN53</f>
        <v>488.471</v>
      </c>
      <c r="AO5" s="1014">
        <f>'Revenue Build - CK F.'!AO53</f>
        <v>241.06800000000001</v>
      </c>
      <c r="AP5" s="1014">
        <f>'Revenue Build - CK F.'!AP53</f>
        <v>416.98399999999998</v>
      </c>
      <c r="AQ5" s="1014">
        <f>'Revenue Build - CK F.'!AQ53</f>
        <v>438.48500000000013</v>
      </c>
      <c r="AR5" s="1014">
        <f>'Revenue Build - CK F.'!AR53</f>
        <v>1585.008</v>
      </c>
      <c r="AS5" s="1014">
        <f>'Revenue Build - CK F.'!AS53</f>
        <v>499.38900000000001</v>
      </c>
      <c r="AT5" s="1014">
        <f>'Revenue Build - CK F.'!AT53</f>
        <v>606.69100000000003</v>
      </c>
      <c r="AU5" s="1014">
        <f>'Revenue Build - CK F.'!AU53</f>
        <v>592.55499999999995</v>
      </c>
      <c r="AV5" s="1014">
        <f>'Revenue Build - CK F.'!AV53</f>
        <v>594.59000000000015</v>
      </c>
      <c r="AW5" s="1014">
        <f>'Revenue Build - CK F.'!AW53</f>
        <v>2293.2249999999999</v>
      </c>
      <c r="AX5" s="1014">
        <f>'Revenue Build - CK F.'!AX53</f>
        <v>609.81600000000003</v>
      </c>
      <c r="AY5" s="1014">
        <f>'Revenue Build - CK F.'!AY53</f>
        <v>640.85799999999995</v>
      </c>
      <c r="AZ5" s="1014">
        <f>'Revenue Build - CK F.'!AZ53</f>
        <v>602.90200000000004</v>
      </c>
      <c r="BA5" s="1014">
        <f>'Revenue Build - CK F.'!BA53</f>
        <v>674.4670000000001</v>
      </c>
      <c r="BB5" s="1014">
        <f>'Revenue Build - CK F.'!BB53</f>
        <v>2528.0430000000001</v>
      </c>
      <c r="BC5" s="1014">
        <f>'Revenue Build - CK F.'!BC53</f>
        <v>656</v>
      </c>
      <c r="BD5" s="1014">
        <f>'Revenue Build - CK F.'!BD53</f>
        <v>652.48099999999999</v>
      </c>
      <c r="BE5" s="1014">
        <f>'Revenue Build - CK F.'!BE53</f>
        <v>628.14</v>
      </c>
      <c r="BF5" s="1014">
        <f>'Revenue Build - CK F.'!BF53</f>
        <v>658.44499999999971</v>
      </c>
      <c r="BG5" s="1014">
        <f>'Revenue Build - CK F.'!BG53</f>
        <v>2595.0659999999998</v>
      </c>
      <c r="BH5" s="1015" cm="1">
        <f t="array" ref="BH5:BL5">'Revenue Build - CK F.'!BH53:BL53</f>
        <v>2861.8220309151397</v>
      </c>
      <c r="BI5" s="1014">
        <v>3098.5755910826224</v>
      </c>
      <c r="BJ5" s="1014">
        <v>3351.687678776254</v>
      </c>
      <c r="BK5" s="1014">
        <v>3616.9345396787394</v>
      </c>
      <c r="BL5" s="1452">
        <v>3891.7756040018976</v>
      </c>
    </row>
    <row r="6" spans="2:64" x14ac:dyDescent="0.15">
      <c r="B6" s="1447" t="s">
        <v>214</v>
      </c>
      <c r="C6" s="1013"/>
      <c r="D6" s="1013"/>
      <c r="E6" s="1013"/>
      <c r="F6" s="1013"/>
      <c r="G6" s="1013"/>
      <c r="H6" s="1013"/>
      <c r="I6" s="1013"/>
      <c r="J6" s="1014">
        <v>0</v>
      </c>
      <c r="K6" s="1014">
        <v>0</v>
      </c>
      <c r="L6" s="1014">
        <v>0</v>
      </c>
      <c r="M6" s="1014">
        <v>0</v>
      </c>
      <c r="N6" s="1014">
        <v>0</v>
      </c>
      <c r="O6" s="1014">
        <v>0</v>
      </c>
      <c r="P6" s="1014">
        <v>0</v>
      </c>
      <c r="Q6" s="1014">
        <v>0</v>
      </c>
      <c r="R6" s="1014">
        <v>0</v>
      </c>
      <c r="S6" s="1014">
        <v>0</v>
      </c>
      <c r="T6" s="1014">
        <v>0</v>
      </c>
      <c r="U6" s="1014">
        <v>0</v>
      </c>
      <c r="V6" s="1014">
        <v>0</v>
      </c>
      <c r="W6" s="1014">
        <v>0</v>
      </c>
      <c r="X6" s="1014">
        <v>0</v>
      </c>
      <c r="Y6" s="1014">
        <v>0</v>
      </c>
      <c r="Z6" s="1014">
        <v>0</v>
      </c>
      <c r="AA6" s="1014">
        <v>0</v>
      </c>
      <c r="AB6" s="1014">
        <v>0</v>
      </c>
      <c r="AC6" s="1014">
        <v>0</v>
      </c>
      <c r="AD6" s="1014">
        <v>0</v>
      </c>
      <c r="AE6" s="1014">
        <v>0</v>
      </c>
      <c r="AF6" s="1014">
        <v>0</v>
      </c>
      <c r="AG6" s="1014">
        <v>0</v>
      </c>
      <c r="AH6" s="1014">
        <v>0</v>
      </c>
      <c r="AI6" s="1014">
        <v>0</v>
      </c>
      <c r="AJ6" s="1014">
        <v>0</v>
      </c>
      <c r="AK6" s="1014">
        <v>0</v>
      </c>
      <c r="AL6" s="1014">
        <f>'Revenue Build - North Italia'!AH24</f>
        <v>35.268000000000001</v>
      </c>
      <c r="AM6" s="1014">
        <f>'Revenue Build - North Italia'!AI24</f>
        <v>35.268000000000001</v>
      </c>
      <c r="AN6" s="1014">
        <f>'Revenue Build - North Italia'!AJ24</f>
        <v>30.512</v>
      </c>
      <c r="AO6" s="1014">
        <f>'Revenue Build - North Italia'!AK24</f>
        <v>13.759</v>
      </c>
      <c r="AP6" s="1014">
        <f>'Revenue Build - North Italia'!AL24</f>
        <v>27.99</v>
      </c>
      <c r="AQ6" s="1014">
        <f>'Revenue Build - North Italia'!AM24</f>
        <v>30.323999999999998</v>
      </c>
      <c r="AR6" s="1014">
        <f>'Revenue Build - North Italia'!AN24</f>
        <v>102.58499999999999</v>
      </c>
      <c r="AS6" s="1014">
        <f>'Revenue Build - North Italia'!AO24</f>
        <v>32.823</v>
      </c>
      <c r="AT6" s="1014">
        <f>'Revenue Build - North Italia'!AP24</f>
        <v>43.566000000000003</v>
      </c>
      <c r="AU6" s="1014">
        <f>'Revenue Build - North Italia'!AQ24</f>
        <v>44.356999999999999</v>
      </c>
      <c r="AV6" s="1014">
        <f>'Revenue Build - North Italia'!AR24</f>
        <v>51.155000000000001</v>
      </c>
      <c r="AW6" s="1014">
        <f>'Revenue Build - North Italia'!AS24</f>
        <v>171.90100000000001</v>
      </c>
      <c r="AX6" s="1014">
        <f>'Revenue Build - North Italia'!AT24</f>
        <v>52.756999999999998</v>
      </c>
      <c r="AY6" s="1014">
        <f>'Revenue Build - North Italia'!AU24</f>
        <v>56.238</v>
      </c>
      <c r="AZ6" s="1014">
        <f>'Revenue Build - North Italia'!AV24</f>
        <v>54.113</v>
      </c>
      <c r="BA6" s="1014">
        <f>'Revenue Build - North Italia'!AW24</f>
        <v>65.51400000000001</v>
      </c>
      <c r="BB6" s="1014">
        <f>'Revenue Build - North Italia'!AX24</f>
        <v>228.62200000000001</v>
      </c>
      <c r="BC6" s="1014">
        <f>'Revenue Build - North Italia'!AY24</f>
        <v>63.302999999999997</v>
      </c>
      <c r="BD6" s="1014">
        <f>'Revenue Build - North Italia'!AZ24</f>
        <v>65.933999999999997</v>
      </c>
      <c r="BE6" s="1014">
        <f>'Revenue Build - North Italia'!BA24</f>
        <v>62.417000000000002</v>
      </c>
      <c r="BF6" s="1014">
        <f>'Revenue Build - North Italia'!BB24</f>
        <v>67.22399999999999</v>
      </c>
      <c r="BG6" s="1014">
        <f>'Revenue Build - North Italia'!BC24</f>
        <v>258.87799999999999</v>
      </c>
      <c r="BH6" s="1015">
        <f>'Revenue Build - North Italia'!BD24</f>
        <v>296.57342389233952</v>
      </c>
      <c r="BI6" s="1014">
        <f>'Revenue Build - North Italia'!BE24</f>
        <v>340.88794384805487</v>
      </c>
      <c r="BJ6" s="1014">
        <f>'Revenue Build - North Italia'!BF24</f>
        <v>388.28760080216534</v>
      </c>
      <c r="BK6" s="1014">
        <f>'Revenue Build - North Italia'!BG24</f>
        <v>443.32314769847227</v>
      </c>
      <c r="BL6" s="1452">
        <f>'Revenue Build - North Italia'!BH24</f>
        <v>506.70518980506574</v>
      </c>
    </row>
    <row r="7" spans="2:64" x14ac:dyDescent="0.15">
      <c r="B7" s="1447" t="s">
        <v>215</v>
      </c>
      <c r="C7" s="1013"/>
      <c r="D7" s="1013"/>
      <c r="E7" s="1013"/>
      <c r="F7" s="1013"/>
      <c r="G7" s="1013"/>
      <c r="H7" s="1013"/>
      <c r="I7" s="1013"/>
      <c r="J7" s="1014">
        <f>'Revenue Build - FRC &amp; Others'!J47</f>
        <v>44.825000000000003</v>
      </c>
      <c r="K7" s="1014">
        <f>'Revenue Build - FRC &amp; Others'!K47</f>
        <v>44.951999999999998</v>
      </c>
      <c r="L7" s="1014">
        <f>'Revenue Build - FRC &amp; Others'!L47</f>
        <v>44.843000000000004</v>
      </c>
      <c r="M7" s="1014">
        <f>'Revenue Build - FRC &amp; Others'!M47</f>
        <v>49.207999999999998</v>
      </c>
      <c r="N7" s="1014"/>
      <c r="O7" s="1014"/>
      <c r="P7" s="1014"/>
      <c r="Q7" s="1014"/>
      <c r="R7" s="1014"/>
      <c r="S7" s="1014">
        <f>'Revenue Build - FRC &amp; Others'!S49</f>
        <v>125.96444037609113</v>
      </c>
      <c r="T7" s="1014">
        <f>'Revenue Build - FRC &amp; Others'!T49</f>
        <v>47.377000000000002</v>
      </c>
      <c r="U7" s="1014">
        <f>'Revenue Build - FRC &amp; Others'!U49</f>
        <v>46.944000000000003</v>
      </c>
      <c r="V7" s="1014">
        <f>'Revenue Build - FRC &amp; Others'!V49</f>
        <v>47.978000000000002</v>
      </c>
      <c r="W7" s="1014">
        <f>'Revenue Build - FRC &amp; Others'!W49</f>
        <v>55.337000000000003</v>
      </c>
      <c r="X7" s="1014">
        <f>'Revenue Build - FRC &amp; Others'!X49</f>
        <v>132.80961368353863</v>
      </c>
      <c r="Y7" s="1014">
        <f>'Revenue Build - FRC &amp; Others'!Y49</f>
        <v>48.192</v>
      </c>
      <c r="Z7" s="1014">
        <f>'Revenue Build - FRC &amp; Others'!Z49</f>
        <v>49.640999999999998</v>
      </c>
      <c r="AA7" s="1014">
        <f>'Revenue Build - FRC &amp; Others'!AA49</f>
        <v>47.82</v>
      </c>
      <c r="AB7" s="1014">
        <f>'Revenue Build - FRC &amp; Others'!AB49</f>
        <v>57.033000000000001</v>
      </c>
      <c r="AC7" s="1014">
        <f>'Revenue Build - FRC &amp; Others'!AC49</f>
        <v>132.76750259515808</v>
      </c>
      <c r="AD7" s="1014">
        <f>'Revenue Build - FRC &amp; Others'!AD49</f>
        <v>49.917999999999999</v>
      </c>
      <c r="AE7" s="1014">
        <f>'Revenue Build - FRC &amp; Others'!AE49</f>
        <v>51.076000000000001</v>
      </c>
      <c r="AF7" s="1014">
        <f>'Revenue Build - FRC &amp; Others'!AF49</f>
        <v>50.671999999999997</v>
      </c>
      <c r="AG7" s="1014">
        <f>'Revenue Build - FRC &amp; Others'!AG49</f>
        <v>54.369</v>
      </c>
      <c r="AH7" s="1014">
        <f>'Revenue Build - FRC &amp; Others'!AH49</f>
        <v>132.47779585260233</v>
      </c>
      <c r="AI7" s="1014">
        <f>'Revenue Build - FRC &amp; Others'!AI49</f>
        <v>50.847999999999999</v>
      </c>
      <c r="AJ7" s="1014">
        <f>'Revenue Build - FRC &amp; Others'!AJ49</f>
        <v>51.125999999999998</v>
      </c>
      <c r="AK7" s="1014">
        <f>'Revenue Build - FRC &amp; Others'!AK49</f>
        <v>50.435000000000002</v>
      </c>
      <c r="AL7" s="1014">
        <f>'Revenue Build - FRC &amp; Others'!AL49</f>
        <v>36.349000128955247</v>
      </c>
      <c r="AM7" s="1014">
        <f>'Revenue Build - FRC &amp; Others'!AM49</f>
        <v>188.75800012895525</v>
      </c>
      <c r="AN7" s="1014">
        <f>'Revenue Build - FRC &amp; Others'!AN49</f>
        <v>96.12299999999999</v>
      </c>
      <c r="AO7" s="1014">
        <f>'Revenue Build - FRC &amp; Others'!AO49</f>
        <v>41.024000000000001</v>
      </c>
      <c r="AP7" s="1014">
        <f>'Revenue Build - FRC &amp; Others'!AP49</f>
        <v>72.742000000000004</v>
      </c>
      <c r="AQ7" s="1014">
        <f>'Revenue Build - FRC &amp; Others'!AQ49</f>
        <v>2.8803352283908481</v>
      </c>
      <c r="AR7" s="1014">
        <f>'Revenue Build - FRC &amp; Others'!AR49</f>
        <v>212.76933522839084</v>
      </c>
      <c r="AS7" s="1014">
        <f>'Revenue Build - FRC &amp; Others'!AS49</f>
        <v>95.205000000000013</v>
      </c>
      <c r="AT7" s="1014">
        <f>'Revenue Build - FRC &amp; Others'!AT49</f>
        <v>118.699</v>
      </c>
      <c r="AU7" s="1014">
        <f>'Revenue Build - FRC &amp; Others'!AU49</f>
        <v>117.56200000000001</v>
      </c>
      <c r="AV7" s="1014">
        <f>'Revenue Build - FRC &amp; Others'!AV49</f>
        <v>39.658603325662739</v>
      </c>
      <c r="AW7" s="1014">
        <f>'Revenue Build - FRC &amp; Others'!AW49</f>
        <v>371.12460332566275</v>
      </c>
      <c r="AX7" s="1014">
        <f>'Revenue Build - FRC &amp; Others'!AX49</f>
        <v>131.137</v>
      </c>
      <c r="AY7" s="1014">
        <f>'Revenue Build - FRC &amp; Others'!AY49</f>
        <v>135.547</v>
      </c>
      <c r="AZ7" s="1014">
        <f>'Revenue Build - FRC &amp; Others'!AZ49</f>
        <v>126.986</v>
      </c>
      <c r="BA7" s="1014">
        <f>'Revenue Build - FRC &amp; Others'!BA49</f>
        <v>56.252167466011571</v>
      </c>
      <c r="BB7" s="1014">
        <f>'Revenue Build - FRC &amp; Others'!BB49</f>
        <v>449.92216746601162</v>
      </c>
      <c r="BC7" s="1014">
        <f>'Revenue Build - FRC &amp; Others'!BC49</f>
        <v>146.81100000000001</v>
      </c>
      <c r="BD7" s="1014">
        <f>'Revenue Build - FRC &amp; Others'!BD49</f>
        <v>147.755</v>
      </c>
      <c r="BE7" s="1014">
        <f>'Revenue Build - FRC &amp; Others'!BE49</f>
        <v>139.65299999999999</v>
      </c>
      <c r="BF7" s="1014">
        <f>'Revenue Build - FRC &amp; Others'!BF49</f>
        <v>51.199872948215955</v>
      </c>
      <c r="BG7" s="1014">
        <f>'Revenue Build - FRC &amp; Others'!BG49</f>
        <v>485.41887294821595</v>
      </c>
      <c r="BH7" s="1015">
        <f>'Revenue Build - FRC &amp; Others'!BH49</f>
        <v>509.68981659562672</v>
      </c>
      <c r="BI7" s="1014">
        <f>'Revenue Build - FRC &amp; Others'!BI49</f>
        <v>535.17430742540807</v>
      </c>
      <c r="BJ7" s="1014">
        <f>'Revenue Build - FRC &amp; Others'!BJ49</f>
        <v>561.93302279667853</v>
      </c>
      <c r="BK7" s="1014">
        <f>'Revenue Build - FRC &amp; Others'!BK49</f>
        <v>590.02967393651249</v>
      </c>
      <c r="BL7" s="1452">
        <f>'Revenue Build - FRC &amp; Others'!BL49</f>
        <v>619.53115763333813</v>
      </c>
    </row>
    <row r="8" spans="2:64" x14ac:dyDescent="0.15">
      <c r="B8" s="1446" t="s">
        <v>216</v>
      </c>
      <c r="C8" s="1013"/>
      <c r="D8" s="1013"/>
      <c r="E8" s="1013"/>
      <c r="F8" s="1013"/>
      <c r="G8" s="1013"/>
      <c r="H8" s="1013"/>
      <c r="I8" s="1013"/>
      <c r="J8" s="1013"/>
      <c r="K8" s="1013"/>
      <c r="L8" s="1013"/>
      <c r="M8" s="1013"/>
      <c r="N8" s="1014">
        <v>53.2</v>
      </c>
      <c r="O8" s="1014"/>
      <c r="P8" s="1014"/>
      <c r="Q8" s="1014"/>
      <c r="R8" s="1014"/>
      <c r="S8" s="1014">
        <v>52.8</v>
      </c>
      <c r="T8" s="1014"/>
      <c r="U8" s="1014"/>
      <c r="V8" s="1014"/>
      <c r="W8" s="1014"/>
      <c r="X8" s="1014">
        <v>53.6</v>
      </c>
      <c r="Y8" s="1014"/>
      <c r="Z8" s="1014"/>
      <c r="AA8" s="1014"/>
      <c r="AB8" s="1014"/>
      <c r="AC8" s="1014">
        <v>55.1</v>
      </c>
      <c r="AD8" s="1014"/>
      <c r="AE8" s="1014"/>
      <c r="AF8" s="1014"/>
      <c r="AG8" s="1014"/>
      <c r="AH8" s="1014">
        <v>54.4</v>
      </c>
      <c r="AI8" s="1014"/>
      <c r="AJ8" s="1014"/>
      <c r="AK8" s="1014"/>
      <c r="AL8" s="1014"/>
      <c r="AM8" s="1014">
        <v>58.4</v>
      </c>
      <c r="AN8" s="1014"/>
      <c r="AO8" s="1014"/>
      <c r="AP8" s="1014"/>
      <c r="AQ8" s="1014"/>
      <c r="AR8" s="1014">
        <v>66.599999999999994</v>
      </c>
      <c r="AS8" s="1014"/>
      <c r="AT8" s="1014"/>
      <c r="AU8" s="1014"/>
      <c r="AV8" s="1014"/>
      <c r="AW8" s="1014">
        <v>66.2</v>
      </c>
      <c r="AX8" s="1014"/>
      <c r="AY8" s="1014"/>
      <c r="AZ8" s="1014"/>
      <c r="BA8" s="1014"/>
      <c r="BB8" s="1014">
        <v>68.186000000000007</v>
      </c>
      <c r="BC8" s="1014"/>
      <c r="BD8" s="1014"/>
      <c r="BE8" s="1014"/>
      <c r="BF8" s="1014"/>
      <c r="BG8" s="1014">
        <v>70.231580000000008</v>
      </c>
      <c r="BH8" s="1015">
        <f>BH9*(BH5+BH10)</f>
        <v>77.524554228257188</v>
      </c>
      <c r="BI8" s="1014">
        <f t="shared" ref="BI8:BL8" si="1">BI9*(BI5+BI10)</f>
        <v>83.948969682338756</v>
      </c>
      <c r="BJ8" s="1014">
        <f t="shared" si="1"/>
        <v>90.790903331345689</v>
      </c>
      <c r="BK8" s="1014">
        <f t="shared" si="1"/>
        <v>98.009002653240231</v>
      </c>
      <c r="BL8" s="1452">
        <f t="shared" si="1"/>
        <v>105.39054252972385</v>
      </c>
    </row>
    <row r="9" spans="2:64" x14ac:dyDescent="0.15">
      <c r="B9" s="1447" t="s">
        <v>217</v>
      </c>
      <c r="C9" s="1013"/>
      <c r="D9" s="1013"/>
      <c r="E9" s="1013"/>
      <c r="F9" s="1013"/>
      <c r="G9" s="1013"/>
      <c r="H9" s="1013"/>
      <c r="I9" s="1013"/>
      <c r="J9" s="1013"/>
      <c r="K9" s="1013"/>
      <c r="L9" s="1013"/>
      <c r="M9" s="1013"/>
      <c r="N9" s="1017"/>
      <c r="O9" s="1017"/>
      <c r="P9" s="1017"/>
      <c r="Q9" s="1017"/>
      <c r="R9" s="1017"/>
      <c r="S9" s="1018">
        <f>S8/(S5+S10)</f>
        <v>2.7473605883262784E-2</v>
      </c>
      <c r="T9" s="1018">
        <f t="shared" ref="T9:BG9" si="2">T8/(T5+T10)</f>
        <v>0</v>
      </c>
      <c r="U9" s="1018">
        <f t="shared" si="2"/>
        <v>0</v>
      </c>
      <c r="V9" s="1018">
        <f t="shared" si="2"/>
        <v>0</v>
      </c>
      <c r="W9" s="1018">
        <f t="shared" si="2"/>
        <v>0</v>
      </c>
      <c r="X9" s="1018">
        <f t="shared" si="2"/>
        <v>2.565441018503201E-2</v>
      </c>
      <c r="Y9" s="1018">
        <f t="shared" si="2"/>
        <v>0</v>
      </c>
      <c r="Z9" s="1018">
        <f t="shared" si="2"/>
        <v>0</v>
      </c>
      <c r="AA9" s="1018">
        <f t="shared" si="2"/>
        <v>0</v>
      </c>
      <c r="AB9" s="1018">
        <f t="shared" si="2"/>
        <v>0</v>
      </c>
      <c r="AC9" s="1018">
        <f t="shared" si="2"/>
        <v>2.6584523257231821E-2</v>
      </c>
      <c r="AD9" s="1018">
        <f t="shared" si="2"/>
        <v>0</v>
      </c>
      <c r="AE9" s="1018">
        <f t="shared" si="2"/>
        <v>0</v>
      </c>
      <c r="AF9" s="1018">
        <f t="shared" si="2"/>
        <v>0</v>
      </c>
      <c r="AG9" s="1018">
        <f t="shared" si="2"/>
        <v>0</v>
      </c>
      <c r="AH9" s="1018">
        <f t="shared" si="2"/>
        <v>2.5355948055561774E-2</v>
      </c>
      <c r="AI9" s="1018">
        <f t="shared" si="2"/>
        <v>0</v>
      </c>
      <c r="AJ9" s="1018">
        <f t="shared" si="2"/>
        <v>0</v>
      </c>
      <c r="AK9" s="1018">
        <f t="shared" si="2"/>
        <v>0</v>
      </c>
      <c r="AL9" s="1018">
        <f t="shared" si="2"/>
        <v>0</v>
      </c>
      <c r="AM9" s="1018">
        <f t="shared" si="2"/>
        <v>2.6542245348254605E-2</v>
      </c>
      <c r="AN9" s="1018">
        <f t="shared" si="2"/>
        <v>0</v>
      </c>
      <c r="AO9" s="1018">
        <f t="shared" si="2"/>
        <v>0</v>
      </c>
      <c r="AP9" s="1018">
        <f t="shared" si="2"/>
        <v>0</v>
      </c>
      <c r="AQ9" s="1018">
        <f t="shared" si="2"/>
        <v>0</v>
      </c>
      <c r="AR9" s="1018">
        <f t="shared" si="2"/>
        <v>4.1591969093806642E-2</v>
      </c>
      <c r="AS9" s="1018">
        <f t="shared" si="2"/>
        <v>0</v>
      </c>
      <c r="AT9" s="1018">
        <f t="shared" si="2"/>
        <v>0</v>
      </c>
      <c r="AU9" s="1018">
        <f t="shared" si="2"/>
        <v>0</v>
      </c>
      <c r="AV9" s="1018">
        <f t="shared" si="2"/>
        <v>0</v>
      </c>
      <c r="AW9" s="1018">
        <f t="shared" si="2"/>
        <v>2.8555229650889916E-2</v>
      </c>
      <c r="AX9" s="1018">
        <f t="shared" si="2"/>
        <v>0</v>
      </c>
      <c r="AY9" s="1018">
        <f t="shared" si="2"/>
        <v>0</v>
      </c>
      <c r="AZ9" s="1018">
        <f t="shared" si="2"/>
        <v>0</v>
      </c>
      <c r="BA9" s="1018">
        <f t="shared" si="2"/>
        <v>0</v>
      </c>
      <c r="BB9" s="1018">
        <f t="shared" si="2"/>
        <v>2.667239515899136E-2</v>
      </c>
      <c r="BC9" s="1018">
        <f t="shared" si="2"/>
        <v>0</v>
      </c>
      <c r="BD9" s="1018">
        <f t="shared" si="2"/>
        <v>0</v>
      </c>
      <c r="BE9" s="1018">
        <f t="shared" si="2"/>
        <v>0</v>
      </c>
      <c r="BF9" s="1018">
        <f t="shared" si="2"/>
        <v>0</v>
      </c>
      <c r="BG9" s="1018">
        <f t="shared" si="2"/>
        <v>2.6755147046618022E-2</v>
      </c>
      <c r="BH9" s="1019">
        <f>$BG$9</f>
        <v>2.6755147046618022E-2</v>
      </c>
      <c r="BI9" s="1552">
        <f t="shared" ref="BI9:BL9" si="3">$BG$9</f>
        <v>2.6755147046618022E-2</v>
      </c>
      <c r="BJ9" s="1552">
        <f t="shared" si="3"/>
        <v>2.6755147046618022E-2</v>
      </c>
      <c r="BK9" s="1552">
        <f t="shared" si="3"/>
        <v>2.6755147046618022E-2</v>
      </c>
      <c r="BL9" s="1453">
        <f t="shared" si="3"/>
        <v>2.6755147046618022E-2</v>
      </c>
    </row>
    <row r="10" spans="2:64" x14ac:dyDescent="0.15">
      <c r="B10" s="1446" t="s">
        <v>218</v>
      </c>
      <c r="C10" s="1013"/>
      <c r="D10" s="1013"/>
      <c r="E10" s="1013"/>
      <c r="F10" s="1013"/>
      <c r="G10" s="1013"/>
      <c r="H10" s="1013"/>
      <c r="I10" s="1013"/>
      <c r="J10" s="1013"/>
      <c r="K10" s="1013"/>
      <c r="L10" s="1013"/>
      <c r="M10" s="1013"/>
      <c r="N10" s="1013"/>
      <c r="O10" s="1017"/>
      <c r="P10" s="1017"/>
      <c r="Q10" s="1017"/>
      <c r="R10" s="1017"/>
      <c r="S10" s="1014">
        <f>'Revenue Build - Franchising'!L36</f>
        <v>8.0865596239088564</v>
      </c>
      <c r="T10" s="1014">
        <f>'Revenue Build - Franchising'!M36</f>
        <v>2.3777730049261083</v>
      </c>
      <c r="U10" s="1014">
        <f>'Revenue Build - Franchising'!N36</f>
        <v>2.6097780392156862</v>
      </c>
      <c r="V10" s="1014">
        <f>'Revenue Build - Franchising'!O36</f>
        <v>2.8175746031746036</v>
      </c>
      <c r="W10" s="1014">
        <f>'Revenue Build - Franchising'!P36</f>
        <v>3.4212606691449814</v>
      </c>
      <c r="X10" s="1014">
        <f>'Revenue Build - Franchising'!Q36</f>
        <v>11.22638631646138</v>
      </c>
      <c r="Y10" s="1014">
        <f>'Revenue Build - Franchising'!R36</f>
        <v>3.3994820618556703</v>
      </c>
      <c r="Z10" s="1014">
        <f>'Revenue Build - Franchising'!S36</f>
        <v>3.4392506634882802</v>
      </c>
      <c r="AA10" s="1014">
        <f>'Revenue Build - Franchising'!T36</f>
        <v>3.7840493189964159</v>
      </c>
      <c r="AB10" s="1014">
        <f>'Revenue Build - Franchising'!U36</f>
        <v>4.1957153605015689</v>
      </c>
      <c r="AC10" s="1014">
        <f>'Revenue Build - Franchising'!V36</f>
        <v>14.818497404841935</v>
      </c>
      <c r="AD10" s="1014">
        <f>'Revenue Build - Franchising'!W36</f>
        <v>4.5653197989949765</v>
      </c>
      <c r="AE10" s="1014">
        <f>'Revenue Build - Franchising'!X36</f>
        <v>4.5854018900077467</v>
      </c>
      <c r="AF10" s="1014">
        <f>'Revenue Build - Franchising'!Y36</f>
        <v>4.4882893023255823</v>
      </c>
      <c r="AG10" s="1014">
        <f>'Revenue Build - Franchising'!Z36</f>
        <v>4.4671931560693654</v>
      </c>
      <c r="AH10" s="1014">
        <f>'Revenue Build - Franchising'!AA36</f>
        <v>18.106204147397669</v>
      </c>
      <c r="AI10" s="1014">
        <f>'Revenue Build - Franchising'!AB36</f>
        <v>4.3672278606965182</v>
      </c>
      <c r="AJ10" s="1014">
        <f>'Revenue Build - Franchising'!AC36</f>
        <v>4.5903867987804885</v>
      </c>
      <c r="AK10" s="1014">
        <f>'Revenue Build - Franchising'!AD36</f>
        <v>4.8795798782343995</v>
      </c>
      <c r="AL10" s="1014">
        <f>'Revenue Build - Franchising'!AE36</f>
        <v>5.5468053333333343</v>
      </c>
      <c r="AM10" s="1014">
        <f>'Revenue Build - Franchising'!AF36</f>
        <v>19.38399987104474</v>
      </c>
      <c r="AN10" s="1014">
        <f>'Revenue Build - Franchising'!AG36</f>
        <v>4.9395122812266266</v>
      </c>
      <c r="AO10" s="1014">
        <f>'Revenue Build - Franchising'!AH36</f>
        <v>2.4691207272727276</v>
      </c>
      <c r="AP10" s="1014">
        <f>'Revenue Build - Franchising'!AI36</f>
        <v>4.23563011269722</v>
      </c>
      <c r="AQ10" s="1014">
        <f>'Revenue Build - Franchising'!AJ36</f>
        <v>4.6184016504126051</v>
      </c>
      <c r="AR10" s="1014">
        <f>'Revenue Build - Franchising'!AK36</f>
        <v>16.262664771609177</v>
      </c>
      <c r="AS10" s="1014">
        <f>'Revenue Build - Franchising'!AL36</f>
        <v>5.2363118446601931</v>
      </c>
      <c r="AT10" s="1014">
        <f>'Revenue Build - Franchising'!AM36</f>
        <v>6.5651586473429973</v>
      </c>
      <c r="AU10" s="1014">
        <f>'Revenue Build - Franchising'!AN36</f>
        <v>6.6461356638155458</v>
      </c>
      <c r="AV10" s="1014">
        <f>'Revenue Build - Franchising'!AO36</f>
        <v>6.6417905185185209</v>
      </c>
      <c r="AW10" s="1014">
        <f>'Revenue Build - Franchising'!AP36</f>
        <v>25.089396674337259</v>
      </c>
      <c r="AX10" s="1014">
        <f>'Revenue Build - Franchising'!AQ36</f>
        <v>6.8017938461538465</v>
      </c>
      <c r="AY10" s="1014">
        <f>'Revenue Build - Franchising'!AR36</f>
        <v>7.1480315384615372</v>
      </c>
      <c r="AZ10" s="1014">
        <f>'Revenue Build - Franchising'!AS36</f>
        <v>6.7221901367837349</v>
      </c>
      <c r="BA10" s="1014">
        <f>'Revenue Build - Franchising'!AT36</f>
        <v>7.7108170125893167</v>
      </c>
      <c r="BB10" s="1014">
        <f>'Revenue Build - Franchising'!AU36</f>
        <v>28.382832533988434</v>
      </c>
      <c r="BC10" s="1014">
        <f>'Revenue Build - Franchising'!AV36</f>
        <v>7.3957930998486354</v>
      </c>
      <c r="BD10" s="1014">
        <f>'Revenue Build - Franchising'!AW36</f>
        <v>7.5278401504859431</v>
      </c>
      <c r="BE10" s="1014">
        <f>'Revenue Build - Franchising'!AX36</f>
        <v>7.1110188679245283</v>
      </c>
      <c r="BF10" s="1014">
        <f>'Revenue Build - Franchising'!AY36</f>
        <v>7.8738949335249719</v>
      </c>
      <c r="BG10" s="1014">
        <f>'Revenue Build - Franchising'!AZ36</f>
        <v>29.90854705178408</v>
      </c>
      <c r="BH10" s="1015">
        <f>'Revenue Build - Franchising'!BA36</f>
        <v>35.734618397189905</v>
      </c>
      <c r="BI10" s="1014">
        <f>'Revenue Build - Franchising'!BB36</f>
        <v>39.099919953311115</v>
      </c>
      <c r="BJ10" s="1014">
        <f>'Revenue Build - Franchising'!BC36</f>
        <v>41.711848169051599</v>
      </c>
      <c r="BK10" s="1014">
        <f>'Revenue Build - Franchising'!BD36</f>
        <v>46.24856607918754</v>
      </c>
      <c r="BL10" s="1452">
        <f>'Revenue Build - Franchising'!BE36</f>
        <v>47.299832439993168</v>
      </c>
    </row>
    <row r="11" spans="2:64" x14ac:dyDescent="0.15">
      <c r="B11" s="1446" t="s">
        <v>219</v>
      </c>
      <c r="C11" s="1013"/>
      <c r="D11" s="1013"/>
      <c r="E11" s="1013"/>
      <c r="F11" s="1013"/>
      <c r="G11" s="1013"/>
      <c r="H11" s="1013"/>
      <c r="I11" s="1013"/>
      <c r="J11" s="1020"/>
      <c r="K11" s="1020"/>
      <c r="L11" s="1020"/>
      <c r="M11" s="1020"/>
      <c r="N11" s="1014">
        <f t="shared" ref="N11:BH11" si="4">N4+N8+N10</f>
        <v>1845.9960000000001</v>
      </c>
      <c r="O11" s="1014">
        <f t="shared" si="4"/>
        <v>472.81700000000001</v>
      </c>
      <c r="P11" s="1014">
        <f t="shared" si="4"/>
        <v>483.28500000000003</v>
      </c>
      <c r="Q11" s="1014">
        <f t="shared" si="4"/>
        <v>481.07600000000002</v>
      </c>
      <c r="R11" s="1014">
        <f t="shared" si="4"/>
        <v>476.58</v>
      </c>
      <c r="S11" s="1014">
        <f t="shared" si="4"/>
        <v>2100.6089999999999</v>
      </c>
      <c r="T11" s="1014">
        <f t="shared" si="4"/>
        <v>556.07077300492608</v>
      </c>
      <c r="U11" s="1014">
        <f t="shared" si="4"/>
        <v>561.47177803921568</v>
      </c>
      <c r="V11" s="1014">
        <f t="shared" si="4"/>
        <v>562.83557460317456</v>
      </c>
      <c r="W11" s="1014">
        <f t="shared" si="4"/>
        <v>606.56726066914496</v>
      </c>
      <c r="X11" s="1014">
        <f t="shared" si="4"/>
        <v>2275.7190000000001</v>
      </c>
      <c r="Y11" s="1014">
        <f t="shared" si="4"/>
        <v>566.82548206185572</v>
      </c>
      <c r="Z11" s="1014">
        <f t="shared" si="4"/>
        <v>573.30825066348814</v>
      </c>
      <c r="AA11" s="1014">
        <f t="shared" si="4"/>
        <v>559.17604931899643</v>
      </c>
      <c r="AB11" s="1014">
        <f t="shared" si="4"/>
        <v>576.01071536050165</v>
      </c>
      <c r="AC11" s="1014">
        <f t="shared" si="4"/>
        <v>2260.5019999999995</v>
      </c>
      <c r="AD11" s="1014">
        <f t="shared" si="4"/>
        <v>595.25631979899504</v>
      </c>
      <c r="AE11" s="1014">
        <f t="shared" si="4"/>
        <v>597.7634018900078</v>
      </c>
      <c r="AF11" s="1014">
        <f t="shared" si="4"/>
        <v>585.37028930232566</v>
      </c>
      <c r="AG11" s="1014">
        <f t="shared" si="4"/>
        <v>589.62219315606933</v>
      </c>
      <c r="AH11" s="1014">
        <f t="shared" si="4"/>
        <v>2332.3310000000006</v>
      </c>
      <c r="AI11" s="1014">
        <f t="shared" si="4"/>
        <v>603.84822786069651</v>
      </c>
      <c r="AJ11" s="1014">
        <f t="shared" si="4"/>
        <v>607.2353867987805</v>
      </c>
      <c r="AK11" s="1014">
        <f t="shared" si="4"/>
        <v>591.41557987823444</v>
      </c>
      <c r="AL11" s="1014">
        <f t="shared" si="4"/>
        <v>621.79280546228847</v>
      </c>
      <c r="AM11" s="1014">
        <f t="shared" si="4"/>
        <v>2482.692</v>
      </c>
      <c r="AN11" s="1014">
        <f t="shared" si="4"/>
        <v>620.04551228122659</v>
      </c>
      <c r="AO11" s="1014">
        <f t="shared" si="4"/>
        <v>298.32012072727275</v>
      </c>
      <c r="AP11" s="1014">
        <f t="shared" si="4"/>
        <v>521.95163011269722</v>
      </c>
      <c r="AQ11" s="1014">
        <f t="shared" si="4"/>
        <v>476.30773687880355</v>
      </c>
      <c r="AR11" s="1014">
        <f t="shared" si="4"/>
        <v>1983.2250000000001</v>
      </c>
      <c r="AS11" s="1014">
        <f t="shared" si="4"/>
        <v>632.65331184466027</v>
      </c>
      <c r="AT11" s="1014">
        <f t="shared" si="4"/>
        <v>775.52115864734299</v>
      </c>
      <c r="AU11" s="1014">
        <f t="shared" si="4"/>
        <v>761.12013566381552</v>
      </c>
      <c r="AV11" s="1014">
        <f t="shared" si="4"/>
        <v>692.04539384418138</v>
      </c>
      <c r="AW11" s="1014">
        <f t="shared" si="4"/>
        <v>2927.5399999999995</v>
      </c>
      <c r="AX11" s="1014">
        <f t="shared" si="4"/>
        <v>800.51179384615386</v>
      </c>
      <c r="AY11" s="1014">
        <f t="shared" si="4"/>
        <v>839.79103153846154</v>
      </c>
      <c r="AZ11" s="1014">
        <f t="shared" si="4"/>
        <v>790.72319013678384</v>
      </c>
      <c r="BA11" s="1014">
        <f t="shared" si="4"/>
        <v>803.94398447860101</v>
      </c>
      <c r="BB11" s="1014">
        <f t="shared" si="4"/>
        <v>3303.1559999999999</v>
      </c>
      <c r="BC11" s="1014">
        <f t="shared" si="4"/>
        <v>873.50979309984871</v>
      </c>
      <c r="BD11" s="1014">
        <f t="shared" si="4"/>
        <v>873.69784015048594</v>
      </c>
      <c r="BE11" s="1014">
        <f t="shared" si="4"/>
        <v>837.32101886792452</v>
      </c>
      <c r="BF11" s="1014">
        <f t="shared" si="4"/>
        <v>784.74276788174052</v>
      </c>
      <c r="BG11" s="1014">
        <f t="shared" si="4"/>
        <v>3439.5030000000002</v>
      </c>
      <c r="BH11" s="1015">
        <f t="shared" si="4"/>
        <v>3781.3444440285534</v>
      </c>
      <c r="BI11" s="1014">
        <f t="shared" ref="BI11:BL11" si="5">BI4+BI8+BI10</f>
        <v>4097.6867319917355</v>
      </c>
      <c r="BJ11" s="1014">
        <f t="shared" si="5"/>
        <v>4434.411053875494</v>
      </c>
      <c r="BK11" s="1014">
        <f t="shared" si="5"/>
        <v>4794.5449300461505</v>
      </c>
      <c r="BL11" s="1452">
        <f t="shared" si="5"/>
        <v>5170.702326410018</v>
      </c>
    </row>
    <row r="12" spans="2:64" x14ac:dyDescent="0.15">
      <c r="B12" s="1448" t="s">
        <v>220</v>
      </c>
      <c r="C12" s="1021"/>
      <c r="D12" s="1021"/>
      <c r="E12" s="1021"/>
      <c r="F12" s="1021"/>
      <c r="G12" s="1021"/>
      <c r="H12" s="1021"/>
      <c r="I12" s="1021"/>
      <c r="J12" s="1021"/>
      <c r="K12" s="1021"/>
      <c r="L12" s="1021"/>
      <c r="M12" s="1021"/>
      <c r="N12" s="1021"/>
      <c r="O12" s="1021"/>
      <c r="P12" s="1021"/>
      <c r="Q12" s="1021"/>
      <c r="R12" s="1021"/>
      <c r="S12" s="1021"/>
      <c r="T12" s="1021"/>
      <c r="U12" s="1021"/>
      <c r="V12" s="1021"/>
      <c r="W12" s="1021"/>
      <c r="X12" s="1021"/>
      <c r="Y12" s="1021"/>
      <c r="Z12" s="1021"/>
      <c r="AA12" s="1021"/>
      <c r="AB12" s="1021"/>
      <c r="AC12" s="1021"/>
      <c r="AD12" s="1021"/>
      <c r="AE12" s="1021"/>
      <c r="AF12" s="1021"/>
      <c r="AG12" s="1021"/>
      <c r="AH12" s="1021"/>
      <c r="AI12" s="1021"/>
      <c r="AJ12" s="1021"/>
      <c r="AK12" s="1021"/>
      <c r="AL12" s="1021"/>
      <c r="AM12" s="1021"/>
      <c r="AN12" s="1021"/>
      <c r="AO12" s="1021"/>
      <c r="AP12" s="1021"/>
      <c r="AQ12" s="1021"/>
      <c r="AR12" s="1021"/>
      <c r="AS12" s="1021"/>
      <c r="AT12" s="1021"/>
      <c r="AU12" s="1021"/>
      <c r="AV12" s="1021"/>
      <c r="AW12" s="1021"/>
      <c r="AX12" s="1021"/>
      <c r="AY12" s="1021"/>
      <c r="AZ12" s="1021"/>
      <c r="BA12" s="1021"/>
      <c r="BB12" s="1021"/>
      <c r="BC12" s="1021"/>
      <c r="BD12" s="1021"/>
      <c r="BE12" s="1021"/>
      <c r="BF12" s="1021"/>
      <c r="BG12" s="1022"/>
      <c r="BH12" s="1022">
        <f>BH11/BG11-1</f>
        <v>9.9386871890663642E-2</v>
      </c>
      <c r="BI12" s="1023">
        <f t="shared" ref="BI12:BL12" si="6">BI11/BH11-1</f>
        <v>8.3658680833147869E-2</v>
      </c>
      <c r="BJ12" s="1023">
        <f t="shared" si="6"/>
        <v>8.2174247058678596E-2</v>
      </c>
      <c r="BK12" s="1023">
        <f t="shared" si="6"/>
        <v>8.1213462576031237E-2</v>
      </c>
      <c r="BL12" s="1454">
        <f t="shared" si="6"/>
        <v>7.8455286550051628E-2</v>
      </c>
    </row>
    <row r="13" spans="2:64" x14ac:dyDescent="0.15">
      <c r="B13" s="1446"/>
      <c r="C13" s="1013"/>
      <c r="D13" s="1013"/>
      <c r="E13" s="1013"/>
      <c r="F13" s="1013"/>
      <c r="G13" s="1013"/>
      <c r="H13" s="1013"/>
      <c r="I13" s="1013"/>
      <c r="J13" s="1013"/>
      <c r="K13" s="1013"/>
      <c r="L13" s="1013"/>
      <c r="M13" s="1013"/>
      <c r="N13" s="1013"/>
      <c r="O13" s="1013"/>
      <c r="P13" s="1013"/>
      <c r="Q13" s="1013"/>
      <c r="R13" s="1013"/>
      <c r="S13" s="1013"/>
      <c r="T13" s="1013"/>
      <c r="U13" s="1013"/>
      <c r="V13" s="1013"/>
      <c r="W13" s="1013"/>
      <c r="X13" s="1013"/>
      <c r="Y13" s="1013"/>
      <c r="Z13" s="1013"/>
      <c r="AA13" s="1013"/>
      <c r="AB13" s="1013"/>
      <c r="AC13" s="1013"/>
      <c r="AD13" s="1013"/>
      <c r="AE13" s="1013"/>
      <c r="AF13" s="1013"/>
      <c r="AG13" s="1013"/>
      <c r="AH13" s="1013"/>
      <c r="AI13" s="1013"/>
      <c r="AJ13" s="1013"/>
      <c r="AK13" s="1013"/>
      <c r="AL13" s="1013"/>
      <c r="AM13" s="1013"/>
      <c r="AN13" s="1013"/>
      <c r="AO13" s="1013"/>
      <c r="AP13" s="1013"/>
      <c r="AQ13" s="1013"/>
      <c r="AR13" s="1013"/>
      <c r="AS13" s="1013"/>
      <c r="AT13" s="1013"/>
      <c r="AU13" s="1013"/>
      <c r="AV13" s="1013"/>
      <c r="AW13" s="1013"/>
      <c r="AX13" s="1013"/>
      <c r="AY13" s="1013"/>
      <c r="AZ13" s="1013"/>
      <c r="BA13" s="1013"/>
      <c r="BB13" s="1013"/>
      <c r="BC13" s="1013"/>
      <c r="BD13" s="1013"/>
      <c r="BE13" s="1013"/>
      <c r="BF13" s="1013"/>
      <c r="BG13" s="1013"/>
      <c r="BH13" s="1024"/>
      <c r="BI13" s="1013"/>
      <c r="BJ13" s="1013"/>
      <c r="BK13" s="1013"/>
      <c r="BL13" s="1245"/>
    </row>
    <row r="14" spans="2:64" x14ac:dyDescent="0.15">
      <c r="B14" s="1449" t="s">
        <v>221</v>
      </c>
      <c r="C14" s="1013"/>
      <c r="D14" s="1013"/>
      <c r="E14" s="1013"/>
      <c r="F14" s="1013"/>
      <c r="G14" s="1013"/>
      <c r="H14" s="1013"/>
      <c r="I14" s="1013"/>
      <c r="J14" s="1013"/>
      <c r="K14" s="1013"/>
      <c r="L14" s="1013"/>
      <c r="M14" s="1013"/>
      <c r="N14" s="1013"/>
      <c r="O14" s="1013"/>
      <c r="P14" s="1013"/>
      <c r="Q14" s="1013"/>
      <c r="R14" s="1013"/>
      <c r="S14" s="1013"/>
      <c r="T14" s="1013"/>
      <c r="U14" s="1013"/>
      <c r="V14" s="1013"/>
      <c r="W14" s="1013"/>
      <c r="X14" s="1013"/>
      <c r="Y14" s="1013"/>
      <c r="Z14" s="1013"/>
      <c r="AA14" s="1013"/>
      <c r="AB14" s="1013"/>
      <c r="AC14" s="1013"/>
      <c r="AD14" s="1013"/>
      <c r="AE14" s="1013"/>
      <c r="AF14" s="1013"/>
      <c r="AG14" s="1013"/>
      <c r="AH14" s="1013"/>
      <c r="AI14" s="1013"/>
      <c r="AJ14" s="1013"/>
      <c r="AK14" s="1013"/>
      <c r="AL14" s="1013"/>
      <c r="AM14" s="1013"/>
      <c r="AN14" s="1013"/>
      <c r="AO14" s="1013"/>
      <c r="AP14" s="1013"/>
      <c r="AQ14" s="1013"/>
      <c r="AR14" s="1013"/>
      <c r="AS14" s="1013"/>
      <c r="AT14" s="1013"/>
      <c r="AU14" s="1013"/>
      <c r="AV14" s="1013"/>
      <c r="AW14" s="1013"/>
      <c r="AX14" s="1013"/>
      <c r="AY14" s="1013"/>
      <c r="AZ14" s="1013"/>
      <c r="BA14" s="1013"/>
      <c r="BB14" s="1013"/>
      <c r="BC14" s="1013"/>
      <c r="BD14" s="1013"/>
      <c r="BE14" s="1013"/>
      <c r="BF14" s="1013"/>
      <c r="BG14" s="1013"/>
      <c r="BH14" s="1024"/>
      <c r="BI14" s="1013"/>
      <c r="BJ14" s="1013"/>
      <c r="BK14" s="1013"/>
      <c r="BL14" s="1245"/>
    </row>
    <row r="15" spans="2:64" x14ac:dyDescent="0.15">
      <c r="B15" s="1446" t="s">
        <v>222</v>
      </c>
      <c r="C15" s="1013"/>
      <c r="D15" s="1013"/>
      <c r="E15" s="1013"/>
      <c r="F15" s="1013"/>
      <c r="G15" s="1013"/>
      <c r="H15" s="1013"/>
      <c r="I15" s="1013"/>
      <c r="J15" s="1013"/>
      <c r="K15" s="1013"/>
      <c r="L15" s="1013"/>
      <c r="M15" s="1013"/>
      <c r="N15" s="1014">
        <f>'Revenue Build - CK F.'!N12+'Revenue Build - FRC &amp; Others'!N52</f>
        <v>177</v>
      </c>
      <c r="O15" s="1014">
        <f>'Revenue Build - CK F.'!O12+'Revenue Build - FRC &amp; Others'!O52</f>
        <v>177</v>
      </c>
      <c r="P15" s="1014">
        <f>'Revenue Build - CK F.'!P12+'Revenue Build - FRC &amp; Others'!P52</f>
        <v>179</v>
      </c>
      <c r="Q15" s="1014">
        <f>'Revenue Build - CK F.'!Q12+'Revenue Build - FRC &amp; Others'!Q52</f>
        <v>181</v>
      </c>
      <c r="R15" s="1014">
        <f>'Revenue Build - CK F.'!R12+'Revenue Build - FRC &amp; Others'!R52</f>
        <v>187</v>
      </c>
      <c r="S15" s="1014">
        <f>'Revenue Build - CK F.'!S12+'Revenue Build - FRC &amp; Others'!S52</f>
        <v>188</v>
      </c>
      <c r="T15" s="1014">
        <f>'Revenue Build - CK F.'!T12+'Revenue Build - FRC &amp; Others'!T52</f>
        <v>189</v>
      </c>
      <c r="U15" s="1014">
        <f>'Revenue Build - CK F.'!U12+'Revenue Build - FRC &amp; Others'!U52</f>
        <v>190</v>
      </c>
      <c r="V15" s="1014">
        <f>'Revenue Build - CK F.'!V12+'Revenue Build - FRC &amp; Others'!V52</f>
        <v>190</v>
      </c>
      <c r="W15" s="1014">
        <f>'Revenue Build - CK F.'!W12+'Revenue Build - FRC &amp; Others'!W52</f>
        <v>196</v>
      </c>
      <c r="X15" s="1014">
        <f>'Revenue Build - CK F.'!X12+'Revenue Build - FRC &amp; Others'!X52</f>
        <v>196</v>
      </c>
      <c r="Y15" s="1014">
        <f>'Revenue Build - CK F.'!Y12+'Revenue Build - FRC &amp; Others'!Y52</f>
        <v>207</v>
      </c>
      <c r="Z15" s="1014">
        <f>'Revenue Build - CK F.'!Z12+'Revenue Build - FRC &amp; Others'!Z52</f>
        <v>206</v>
      </c>
      <c r="AA15" s="1014">
        <f>'Revenue Build - CK F.'!AA12+'Revenue Build - FRC &amp; Others'!AA52</f>
        <v>207</v>
      </c>
      <c r="AB15" s="1014">
        <f>'Revenue Build - CK F.'!AB12+'Revenue Build - FRC &amp; Others'!AB52</f>
        <v>213</v>
      </c>
      <c r="AC15" s="1014">
        <f>'Revenue Build - CK F.'!AC12+'Revenue Build - FRC &amp; Others'!AC52</f>
        <v>213</v>
      </c>
      <c r="AD15" s="1014"/>
      <c r="AE15" s="1014"/>
      <c r="AF15" s="1014"/>
      <c r="AG15" s="1014"/>
      <c r="AH15" s="1014">
        <f>'Revenue Build - CK F.'!AH12+'Revenue Build - North Italia'!AD12+'Revenue Build - FRC &amp; Others'!AH52</f>
        <v>218</v>
      </c>
      <c r="AI15" s="1014">
        <f>'Revenue Build - CK F.'!AI12+'Revenue Build - North Italia'!AE12+'Revenue Build - FRC &amp; Others'!AI52</f>
        <v>218</v>
      </c>
      <c r="AJ15" s="1014">
        <f>'Revenue Build - CK F.'!AJ12+'Revenue Build - North Italia'!AF12+'Revenue Build - FRC &amp; Others'!AJ52</f>
        <v>219</v>
      </c>
      <c r="AK15" s="1014">
        <f>'Revenue Build - CK F.'!AK12+'Revenue Build - North Italia'!AG12+'Revenue Build - FRC &amp; Others'!AK52</f>
        <v>266</v>
      </c>
      <c r="AL15" s="1014">
        <f>'Revenue Build - CK F.'!AL12+'Revenue Build - North Italia'!AH12+'Revenue Build - FRC &amp; Others'!AL52</f>
        <v>292</v>
      </c>
      <c r="AM15" s="1014">
        <f>'Revenue Build - CK F.'!AM12+'Revenue Build - North Italia'!AI12+'Revenue Build - FRC &amp; Others'!AM52</f>
        <v>292</v>
      </c>
      <c r="AN15" s="1014">
        <f>'Revenue Build - CK F.'!AN12+'Revenue Build - North Italia'!AJ12+'Revenue Build - FRC &amp; Others'!AN52</f>
        <v>294</v>
      </c>
      <c r="AO15" s="1014">
        <f>'Revenue Build - CK F.'!AO12+'Revenue Build - North Italia'!AK12+'Revenue Build - FRC &amp; Others'!AO52</f>
        <v>294</v>
      </c>
      <c r="AP15" s="1014">
        <f>'Revenue Build - CK F.'!AP12+'Revenue Build - North Italia'!AL12+'Revenue Build - FRC &amp; Others'!AP52</f>
        <v>294</v>
      </c>
      <c r="AQ15" s="1014">
        <f>'Revenue Build - CK F.'!AQ12+'Revenue Build - North Italia'!AM12+'Revenue Build - FRC &amp; Others'!AQ52</f>
        <v>295</v>
      </c>
      <c r="AR15" s="1014">
        <f>'Revenue Build - CK F.'!AR12+'Revenue Build - North Italia'!AN12+'Revenue Build - FRC &amp; Others'!AR52</f>
        <v>295</v>
      </c>
      <c r="AS15" s="1014">
        <f>'Revenue Build - CK F.'!AS12+'Revenue Build - North Italia'!AO12+'Revenue Build - FRC &amp; Others'!AS52</f>
        <v>297</v>
      </c>
      <c r="AT15" s="1014">
        <f>'Revenue Build - CK F.'!AT12+'Revenue Build - North Italia'!AP12+'Revenue Build - FRC &amp; Others'!AT52</f>
        <v>300</v>
      </c>
      <c r="AU15" s="1014">
        <f>'Revenue Build - CK F.'!AU12+'Revenue Build - North Italia'!AQ12+'Revenue Build - FRC &amp; Others'!AU52</f>
        <v>304</v>
      </c>
      <c r="AV15" s="1014">
        <f>'Revenue Build - CK F.'!AV12+'Revenue Build - North Italia'!AR12+'Revenue Build - FRC &amp; Others'!AV52</f>
        <v>308</v>
      </c>
      <c r="AW15" s="1014">
        <f>'Revenue Build - CK F.'!AW12+'Revenue Build - North Italia'!AS12+'Revenue Build - FRC &amp; Others'!AW52</f>
        <v>308</v>
      </c>
      <c r="AX15" s="1014">
        <f>'Revenue Build - CK F.'!AX12+'Revenue Build - North Italia'!AT12+'Revenue Build - FRC &amp; Others'!AX52</f>
        <v>306</v>
      </c>
      <c r="AY15" s="1014">
        <f>'Revenue Build - CK F.'!AY12+'Revenue Build - North Italia'!AU12+'Revenue Build - FRC &amp; Others'!AY52</f>
        <v>308</v>
      </c>
      <c r="AZ15" s="1014">
        <f>'Revenue Build - CK F.'!AZ12+'Revenue Build - North Italia'!AV12+'Revenue Build - FRC &amp; Others'!AZ52</f>
        <v>311</v>
      </c>
      <c r="BA15" s="1014">
        <f>'Revenue Build - CK F.'!BA12+'Revenue Build - North Italia'!AW12+'Revenue Build - FRC &amp; Others'!BA52</f>
        <v>318</v>
      </c>
      <c r="BB15" s="1014">
        <f>'Revenue Build - CK F.'!BB12+'Revenue Build - North Italia'!AX12+'Revenue Build - FRC &amp; Others'!BB52</f>
        <v>318</v>
      </c>
      <c r="BC15" s="1014">
        <f>'Revenue Build - CK F.'!BC12+'Revenue Build - North Italia'!AY12+'Revenue Build - FRC &amp; Others'!BC52</f>
        <v>318</v>
      </c>
      <c r="BD15" s="1014">
        <f>'Revenue Build - CK F.'!BD12+'Revenue Build - North Italia'!AZ12+'Revenue Build - FRC &amp; Others'!BD52</f>
        <v>321</v>
      </c>
      <c r="BE15" s="1014">
        <f>'Revenue Build - CK F.'!BE12+'Revenue Build - North Italia'!BA12+'Revenue Build - FRC &amp; Others'!BE52</f>
        <v>323</v>
      </c>
      <c r="BF15" s="1014">
        <f>'Revenue Build - CK F.'!BF12+'Revenue Build - North Italia'!BB12+'Revenue Build - FRC &amp; Others'!BF52</f>
        <v>331</v>
      </c>
      <c r="BG15" s="1014">
        <f>'Revenue Build - CK F.'!BG12+'Revenue Build - North Italia'!BC12+'Revenue Build - FRC &amp; Others'!BG52</f>
        <v>331</v>
      </c>
      <c r="BH15" s="1015">
        <f>'Revenue Build - CK F.'!BH12+'Revenue Build - North Italia'!BD12+'Revenue Build - FRC &amp; Others'!BH52</f>
        <v>345.6</v>
      </c>
      <c r="BI15" s="1014">
        <f>'Revenue Build - CK F.'!BI12+'Revenue Build - North Italia'!BE12+'Revenue Build - FRC &amp; Others'!BI52</f>
        <v>361.12</v>
      </c>
      <c r="BJ15" s="1014">
        <f>'Revenue Build - CK F.'!BJ12+'Revenue Build - North Italia'!BF12+'Revenue Build - FRC &amp; Others'!BJ52</f>
        <v>373.74400000000003</v>
      </c>
      <c r="BK15" s="1014">
        <f>'Revenue Build - CK F.'!BK12+'Revenue Build - North Italia'!BG12+'Revenue Build - FRC &amp; Others'!BK52</f>
        <v>389.2928</v>
      </c>
      <c r="BL15" s="1452">
        <f>'Revenue Build - CK F.'!BL12+'Revenue Build - North Italia'!BH12+'Revenue Build - FRC &amp; Others'!BL52</f>
        <v>404.75135999999998</v>
      </c>
    </row>
    <row r="16" spans="2:64" x14ac:dyDescent="0.15">
      <c r="B16" s="1447" t="s">
        <v>223</v>
      </c>
      <c r="C16" s="1013"/>
      <c r="D16" s="1013"/>
      <c r="E16" s="1013"/>
      <c r="F16" s="1013"/>
      <c r="G16" s="1013"/>
      <c r="H16" s="1013"/>
      <c r="I16" s="1013"/>
      <c r="J16" s="1013">
        <f>'Cost Build - Aggregate'!J21</f>
        <v>0</v>
      </c>
      <c r="K16" s="1013">
        <f>'Cost Build - Aggregate'!K21</f>
        <v>0</v>
      </c>
      <c r="L16" s="1013">
        <f>'Cost Build - Aggregate'!L21</f>
        <v>0</v>
      </c>
      <c r="M16" s="1013">
        <f>'Cost Build - Aggregate'!M21</f>
        <v>0</v>
      </c>
      <c r="N16" s="1014">
        <f>'Cost Build - Aggregate'!N21</f>
        <v>646.10199999999998</v>
      </c>
      <c r="O16" s="1014">
        <f>'Cost Build - Aggregate'!O21</f>
        <v>171.16900000000001</v>
      </c>
      <c r="P16" s="1014">
        <f>'Cost Build - Aggregate'!P21</f>
        <v>168.495</v>
      </c>
      <c r="Q16" s="1014">
        <f>'Cost Build - Aggregate'!Q21</f>
        <v>172.101</v>
      </c>
      <c r="R16" s="1014">
        <f>'Cost Build - Aggregate'!R21</f>
        <v>173.053</v>
      </c>
      <c r="S16" s="1014">
        <f>'Cost Build - Aggregate'!S21</f>
        <v>684.81799999999998</v>
      </c>
      <c r="T16" s="1014">
        <f>'Cost Build - Aggregate'!T21</f>
        <v>185.65799999999999</v>
      </c>
      <c r="U16" s="1014">
        <f>'Cost Build - Aggregate'!U21</f>
        <v>185.21100000000001</v>
      </c>
      <c r="V16" s="1014">
        <f>'Cost Build - Aggregate'!V21</f>
        <v>186.56700000000001</v>
      </c>
      <c r="W16" s="1014">
        <f>'Cost Build - Aggregate'!W21</f>
        <v>202.56200000000001</v>
      </c>
      <c r="X16" s="1014">
        <f>'Cost Build - Aggregate'!X21</f>
        <v>759.99800000000005</v>
      </c>
      <c r="Y16" s="1014">
        <f>'Cost Build - Aggregate'!Y21</f>
        <v>193.83500000000001</v>
      </c>
      <c r="Z16" s="1014">
        <f>'Cost Build - Aggregate'!Z21</f>
        <v>193.06299999999999</v>
      </c>
      <c r="AA16" s="1014">
        <f>'Cost Build - Aggregate'!AA21</f>
        <v>193.46600000000001</v>
      </c>
      <c r="AB16" s="1014">
        <f>'Cost Build - Aggregate'!AB21</f>
        <v>197.23099999999999</v>
      </c>
      <c r="AC16" s="1014">
        <f>'Cost Build - Aggregate'!AC21</f>
        <v>777.59500000000003</v>
      </c>
      <c r="AD16" s="1014">
        <f>'Cost Build - Aggregate'!AD21</f>
        <v>210.714</v>
      </c>
      <c r="AE16" s="1014">
        <f>'Cost Build - Aggregate'!AE21</f>
        <v>212.52099999999999</v>
      </c>
      <c r="AF16" s="1014">
        <f>'Cost Build - Aggregate'!AF21</f>
        <v>204.53700000000001</v>
      </c>
      <c r="AG16" s="1014">
        <f>'Cost Build - Aggregate'!AG21</f>
        <v>209.702</v>
      </c>
      <c r="AH16" s="1014">
        <f>'Cost Build - Aggregate'!AH21</f>
        <v>834.13400000000001</v>
      </c>
      <c r="AI16" s="1014">
        <f>'Cost Build - Aggregate'!AI21</f>
        <v>217.31</v>
      </c>
      <c r="AJ16" s="1014">
        <f>'Cost Build - Aggregate'!AJ21</f>
        <v>217.92099999999999</v>
      </c>
      <c r="AK16" s="1014">
        <f>'Cost Build - Aggregate'!AK21</f>
        <v>213.6</v>
      </c>
      <c r="AL16" s="1014">
        <f>'Cost Build - Aggregate'!AL21</f>
        <v>250.83600000000001</v>
      </c>
      <c r="AM16" s="1014">
        <f>'Cost Build - Aggregate'!AM21</f>
        <v>899.66700000000003</v>
      </c>
      <c r="AN16" s="1014">
        <f>'Cost Build - Aggregate'!AN21</f>
        <v>236.982</v>
      </c>
      <c r="AO16" s="1014">
        <f>'Cost Build - Aggregate'!AO21</f>
        <v>122.812</v>
      </c>
      <c r="AP16" s="1014">
        <f>'Cost Build - Aggregate'!AP21</f>
        <v>200.666</v>
      </c>
      <c r="AQ16" s="1014">
        <f>'Cost Build - Aggregate'!AQ21</f>
        <v>218.12599999999998</v>
      </c>
      <c r="AR16" s="1014">
        <f>'Cost Build - Aggregate'!AR21</f>
        <v>778.58600000000001</v>
      </c>
      <c r="AS16" s="1014">
        <f>'Cost Build - Aggregate'!AS21</f>
        <v>229.732</v>
      </c>
      <c r="AT16" s="1014">
        <f>'Cost Build - Aggregate'!AT21</f>
        <v>274.81200000000001</v>
      </c>
      <c r="AU16" s="1014">
        <f>'Cost Build - Aggregate'!AU21</f>
        <v>279.95699999999999</v>
      </c>
      <c r="AV16" s="1014">
        <f>'Cost Build - Aggregate'!AV21</f>
        <v>288.12699999999995</v>
      </c>
      <c r="AW16" s="1014">
        <f>'Cost Build - Aggregate'!AW21</f>
        <v>1072.6279999999999</v>
      </c>
      <c r="AX16" s="1014">
        <f>'Cost Build - Aggregate'!AX21</f>
        <v>295.76299999999998</v>
      </c>
      <c r="AY16" s="1014">
        <f>'Cost Build - Aggregate'!AY21</f>
        <v>304.51900000000001</v>
      </c>
      <c r="AZ16" s="1014">
        <f>'Cost Build - Aggregate'!AZ21</f>
        <v>293.04000000000002</v>
      </c>
      <c r="BA16" s="1014">
        <f>'Cost Build - Aggregate'!BA21</f>
        <v>318.62900000000013</v>
      </c>
      <c r="BB16" s="1014">
        <f>'Cost Build - Aggregate'!BB21</f>
        <v>1211.951</v>
      </c>
      <c r="BC16" s="1014">
        <f>'Cost Build - Aggregate'!BC21</f>
        <v>311.52800000000002</v>
      </c>
      <c r="BD16" s="1014">
        <f>'Cost Build - Aggregate'!BD21</f>
        <v>306.149</v>
      </c>
      <c r="BE16" s="1014">
        <f>'Cost Build - Aggregate'!BE21</f>
        <v>301.66300000000001</v>
      </c>
      <c r="BF16" s="1014">
        <f>'Cost Build - Aggregate'!BF21</f>
        <v>308.55499999999995</v>
      </c>
      <c r="BG16" s="1014">
        <f>'Cost Build - Aggregate'!BG21</f>
        <v>1227.895</v>
      </c>
      <c r="BH16" s="1015">
        <f>BH11*BH17</f>
        <v>1361.2839998502791</v>
      </c>
      <c r="BI16" s="1014">
        <f t="shared" ref="BI16:BL16" si="7">BI11*BI17</f>
        <v>1475.1672235170247</v>
      </c>
      <c r="BJ16" s="1014">
        <f t="shared" si="7"/>
        <v>1596.3879793951778</v>
      </c>
      <c r="BK16" s="1014">
        <f t="shared" si="7"/>
        <v>1726.0361748166142</v>
      </c>
      <c r="BL16" s="1452">
        <f t="shared" si="7"/>
        <v>1861.4528375076063</v>
      </c>
    </row>
    <row r="17" spans="2:64" x14ac:dyDescent="0.15">
      <c r="B17" s="1447" t="s">
        <v>224</v>
      </c>
      <c r="C17" s="1013"/>
      <c r="D17" s="1013"/>
      <c r="E17" s="1013"/>
      <c r="F17" s="1013"/>
      <c r="G17" s="1013"/>
      <c r="H17" s="1013"/>
      <c r="I17" s="1013"/>
      <c r="J17" s="1013"/>
      <c r="K17" s="1013"/>
      <c r="L17" s="1013"/>
      <c r="M17" s="1013"/>
      <c r="N17" s="1547">
        <f>N16/N11</f>
        <v>0.35000184182414262</v>
      </c>
      <c r="O17" s="1547">
        <f t="shared" ref="O17:BG17" si="8">O16/O11</f>
        <v>0.3620195551344389</v>
      </c>
      <c r="P17" s="1547">
        <f t="shared" si="8"/>
        <v>0.34864520934852106</v>
      </c>
      <c r="Q17" s="1547">
        <f t="shared" si="8"/>
        <v>0.35774181210453232</v>
      </c>
      <c r="R17" s="1547">
        <f t="shared" si="8"/>
        <v>0.3631142725250745</v>
      </c>
      <c r="S17" s="1547">
        <f t="shared" si="8"/>
        <v>0.32600926683642695</v>
      </c>
      <c r="T17" s="1547">
        <f t="shared" si="8"/>
        <v>0.33387476740906735</v>
      </c>
      <c r="U17" s="1547">
        <f t="shared" si="8"/>
        <v>0.32986698039712348</v>
      </c>
      <c r="V17" s="1547">
        <f t="shared" si="8"/>
        <v>0.33147691513909455</v>
      </c>
      <c r="W17" s="1547">
        <f t="shared" si="8"/>
        <v>0.33394812601085705</v>
      </c>
      <c r="X17" s="1547">
        <f t="shared" si="8"/>
        <v>0.33395950906065291</v>
      </c>
      <c r="Y17" s="1547">
        <f t="shared" si="8"/>
        <v>0.34196592449392998</v>
      </c>
      <c r="Z17" s="1547">
        <f t="shared" si="8"/>
        <v>0.33675252323085997</v>
      </c>
      <c r="AA17" s="1547">
        <f t="shared" si="8"/>
        <v>0.34598406036098361</v>
      </c>
      <c r="AB17" s="1547">
        <f t="shared" si="8"/>
        <v>0.34240856070977976</v>
      </c>
      <c r="AC17" s="1547">
        <f t="shared" si="8"/>
        <v>0.34399217518940495</v>
      </c>
      <c r="AD17" s="1547">
        <f t="shared" si="8"/>
        <v>0.35398868183567289</v>
      </c>
      <c r="AE17" s="1547">
        <f t="shared" si="8"/>
        <v>0.35552695151300878</v>
      </c>
      <c r="AF17" s="1547">
        <f t="shared" si="8"/>
        <v>0.34941472728958911</v>
      </c>
      <c r="AG17" s="1547">
        <f t="shared" si="8"/>
        <v>0.35565486244255595</v>
      </c>
      <c r="AH17" s="1547">
        <f t="shared" si="8"/>
        <v>0.35763963176753205</v>
      </c>
      <c r="AI17" s="1547">
        <f t="shared" si="8"/>
        <v>0.35987519706712112</v>
      </c>
      <c r="AJ17" s="1547">
        <f t="shared" si="8"/>
        <v>0.35887401284176551</v>
      </c>
      <c r="AK17" s="1547">
        <f t="shared" si="8"/>
        <v>0.36116735383260912</v>
      </c>
      <c r="AL17" s="1547">
        <f t="shared" si="8"/>
        <v>0.4034076911094352</v>
      </c>
      <c r="AM17" s="1547">
        <f t="shared" si="8"/>
        <v>0.36237559874523301</v>
      </c>
      <c r="AN17" s="1547">
        <f t="shared" si="8"/>
        <v>0.3822009760672454</v>
      </c>
      <c r="AO17" s="1547">
        <f t="shared" si="8"/>
        <v>0.41167856764269667</v>
      </c>
      <c r="AP17" s="1547">
        <f t="shared" si="8"/>
        <v>0.38445324896614114</v>
      </c>
      <c r="AQ17" s="1547">
        <f t="shared" si="8"/>
        <v>0.45795183053157523</v>
      </c>
      <c r="AR17" s="1547">
        <f t="shared" si="8"/>
        <v>0.392585813510822</v>
      </c>
      <c r="AS17" s="1547">
        <f t="shared" si="8"/>
        <v>0.36312463034479092</v>
      </c>
      <c r="AT17" s="1547">
        <f t="shared" si="8"/>
        <v>0.35435783657962938</v>
      </c>
      <c r="AU17" s="1547">
        <f t="shared" si="8"/>
        <v>0.3678223540306601</v>
      </c>
      <c r="AV17" s="1547">
        <f t="shared" si="8"/>
        <v>0.41634118594375569</v>
      </c>
      <c r="AW17" s="1547">
        <f t="shared" si="8"/>
        <v>0.36639226107926798</v>
      </c>
      <c r="AX17" s="1547">
        <f t="shared" si="8"/>
        <v>0.36946738608181096</v>
      </c>
      <c r="AY17" s="1547">
        <f t="shared" si="8"/>
        <v>0.36261282695783748</v>
      </c>
      <c r="AZ17" s="1547">
        <f t="shared" si="8"/>
        <v>0.37059745262979865</v>
      </c>
      <c r="BA17" s="1547">
        <f t="shared" si="8"/>
        <v>0.39633233925700362</v>
      </c>
      <c r="BB17" s="1547">
        <f t="shared" si="8"/>
        <v>0.36690698229208674</v>
      </c>
      <c r="BC17" s="1547">
        <f t="shared" si="8"/>
        <v>0.35663939026312674</v>
      </c>
      <c r="BD17" s="1547">
        <f t="shared" si="8"/>
        <v>0.35040603962952321</v>
      </c>
      <c r="BE17" s="1547">
        <f t="shared" si="8"/>
        <v>0.36027162008646896</v>
      </c>
      <c r="BF17" s="1547">
        <f t="shared" si="8"/>
        <v>0.39319253726018244</v>
      </c>
      <c r="BG17" s="1547">
        <f t="shared" si="8"/>
        <v>0.35699779880988619</v>
      </c>
      <c r="BH17" s="1546">
        <v>0.36</v>
      </c>
      <c r="BI17" s="1547">
        <v>0.36</v>
      </c>
      <c r="BJ17" s="1547">
        <v>0.36</v>
      </c>
      <c r="BK17" s="1547">
        <v>0.36</v>
      </c>
      <c r="BL17" s="1553">
        <v>0.36</v>
      </c>
    </row>
    <row r="18" spans="2:64" x14ac:dyDescent="0.15">
      <c r="B18" s="1447" t="s">
        <v>225</v>
      </c>
      <c r="C18" s="1013"/>
      <c r="D18" s="1013"/>
      <c r="E18" s="1013"/>
      <c r="F18" s="1013"/>
      <c r="G18" s="1013"/>
      <c r="H18" s="1013"/>
      <c r="I18" s="1013"/>
      <c r="J18" s="1013">
        <f>'Cost Build - Aggregate'!J20</f>
        <v>0</v>
      </c>
      <c r="K18" s="1013">
        <f>'Cost Build - Aggregate'!K20</f>
        <v>0</v>
      </c>
      <c r="L18" s="1013">
        <f>'Cost Build - Aggregate'!L20</f>
        <v>0</v>
      </c>
      <c r="M18" s="1013">
        <f>'Cost Build - Aggregate'!M20</f>
        <v>0</v>
      </c>
      <c r="N18" s="1014">
        <f>'Cost Build - Aggregate'!N20</f>
        <v>490.30599999999998</v>
      </c>
      <c r="O18" s="1014">
        <f>'Cost Build - Aggregate'!O20</f>
        <v>126.61199999999999</v>
      </c>
      <c r="P18" s="1014">
        <f>'Cost Build - Aggregate'!P20</f>
        <v>126.623</v>
      </c>
      <c r="Q18" s="1014">
        <f>'Cost Build - Aggregate'!Q20</f>
        <v>125.605</v>
      </c>
      <c r="R18" s="1014">
        <f>'Cost Build - Aggregate'!R20</f>
        <v>125.191</v>
      </c>
      <c r="S18" s="1014">
        <f>'Cost Build - Aggregate'!S20</f>
        <v>504.03100000000001</v>
      </c>
      <c r="T18" s="1014">
        <f>'Cost Build - Aggregate'!T20</f>
        <v>130.773</v>
      </c>
      <c r="U18" s="1014">
        <f>'Cost Build - Aggregate'!U20</f>
        <v>126.93300000000001</v>
      </c>
      <c r="V18" s="1014">
        <f>'Cost Build - Aggregate'!V20</f>
        <v>128.83799999999999</v>
      </c>
      <c r="W18" s="1014">
        <f>'Cost Build - Aggregate'!W20</f>
        <v>140.084</v>
      </c>
      <c r="X18" s="1014">
        <f>'Cost Build - Aggregate'!X20</f>
        <v>526.62800000000004</v>
      </c>
      <c r="Y18" s="1014">
        <f>'Cost Build - Aggregate'!Y20</f>
        <v>129.13900000000001</v>
      </c>
      <c r="Z18" s="1014">
        <f>'Cost Build - Aggregate'!Z20</f>
        <v>128.78100000000001</v>
      </c>
      <c r="AA18" s="1014">
        <f>'Cost Build - Aggregate'!AA20</f>
        <v>127.453</v>
      </c>
      <c r="AB18" s="1014">
        <f>'Cost Build - Aggregate'!AB20</f>
        <v>134.01499999999999</v>
      </c>
      <c r="AC18" s="1014">
        <f>'Cost Build - Aggregate'!AC20</f>
        <v>519.38800000000003</v>
      </c>
      <c r="AD18" s="1014">
        <f>'Cost Build - Aggregate'!AD20</f>
        <v>135.71899999999999</v>
      </c>
      <c r="AE18" s="1014">
        <f>'Cost Build - Aggregate'!AE20</f>
        <v>133.136</v>
      </c>
      <c r="AF18" s="1014">
        <f>'Cost Build - Aggregate'!AF20</f>
        <v>133.59800000000001</v>
      </c>
      <c r="AG18" s="1014">
        <f>'Cost Build - Aggregate'!AG20</f>
        <v>134.821</v>
      </c>
      <c r="AH18" s="1014">
        <f>'Cost Build - Aggregate'!AH20</f>
        <v>532.88</v>
      </c>
      <c r="AI18" s="1014">
        <f>'Cost Build - Aggregate'!AI20</f>
        <v>136.18700000000001</v>
      </c>
      <c r="AJ18" s="1014">
        <f>'Cost Build - Aggregate'!AJ20</f>
        <v>134.43799999999999</v>
      </c>
      <c r="AK18" s="1014">
        <f>'Cost Build - Aggregate'!AK20</f>
        <v>132.941</v>
      </c>
      <c r="AL18" s="1014">
        <f>'Cost Build - Aggregate'!AL20</f>
        <v>158.21699999999998</v>
      </c>
      <c r="AM18" s="1014">
        <f>'Cost Build - Aggregate'!AM20</f>
        <v>561.78300000000002</v>
      </c>
      <c r="AN18" s="1014">
        <f>'Cost Build - Aggregate'!AN20</f>
        <v>140.905</v>
      </c>
      <c r="AO18" s="1014">
        <f>'Cost Build - Aggregate'!AO20</f>
        <v>72.138999999999996</v>
      </c>
      <c r="AP18" s="1014">
        <f>'Cost Build - Aggregate'!AP20</f>
        <v>118.093</v>
      </c>
      <c r="AQ18" s="1014">
        <f>'Cost Build - Aggregate'!AQ20</f>
        <v>127.19499999999999</v>
      </c>
      <c r="AR18" s="1014">
        <f>'Cost Build - Aggregate'!AR20</f>
        <v>458.33199999999999</v>
      </c>
      <c r="AS18" s="1014">
        <f>'Cost Build - Aggregate'!AS20</f>
        <v>135.875</v>
      </c>
      <c r="AT18" s="1014">
        <f>'Cost Build - Aggregate'!AT20</f>
        <v>168.94399999999999</v>
      </c>
      <c r="AU18" s="1014">
        <f>'Cost Build - Aggregate'!AU20</f>
        <v>169.41800000000001</v>
      </c>
      <c r="AV18" s="1014">
        <f>'Cost Build - Aggregate'!AV20</f>
        <v>178.89600000000007</v>
      </c>
      <c r="AW18" s="1014">
        <f>'Cost Build - Aggregate'!AW20</f>
        <v>653.13300000000004</v>
      </c>
      <c r="AX18" s="1014">
        <f>'Cost Build - Aggregate'!AX20</f>
        <v>188.501</v>
      </c>
      <c r="AY18" s="1014">
        <f>'Cost Build - Aggregate'!AY20</f>
        <v>204.18199999999999</v>
      </c>
      <c r="AZ18" s="1014">
        <f>'Cost Build - Aggregate'!AZ20</f>
        <v>197.774</v>
      </c>
      <c r="BA18" s="1014">
        <f>'Cost Build - Aggregate'!BA20</f>
        <v>220.46900000000005</v>
      </c>
      <c r="BB18" s="1014">
        <f>'Cost Build - Aggregate'!BB20</f>
        <v>810.92600000000004</v>
      </c>
      <c r="BC18" s="1014">
        <f>'Cost Build - Aggregate'!BC20</f>
        <v>206.22399999999999</v>
      </c>
      <c r="BD18" s="1014">
        <f>'Cost Build - Aggregate'!BD20</f>
        <v>201.09399999999999</v>
      </c>
      <c r="BE18" s="1014">
        <f>'Cost Build - Aggregate'!BE20</f>
        <v>194.733</v>
      </c>
      <c r="BF18" s="1014">
        <f>'Cost Build - Aggregate'!BF20</f>
        <v>201.44900000000007</v>
      </c>
      <c r="BG18" s="1014">
        <f>'Cost Build - Aggregate'!BG20</f>
        <v>803.5</v>
      </c>
      <c r="BH18" s="1015">
        <f>AVERAGE((AW18/AW15),(BB18/BB15),(BG18/BG15))*BH15</f>
        <v>817.70525527079667</v>
      </c>
      <c r="BI18" s="1014">
        <f>AVERAGE((BB18/BB15),(BG18/BG15),(BH18/BH15))*BI15</f>
        <v>883.97595878352138</v>
      </c>
      <c r="BJ18" s="1014">
        <f>AVERAGE((BG18/BG15),(BH18/BH15),(BI18/BI15))*BJ15</f>
        <v>902.14462699652347</v>
      </c>
      <c r="BK18" s="1014">
        <f>AVERAGE((BH18/BH15),(BI18/BI15),(BJ18/BJ15))*BK15</f>
        <v>937.90005876981843</v>
      </c>
      <c r="BL18" s="1452">
        <f>AVERAGE((BI18/BI15),(BJ18/BJ15),(BK18/BK15))*BL15</f>
        <v>980.97125011647006</v>
      </c>
    </row>
    <row r="19" spans="2:64" x14ac:dyDescent="0.15">
      <c r="B19" s="1446" t="s">
        <v>226</v>
      </c>
      <c r="C19" s="1013"/>
      <c r="D19" s="1013"/>
      <c r="E19" s="1013"/>
      <c r="F19" s="1013"/>
      <c r="G19" s="1013"/>
      <c r="H19" s="1013"/>
      <c r="I19" s="1013"/>
      <c r="J19" s="1013"/>
      <c r="K19" s="1013"/>
      <c r="L19" s="1013"/>
      <c r="M19" s="1013"/>
      <c r="N19" s="1014">
        <f>'Cost Build - Aggregate'!N23</f>
        <v>119.09399999999999</v>
      </c>
      <c r="O19" s="1014">
        <f>'Cost Build - Aggregate'!O23</f>
        <v>33.075000000000003</v>
      </c>
      <c r="P19" s="1014">
        <f>'Cost Build - Aggregate'!P23</f>
        <v>35.344999999999999</v>
      </c>
      <c r="Q19" s="1014">
        <f>'Cost Build - Aggregate'!Q23</f>
        <v>33.277000000000001</v>
      </c>
      <c r="R19" s="1014">
        <f>'Cost Build - Aggregate'!R23</f>
        <v>35.704999999999998</v>
      </c>
      <c r="S19" s="1014">
        <f>'Cost Build - Aggregate'!S23</f>
        <v>137.40199999999999</v>
      </c>
      <c r="T19" s="1014">
        <f>'Cost Build - Aggregate'!T23</f>
        <v>35.337000000000003</v>
      </c>
      <c r="U19" s="1014">
        <f>'Cost Build - Aggregate'!U23</f>
        <v>35.784999999999997</v>
      </c>
      <c r="V19" s="1014">
        <f>'Cost Build - Aggregate'!V23</f>
        <v>36.057000000000002</v>
      </c>
      <c r="W19" s="1014">
        <f>'Cost Build - Aggregate'!W23</f>
        <v>38.863</v>
      </c>
      <c r="X19" s="1014">
        <f>'Cost Build - Aggregate'!X23</f>
        <v>146.042</v>
      </c>
      <c r="Y19" s="1014">
        <f>'Cost Build - Aggregate'!Y23</f>
        <v>36.286999999999999</v>
      </c>
      <c r="Z19" s="1014">
        <f>'Cost Build - Aggregate'!Z23</f>
        <v>35.295000000000002</v>
      </c>
      <c r="AA19" s="1014">
        <f>'Cost Build - Aggregate'!AA23</f>
        <v>35.363999999999997</v>
      </c>
      <c r="AB19" s="1014">
        <f>'Cost Build - Aggregate'!AB23</f>
        <v>34.587000000000003</v>
      </c>
      <c r="AC19" s="1014">
        <f>'Cost Build - Aggregate'!AC23</f>
        <v>141.53299999999999</v>
      </c>
      <c r="AD19" s="1014">
        <f>'Cost Build - Aggregate'!AD23</f>
        <v>39.274000000000001</v>
      </c>
      <c r="AE19" s="1014">
        <f>'Cost Build - Aggregate'!AE23</f>
        <v>41.423000000000002</v>
      </c>
      <c r="AF19" s="1014">
        <f>'Cost Build - Aggregate'!AF23</f>
        <v>37.469000000000001</v>
      </c>
      <c r="AG19" s="1014">
        <f>'Cost Build - Aggregate'!AG23</f>
        <v>36.603999999999999</v>
      </c>
      <c r="AH19" s="1014">
        <f>'Cost Build - Aggregate'!AH23</f>
        <v>154.77000000000001</v>
      </c>
      <c r="AI19" s="1014">
        <f>'Cost Build - Aggregate'!AI23</f>
        <v>39.122999999999998</v>
      </c>
      <c r="AJ19" s="1014">
        <f>'Cost Build - Aggregate'!AJ23</f>
        <v>37.247</v>
      </c>
      <c r="AK19" s="1014">
        <f>'Cost Build - Aggregate'!AK23</f>
        <v>39.746000000000002</v>
      </c>
      <c r="AL19" s="1014">
        <f>'Cost Build - Aggregate'!AL23</f>
        <v>47.273000000000003</v>
      </c>
      <c r="AM19" s="1014">
        <f>'Cost Build - Aggregate'!AM23</f>
        <v>160.19900000000001</v>
      </c>
      <c r="AN19" s="1014">
        <f>'Cost Build - Aggregate'!AN23</f>
        <v>43.96</v>
      </c>
      <c r="AO19" s="1014">
        <f>'Cost Build - Aggregate'!AO23</f>
        <v>35.712000000000003</v>
      </c>
      <c r="AP19" s="1014">
        <f>'Cost Build - Aggregate'!AP23</f>
        <v>37.795000000000002</v>
      </c>
      <c r="AQ19" s="1014">
        <f>'Cost Build - Aggregate'!AQ23</f>
        <v>40.177000000000007</v>
      </c>
      <c r="AR19" s="1014">
        <f>'Cost Build - Aggregate'!AR23</f>
        <v>157.64400000000001</v>
      </c>
      <c r="AS19" s="1014">
        <f>'Cost Build - Aggregate'!AS23</f>
        <v>44.427</v>
      </c>
      <c r="AT19" s="1014">
        <f>'Cost Build - Aggregate'!AT23</f>
        <v>48.228000000000002</v>
      </c>
      <c r="AU19" s="1014">
        <f>'Cost Build - Aggregate'!AU23</f>
        <v>45.802</v>
      </c>
      <c r="AV19" s="1014">
        <f>'Cost Build - Aggregate'!AV23</f>
        <v>47.679000000000002</v>
      </c>
      <c r="AW19" s="1014">
        <f>'Cost Build - Aggregate'!AW23</f>
        <v>186.136</v>
      </c>
      <c r="AX19" s="1014">
        <f>'Cost Build - Aggregate'!AX23</f>
        <v>49.122999999999998</v>
      </c>
      <c r="AY19" s="1014">
        <f>'Cost Build - Aggregate'!AY23</f>
        <v>50.191000000000003</v>
      </c>
      <c r="AZ19" s="1014">
        <f>'Cost Build - Aggregate'!AZ23</f>
        <v>50.323999999999998</v>
      </c>
      <c r="BA19" s="1014">
        <f>'Cost Build - Aggregate'!BA23</f>
        <v>56.115000000000009</v>
      </c>
      <c r="BB19" s="1014">
        <f>'Cost Build - Aggregate'!BB23</f>
        <v>205.75299999999999</v>
      </c>
      <c r="BC19" s="1014">
        <f>'Cost Build - Aggregate'!BC23</f>
        <v>54.069000000000003</v>
      </c>
      <c r="BD19" s="1014">
        <f>'Cost Build - Aggregate'!BD23</f>
        <v>54.488</v>
      </c>
      <c r="BE19" s="1014">
        <f>'Cost Build - Aggregate'!BE23</f>
        <v>54.209000000000003</v>
      </c>
      <c r="BF19" s="1014">
        <f>'Cost Build - Aggregate'!BF23</f>
        <v>54.682999999999993</v>
      </c>
      <c r="BG19" s="1014">
        <f>'Cost Build - Aggregate'!BG23</f>
        <v>217.44900000000001</v>
      </c>
      <c r="BH19" s="1015">
        <f>AVERAGE((AW19/AW11),(BB19/BB11),(BG19/BG11))*BH11</f>
        <v>238.34053751428476</v>
      </c>
      <c r="BI19" s="1014">
        <f>AVERAGE((BB19/BB11),(BG19/BG11),(BH19/BH11))*BI11</f>
        <v>257.52801294664698</v>
      </c>
      <c r="BJ19" s="1014">
        <f>AVERAGE((BG19/BG11),(BH19/BH11),(BI19/BI11))*BJ11</f>
        <v>279.51401927950906</v>
      </c>
      <c r="BK19" s="1014">
        <f>AVERAGE((BH19/BH11),(BI19/BI11),(BJ19/BJ11))*BK11</f>
        <v>301.91370179738936</v>
      </c>
      <c r="BL19" s="1452">
        <f>AVERAGE((BI19/BI11),(BJ19/BJ11),(BK19/BK11))*BL11</f>
        <v>325.49635516939287</v>
      </c>
    </row>
    <row r="20" spans="2:64" x14ac:dyDescent="0.15">
      <c r="B20" s="1446" t="s">
        <v>227</v>
      </c>
      <c r="C20" s="1013"/>
      <c r="D20" s="1013"/>
      <c r="E20" s="1013"/>
      <c r="F20" s="1013"/>
      <c r="G20" s="1013"/>
      <c r="H20" s="1013"/>
      <c r="I20" s="1013"/>
      <c r="J20" s="1013"/>
      <c r="K20" s="1013"/>
      <c r="L20" s="1013"/>
      <c r="M20" s="1013"/>
      <c r="N20" s="1014">
        <f>'Cost Build - Aggregate'!N24</f>
        <v>82.834999999999994</v>
      </c>
      <c r="O20" s="1014">
        <f>'Cost Build - Aggregate'!O24</f>
        <v>21.177</v>
      </c>
      <c r="P20" s="1014">
        <f>'Cost Build - Aggregate'!P24</f>
        <v>21.158000000000001</v>
      </c>
      <c r="Q20" s="1014">
        <f>'Cost Build - Aggregate'!Q24</f>
        <v>21.317</v>
      </c>
      <c r="R20" s="1014">
        <f>'Cost Build - Aggregate'!R24</f>
        <v>21.911000000000001</v>
      </c>
      <c r="S20" s="1014">
        <f>'Cost Build - Aggregate'!S24</f>
        <v>85.563000000000002</v>
      </c>
      <c r="T20" s="1014">
        <f>'Cost Build - Aggregate'!T24</f>
        <v>21.463999999999999</v>
      </c>
      <c r="U20" s="1014">
        <f>'Cost Build - Aggregate'!U24</f>
        <v>21.460999999999999</v>
      </c>
      <c r="V20" s="1014">
        <f>'Cost Build - Aggregate'!V24</f>
        <v>21.634</v>
      </c>
      <c r="W20" s="1014">
        <f>'Cost Build - Aggregate'!W24</f>
        <v>23.451000000000001</v>
      </c>
      <c r="X20" s="1014">
        <f>'Cost Build - Aggregate'!X24</f>
        <v>88.01</v>
      </c>
      <c r="Y20" s="1014">
        <f>'Cost Build - Aggregate'!Y24</f>
        <v>23.196000000000002</v>
      </c>
      <c r="Z20" s="1014">
        <f>'Cost Build - Aggregate'!Z24</f>
        <v>23.297000000000001</v>
      </c>
      <c r="AA20" s="1014">
        <f>'Cost Build - Aggregate'!AA24</f>
        <v>22.998999999999999</v>
      </c>
      <c r="AB20" s="1014">
        <f>'Cost Build - Aggregate'!AB24</f>
        <v>23.236999999999998</v>
      </c>
      <c r="AC20" s="1014">
        <f>'Cost Build - Aggregate'!AC24</f>
        <v>92.728999999999999</v>
      </c>
      <c r="AD20" s="1014">
        <f>'Cost Build - Aggregate'!AD24</f>
        <v>24.001999999999999</v>
      </c>
      <c r="AE20" s="1014">
        <f>'Cost Build - Aggregate'!AE24</f>
        <v>23.727</v>
      </c>
      <c r="AF20" s="1014">
        <f>'Cost Build - Aggregate'!AF24</f>
        <v>24.09</v>
      </c>
      <c r="AG20" s="1014">
        <f>'Cost Build - Aggregate'!AG24</f>
        <v>24.157</v>
      </c>
      <c r="AH20" s="1014">
        <f>'Cost Build - Aggregate'!AH24</f>
        <v>95.975999999999999</v>
      </c>
      <c r="AI20" s="1014">
        <f>'Cost Build - Aggregate'!AI24</f>
        <v>21.361999999999998</v>
      </c>
      <c r="AJ20" s="1014">
        <f>'Cost Build - Aggregate'!AJ24</f>
        <v>21.658999999999999</v>
      </c>
      <c r="AK20" s="1014">
        <f>'Cost Build - Aggregate'!AK24</f>
        <v>21.341999999999999</v>
      </c>
      <c r="AL20" s="1014">
        <f>'Cost Build - Aggregate'!AL24</f>
        <v>23.769999999999996</v>
      </c>
      <c r="AM20" s="1014">
        <f>'Cost Build - Aggregate'!AM24</f>
        <v>88.132999999999996</v>
      </c>
      <c r="AN20" s="1014">
        <f>'Cost Build - Aggregate'!AN24</f>
        <v>23.562000000000001</v>
      </c>
      <c r="AO20" s="1014">
        <f>'Cost Build - Aggregate'!AO24</f>
        <v>22.59</v>
      </c>
      <c r="AP20" s="1014">
        <f>'Cost Build - Aggregate'!AP24</f>
        <v>22.651</v>
      </c>
      <c r="AQ20" s="1014">
        <f>'Cost Build - Aggregate'!AQ24</f>
        <v>22.612000000000009</v>
      </c>
      <c r="AR20" s="1014">
        <f>'Cost Build - Aggregate'!AR24</f>
        <v>91.415000000000006</v>
      </c>
      <c r="AS20" s="1014">
        <f>'Cost Build - Aggregate'!AS24</f>
        <v>22.006</v>
      </c>
      <c r="AT20" s="1014">
        <f>'Cost Build - Aggregate'!AT24</f>
        <v>22.222999999999999</v>
      </c>
      <c r="AU20" s="1014">
        <f>'Cost Build - Aggregate'!AU24</f>
        <v>22.576000000000001</v>
      </c>
      <c r="AV20" s="1014">
        <f>'Cost Build - Aggregate'!AV24</f>
        <v>22.84899999999999</v>
      </c>
      <c r="AW20" s="1014">
        <f>'Cost Build - Aggregate'!AW24</f>
        <v>89.653999999999996</v>
      </c>
      <c r="AX20" s="1014">
        <f>'Cost Build - Aggregate'!AX24</f>
        <v>21.504999999999999</v>
      </c>
      <c r="AY20" s="1014">
        <f>'Cost Build - Aggregate'!AY24</f>
        <v>22.608000000000001</v>
      </c>
      <c r="AZ20" s="1014">
        <f>'Cost Build - Aggregate'!AZ24</f>
        <v>22.651</v>
      </c>
      <c r="BA20" s="1014">
        <f>'Cost Build - Aggregate'!BA24</f>
        <v>25.616</v>
      </c>
      <c r="BB20" s="1014">
        <f>'Cost Build - Aggregate'!BB24</f>
        <v>92.38</v>
      </c>
      <c r="BC20" s="1014">
        <f>'Cost Build - Aggregate'!BC24</f>
        <v>22.954999999999998</v>
      </c>
      <c r="BD20" s="1014">
        <f>'Cost Build - Aggregate'!BD24</f>
        <v>23.332000000000001</v>
      </c>
      <c r="BE20" s="1014">
        <f>'Cost Build - Aggregate'!BE24</f>
        <v>22.837</v>
      </c>
      <c r="BF20" s="1014">
        <f>'Cost Build - Aggregate'!BF24</f>
        <v>24.012</v>
      </c>
      <c r="BG20" s="1014">
        <f>'Cost Build - Aggregate'!BG24</f>
        <v>93.135999999999996</v>
      </c>
      <c r="BH20" s="1026">
        <f>'Consolidated BS Build'!AX23</f>
        <v>93.135999999999996</v>
      </c>
      <c r="BI20" s="1017">
        <f>'Consolidated BS Build'!AY23</f>
        <v>100.01489204429819</v>
      </c>
      <c r="BJ20" s="1017">
        <f>'Consolidated BS Build'!AZ23</f>
        <v>110.25205473439912</v>
      </c>
      <c r="BK20" s="1017">
        <f>'Consolidated BS Build'!BA23</f>
        <v>117.94024090538311</v>
      </c>
      <c r="BL20" s="1258">
        <f>'Consolidated BS Build'!BB23</f>
        <v>125.65273110294143</v>
      </c>
    </row>
    <row r="21" spans="2:64" x14ac:dyDescent="0.15">
      <c r="B21" s="1446" t="s">
        <v>228</v>
      </c>
      <c r="C21" s="1013"/>
      <c r="D21" s="1013"/>
      <c r="E21" s="1013"/>
      <c r="F21" s="1013"/>
      <c r="G21" s="1013"/>
      <c r="H21" s="1013"/>
      <c r="I21" s="1013"/>
      <c r="J21" s="1013"/>
      <c r="K21" s="1013"/>
      <c r="L21" s="1013"/>
      <c r="M21" s="1013"/>
      <c r="N21" s="1014">
        <v>478.50400000000002</v>
      </c>
      <c r="O21" s="1014"/>
      <c r="P21" s="1014"/>
      <c r="Q21" s="1014"/>
      <c r="R21" s="1014"/>
      <c r="S21" s="1014">
        <v>500.64</v>
      </c>
      <c r="T21" s="1014"/>
      <c r="U21" s="1014"/>
      <c r="V21" s="1014"/>
      <c r="W21" s="1014"/>
      <c r="X21" s="1014">
        <v>540.36500000000001</v>
      </c>
      <c r="Y21" s="1014"/>
      <c r="Z21" s="1014"/>
      <c r="AA21" s="1014"/>
      <c r="AB21" s="1014"/>
      <c r="AC21" s="1014">
        <v>552.79100000000005</v>
      </c>
      <c r="AD21" s="1014"/>
      <c r="AE21" s="1014"/>
      <c r="AF21" s="1014"/>
      <c r="AG21" s="1014"/>
      <c r="AH21" s="1014">
        <v>566.82500000000005</v>
      </c>
      <c r="AI21" s="1014"/>
      <c r="AJ21" s="1014"/>
      <c r="AK21" s="1014"/>
      <c r="AL21" s="1014"/>
      <c r="AM21" s="1014">
        <v>631.61300000000006</v>
      </c>
      <c r="AN21" s="1014"/>
      <c r="AO21" s="1014"/>
      <c r="AP21" s="1014"/>
      <c r="AQ21" s="1014"/>
      <c r="AR21" s="1014">
        <v>616.06899999999996</v>
      </c>
      <c r="AS21" s="1014"/>
      <c r="AT21" s="1014"/>
      <c r="AU21" s="1014"/>
      <c r="AV21" s="1014"/>
      <c r="AW21" s="1014">
        <v>792.31100000000004</v>
      </c>
      <c r="AX21" s="1014"/>
      <c r="AY21" s="1014"/>
      <c r="AZ21" s="1014"/>
      <c r="BA21" s="1014"/>
      <c r="BB21" s="1014">
        <v>881.62699999999995</v>
      </c>
      <c r="BC21" s="1014"/>
      <c r="BD21" s="1014"/>
      <c r="BE21" s="1014"/>
      <c r="BF21" s="1014"/>
      <c r="BG21" s="1014">
        <v>922.428</v>
      </c>
      <c r="BH21" s="1027">
        <f>AVERAGE((AW21/AW11),(BB21/BB11),(BG21/BG11))*BH11</f>
        <v>1015.582648627292</v>
      </c>
      <c r="BI21" s="1020">
        <f>AVERAGE((BB21/BB11),(BG21/BG11),(BH21/BH11))*BI11</f>
        <v>1097.7265574383941</v>
      </c>
      <c r="BJ21" s="1020">
        <f>AVERAGE((BG21/BG11),(BH21/BH11),(BI21/BI11))*BJ11</f>
        <v>1189.3872157544345</v>
      </c>
      <c r="BK21" s="1020">
        <f>AVERAGE((BH21/BH11),(BI21/BI11),(BJ21/BJ11))*BK11</f>
        <v>1286.0313446240157</v>
      </c>
      <c r="BL21" s="1236">
        <f>AVERAGE((BI21/BI11),(BJ21/BJ11),(BK21/BK11))*BL11</f>
        <v>1386.3256013691762</v>
      </c>
    </row>
    <row r="22" spans="2:64" x14ac:dyDescent="0.15">
      <c r="B22" s="1446" t="s">
        <v>89</v>
      </c>
      <c r="C22" s="1013"/>
      <c r="D22" s="1013"/>
      <c r="E22" s="1013"/>
      <c r="F22" s="1013"/>
      <c r="G22" s="1013"/>
      <c r="H22" s="1013"/>
      <c r="I22" s="1013"/>
      <c r="J22" s="1017"/>
      <c r="K22" s="1017"/>
      <c r="L22" s="1017"/>
      <c r="M22" s="1017"/>
      <c r="N22" s="1014">
        <f t="shared" ref="N22:AS22" si="9">N11-SUM(N16:N21)</f>
        <v>28.804998158175749</v>
      </c>
      <c r="O22" s="1014">
        <f t="shared" si="9"/>
        <v>120.42198044486554</v>
      </c>
      <c r="P22" s="1014">
        <f t="shared" si="9"/>
        <v>131.3153547906515</v>
      </c>
      <c r="Q22" s="1014">
        <f t="shared" si="9"/>
        <v>128.4182581878955</v>
      </c>
      <c r="R22" s="1014">
        <f t="shared" si="9"/>
        <v>120.35688572747489</v>
      </c>
      <c r="S22" s="1014">
        <f t="shared" si="9"/>
        <v>187.82899073316321</v>
      </c>
      <c r="T22" s="1014">
        <f t="shared" si="9"/>
        <v>182.50489823751701</v>
      </c>
      <c r="U22" s="1014">
        <f t="shared" si="9"/>
        <v>191.75191105881856</v>
      </c>
      <c r="V22" s="1014">
        <f t="shared" si="9"/>
        <v>189.40809768803547</v>
      </c>
      <c r="W22" s="1014">
        <f t="shared" si="9"/>
        <v>201.27331254313407</v>
      </c>
      <c r="X22" s="1014">
        <f t="shared" si="9"/>
        <v>214.34204049093933</v>
      </c>
      <c r="Y22" s="1014">
        <f t="shared" si="9"/>
        <v>184.02651613736174</v>
      </c>
      <c r="Z22" s="1014">
        <f t="shared" si="9"/>
        <v>192.53549814025723</v>
      </c>
      <c r="AA22" s="1014">
        <f t="shared" si="9"/>
        <v>179.5480652586354</v>
      </c>
      <c r="AB22" s="1014">
        <f t="shared" si="9"/>
        <v>186.59830679979189</v>
      </c>
      <c r="AC22" s="1014">
        <f t="shared" si="9"/>
        <v>176.12200782481023</v>
      </c>
      <c r="AD22" s="1014">
        <f t="shared" si="9"/>
        <v>185.1933311171594</v>
      </c>
      <c r="AE22" s="1014">
        <f t="shared" si="9"/>
        <v>186.60087493849483</v>
      </c>
      <c r="AF22" s="1014">
        <f t="shared" si="9"/>
        <v>185.32687457503607</v>
      </c>
      <c r="AG22" s="1014">
        <f t="shared" si="9"/>
        <v>183.98253829362682</v>
      </c>
      <c r="AH22" s="1014">
        <f t="shared" si="9"/>
        <v>147.38836036823295</v>
      </c>
      <c r="AI22" s="1014">
        <f t="shared" si="9"/>
        <v>189.5063526636294</v>
      </c>
      <c r="AJ22" s="1014">
        <f t="shared" si="9"/>
        <v>195.61151278593871</v>
      </c>
      <c r="AK22" s="1014">
        <f t="shared" si="9"/>
        <v>183.42541252440185</v>
      </c>
      <c r="AL22" s="1014">
        <f t="shared" si="9"/>
        <v>141.293397771179</v>
      </c>
      <c r="AM22" s="1014">
        <f t="shared" si="9"/>
        <v>140.9346244012545</v>
      </c>
      <c r="AN22" s="1014">
        <f t="shared" si="9"/>
        <v>174.25431130515932</v>
      </c>
      <c r="AO22" s="1014">
        <f t="shared" si="9"/>
        <v>44.655442159630041</v>
      </c>
      <c r="AP22" s="1014">
        <f t="shared" si="9"/>
        <v>142.36217686373107</v>
      </c>
      <c r="AQ22" s="1014">
        <f t="shared" si="9"/>
        <v>67.739785048271926</v>
      </c>
      <c r="AR22" s="1014">
        <f t="shared" si="9"/>
        <v>-119.21358581351092</v>
      </c>
      <c r="AS22" s="1014">
        <f t="shared" si="9"/>
        <v>200.25018721431547</v>
      </c>
      <c r="AT22" s="1014">
        <f t="shared" ref="AT22:BL22" si="10">AT11-SUM(AT16:AT21)</f>
        <v>260.95980081076334</v>
      </c>
      <c r="AU22" s="1014">
        <f t="shared" si="10"/>
        <v>242.99931330978484</v>
      </c>
      <c r="AV22" s="1014">
        <f t="shared" si="10"/>
        <v>154.07805265823765</v>
      </c>
      <c r="AW22" s="1014">
        <f t="shared" si="10"/>
        <v>133.31160773892043</v>
      </c>
      <c r="AX22" s="1014">
        <f t="shared" si="10"/>
        <v>245.25032646007207</v>
      </c>
      <c r="AY22" s="1014">
        <f t="shared" si="10"/>
        <v>257.9284187115037</v>
      </c>
      <c r="AZ22" s="1014">
        <f t="shared" si="10"/>
        <v>226.56359268415406</v>
      </c>
      <c r="BA22" s="1014">
        <f t="shared" si="10"/>
        <v>182.71865213934382</v>
      </c>
      <c r="BB22" s="1014">
        <f t="shared" si="10"/>
        <v>100.15209301770756</v>
      </c>
      <c r="BC22" s="1014">
        <f t="shared" si="10"/>
        <v>278.37715370958563</v>
      </c>
      <c r="BD22" s="1014">
        <f t="shared" si="10"/>
        <v>288.28443411085641</v>
      </c>
      <c r="BE22" s="1014">
        <f t="shared" si="10"/>
        <v>263.51874724783806</v>
      </c>
      <c r="BF22" s="1014">
        <f t="shared" si="10"/>
        <v>195.65057534448033</v>
      </c>
      <c r="BG22" s="1014">
        <f t="shared" si="10"/>
        <v>174.73800220119028</v>
      </c>
      <c r="BH22" s="1015">
        <f t="shared" si="10"/>
        <v>254.93600276590087</v>
      </c>
      <c r="BI22" s="1014">
        <f t="shared" si="10"/>
        <v>282.91408726185045</v>
      </c>
      <c r="BJ22" s="1014">
        <f t="shared" si="10"/>
        <v>356.36515771544964</v>
      </c>
      <c r="BK22" s="1014">
        <f t="shared" si="10"/>
        <v>424.36340913292952</v>
      </c>
      <c r="BL22" s="1452">
        <f t="shared" si="10"/>
        <v>490.44355114443169</v>
      </c>
    </row>
    <row r="23" spans="2:64" x14ac:dyDescent="0.15">
      <c r="B23" s="1448" t="s">
        <v>229</v>
      </c>
      <c r="C23" s="1021"/>
      <c r="D23" s="1021"/>
      <c r="E23" s="1021"/>
      <c r="F23" s="1021"/>
      <c r="G23" s="1021"/>
      <c r="H23" s="1021"/>
      <c r="I23" s="1021"/>
      <c r="J23" s="1021"/>
      <c r="K23" s="1021"/>
      <c r="L23" s="1021"/>
      <c r="M23" s="1021"/>
      <c r="N23" s="1028"/>
      <c r="O23" s="1028"/>
      <c r="P23" s="1028"/>
      <c r="Q23" s="1028"/>
      <c r="R23" s="1028"/>
      <c r="S23" s="1028"/>
      <c r="T23" s="1028"/>
      <c r="U23" s="1028"/>
      <c r="V23" s="1028"/>
      <c r="W23" s="1028"/>
      <c r="X23" s="1028"/>
      <c r="Y23" s="1028"/>
      <c r="Z23" s="1028"/>
      <c r="AA23" s="1028"/>
      <c r="AB23" s="1028"/>
      <c r="AC23" s="1028"/>
      <c r="AD23" s="1028"/>
      <c r="AE23" s="1028"/>
      <c r="AF23" s="1028"/>
      <c r="AG23" s="1028"/>
      <c r="AH23" s="1028"/>
      <c r="AI23" s="1028"/>
      <c r="AJ23" s="1028"/>
      <c r="AK23" s="1028"/>
      <c r="AL23" s="1028"/>
      <c r="AM23" s="1028"/>
      <c r="AN23" s="1028"/>
      <c r="AO23" s="1028"/>
      <c r="AP23" s="1028"/>
      <c r="AQ23" s="1028"/>
      <c r="AR23" s="1028"/>
      <c r="AS23" s="1028"/>
      <c r="AT23" s="1028"/>
      <c r="AU23" s="1028"/>
      <c r="AV23" s="1028"/>
      <c r="AW23" s="1028"/>
      <c r="AX23" s="1028"/>
      <c r="AY23" s="1028"/>
      <c r="AZ23" s="1028"/>
      <c r="BA23" s="1028"/>
      <c r="BB23" s="1028"/>
      <c r="BC23" s="1028"/>
      <c r="BD23" s="1028"/>
      <c r="BE23" s="1028"/>
      <c r="BF23" s="1028"/>
      <c r="BG23" s="1028"/>
      <c r="BH23" s="1029"/>
      <c r="BI23" s="1021"/>
      <c r="BJ23" s="1021"/>
      <c r="BK23" s="1021"/>
      <c r="BL23" s="1455"/>
    </row>
    <row r="24" spans="2:64" x14ac:dyDescent="0.15">
      <c r="B24" s="1446"/>
      <c r="C24" s="1013"/>
      <c r="D24" s="1013"/>
      <c r="E24" s="1013"/>
      <c r="F24" s="1013"/>
      <c r="G24" s="1013"/>
      <c r="H24" s="1013"/>
      <c r="I24" s="1013"/>
      <c r="J24" s="1013"/>
      <c r="K24" s="1013"/>
      <c r="L24" s="1013"/>
      <c r="M24" s="1013"/>
      <c r="N24" s="1014"/>
      <c r="O24" s="1014"/>
      <c r="P24" s="1014"/>
      <c r="Q24" s="1014"/>
      <c r="R24" s="1014"/>
      <c r="S24" s="1014"/>
      <c r="T24" s="1014"/>
      <c r="U24" s="1014"/>
      <c r="V24" s="1014"/>
      <c r="W24" s="1014"/>
      <c r="X24" s="1014"/>
      <c r="Y24" s="1014"/>
      <c r="Z24" s="1014"/>
      <c r="AA24" s="1014"/>
      <c r="AB24" s="1014"/>
      <c r="AC24" s="1014"/>
      <c r="AD24" s="1014"/>
      <c r="AE24" s="1014"/>
      <c r="AF24" s="1014"/>
      <c r="AG24" s="1014"/>
      <c r="AH24" s="1014"/>
      <c r="AI24" s="1014"/>
      <c r="AJ24" s="1014"/>
      <c r="AK24" s="1014"/>
      <c r="AL24" s="1014"/>
      <c r="AM24" s="1014"/>
      <c r="AN24" s="1014"/>
      <c r="AO24" s="1014"/>
      <c r="AP24" s="1014"/>
      <c r="AQ24" s="1014"/>
      <c r="AR24" s="1014"/>
      <c r="AS24" s="1014"/>
      <c r="AT24" s="1014"/>
      <c r="AU24" s="1014"/>
      <c r="AV24" s="1014"/>
      <c r="AW24" s="1014"/>
      <c r="AX24" s="1014"/>
      <c r="AY24" s="1014"/>
      <c r="AZ24" s="1014"/>
      <c r="BA24" s="1014"/>
      <c r="BB24" s="1014"/>
      <c r="BC24" s="1014"/>
      <c r="BD24" s="1014"/>
      <c r="BE24" s="1014"/>
      <c r="BF24" s="1014"/>
      <c r="BG24" s="1014"/>
      <c r="BH24" s="1024"/>
      <c r="BI24" s="1013"/>
      <c r="BJ24" s="1013"/>
      <c r="BK24" s="1013"/>
      <c r="BL24" s="1245"/>
    </row>
    <row r="25" spans="2:64" x14ac:dyDescent="0.15">
      <c r="B25" s="1446" t="s">
        <v>230</v>
      </c>
      <c r="C25" s="1013"/>
      <c r="D25" s="1013"/>
      <c r="E25" s="1013"/>
      <c r="F25" s="1013"/>
      <c r="G25" s="1013"/>
      <c r="H25" s="1013"/>
      <c r="I25" s="1013"/>
      <c r="J25" s="1013"/>
      <c r="K25" s="1013"/>
      <c r="L25" s="1013"/>
      <c r="M25" s="1013"/>
      <c r="N25" s="1014">
        <f t="shared" ref="N25:BG25" si="11">N20</f>
        <v>82.834999999999994</v>
      </c>
      <c r="O25" s="1014">
        <f t="shared" si="11"/>
        <v>21.177</v>
      </c>
      <c r="P25" s="1014">
        <f t="shared" si="11"/>
        <v>21.158000000000001</v>
      </c>
      <c r="Q25" s="1014">
        <f t="shared" si="11"/>
        <v>21.317</v>
      </c>
      <c r="R25" s="1014">
        <f t="shared" si="11"/>
        <v>21.911000000000001</v>
      </c>
      <c r="S25" s="1014">
        <f t="shared" si="11"/>
        <v>85.563000000000002</v>
      </c>
      <c r="T25" s="1014">
        <f t="shared" si="11"/>
        <v>21.463999999999999</v>
      </c>
      <c r="U25" s="1014">
        <f t="shared" si="11"/>
        <v>21.460999999999999</v>
      </c>
      <c r="V25" s="1014">
        <f t="shared" si="11"/>
        <v>21.634</v>
      </c>
      <c r="W25" s="1014">
        <f t="shared" si="11"/>
        <v>23.451000000000001</v>
      </c>
      <c r="X25" s="1014">
        <f t="shared" si="11"/>
        <v>88.01</v>
      </c>
      <c r="Y25" s="1014">
        <f t="shared" si="11"/>
        <v>23.196000000000002</v>
      </c>
      <c r="Z25" s="1014">
        <f t="shared" si="11"/>
        <v>23.297000000000001</v>
      </c>
      <c r="AA25" s="1014">
        <f t="shared" si="11"/>
        <v>22.998999999999999</v>
      </c>
      <c r="AB25" s="1014">
        <f t="shared" si="11"/>
        <v>23.236999999999998</v>
      </c>
      <c r="AC25" s="1014">
        <f t="shared" si="11"/>
        <v>92.728999999999999</v>
      </c>
      <c r="AD25" s="1014">
        <f t="shared" si="11"/>
        <v>24.001999999999999</v>
      </c>
      <c r="AE25" s="1014">
        <f t="shared" si="11"/>
        <v>23.727</v>
      </c>
      <c r="AF25" s="1014">
        <f t="shared" si="11"/>
        <v>24.09</v>
      </c>
      <c r="AG25" s="1014">
        <f t="shared" si="11"/>
        <v>24.157</v>
      </c>
      <c r="AH25" s="1014">
        <f t="shared" si="11"/>
        <v>95.975999999999999</v>
      </c>
      <c r="AI25" s="1014">
        <f t="shared" si="11"/>
        <v>21.361999999999998</v>
      </c>
      <c r="AJ25" s="1014">
        <f t="shared" si="11"/>
        <v>21.658999999999999</v>
      </c>
      <c r="AK25" s="1014">
        <f t="shared" si="11"/>
        <v>21.341999999999999</v>
      </c>
      <c r="AL25" s="1014">
        <f t="shared" si="11"/>
        <v>23.769999999999996</v>
      </c>
      <c r="AM25" s="1014">
        <f t="shared" si="11"/>
        <v>88.132999999999996</v>
      </c>
      <c r="AN25" s="1014">
        <f t="shared" si="11"/>
        <v>23.562000000000001</v>
      </c>
      <c r="AO25" s="1014">
        <f t="shared" si="11"/>
        <v>22.59</v>
      </c>
      <c r="AP25" s="1014">
        <f t="shared" si="11"/>
        <v>22.651</v>
      </c>
      <c r="AQ25" s="1014">
        <f t="shared" si="11"/>
        <v>22.612000000000009</v>
      </c>
      <c r="AR25" s="1014">
        <f t="shared" si="11"/>
        <v>91.415000000000006</v>
      </c>
      <c r="AS25" s="1014">
        <f t="shared" si="11"/>
        <v>22.006</v>
      </c>
      <c r="AT25" s="1014">
        <f t="shared" si="11"/>
        <v>22.222999999999999</v>
      </c>
      <c r="AU25" s="1014">
        <f t="shared" si="11"/>
        <v>22.576000000000001</v>
      </c>
      <c r="AV25" s="1014">
        <f t="shared" si="11"/>
        <v>22.84899999999999</v>
      </c>
      <c r="AW25" s="1014">
        <f t="shared" si="11"/>
        <v>89.653999999999996</v>
      </c>
      <c r="AX25" s="1014">
        <f t="shared" si="11"/>
        <v>21.504999999999999</v>
      </c>
      <c r="AY25" s="1014">
        <f t="shared" si="11"/>
        <v>22.608000000000001</v>
      </c>
      <c r="AZ25" s="1014">
        <f t="shared" si="11"/>
        <v>22.651</v>
      </c>
      <c r="BA25" s="1014">
        <f t="shared" si="11"/>
        <v>25.616</v>
      </c>
      <c r="BB25" s="1014">
        <f t="shared" si="11"/>
        <v>92.38</v>
      </c>
      <c r="BC25" s="1014">
        <f t="shared" si="11"/>
        <v>22.954999999999998</v>
      </c>
      <c r="BD25" s="1014">
        <f t="shared" si="11"/>
        <v>23.332000000000001</v>
      </c>
      <c r="BE25" s="1014">
        <f t="shared" si="11"/>
        <v>22.837</v>
      </c>
      <c r="BF25" s="1014">
        <f t="shared" si="11"/>
        <v>24.012</v>
      </c>
      <c r="BG25" s="1014">
        <f t="shared" si="11"/>
        <v>93.135999999999996</v>
      </c>
      <c r="BH25" s="1026">
        <f>BH20</f>
        <v>93.135999999999996</v>
      </c>
      <c r="BI25" s="1017">
        <f t="shared" ref="BI25:BL25" si="12">BI20</f>
        <v>100.01489204429819</v>
      </c>
      <c r="BJ25" s="1017">
        <f t="shared" si="12"/>
        <v>110.25205473439912</v>
      </c>
      <c r="BK25" s="1017">
        <f t="shared" si="12"/>
        <v>117.94024090538311</v>
      </c>
      <c r="BL25" s="1258">
        <f t="shared" si="12"/>
        <v>125.65273110294143</v>
      </c>
    </row>
    <row r="26" spans="2:64" x14ac:dyDescent="0.15">
      <c r="B26" s="1446" t="s">
        <v>231</v>
      </c>
      <c r="C26" s="1554"/>
      <c r="D26" s="1013"/>
      <c r="E26" s="1013"/>
      <c r="F26" s="1013"/>
      <c r="G26" s="1013"/>
      <c r="H26" s="1013"/>
      <c r="I26" s="1013"/>
      <c r="J26" s="1013"/>
      <c r="K26" s="1013"/>
      <c r="L26" s="1013"/>
      <c r="M26" s="1013"/>
      <c r="N26" s="1014">
        <f>Historicals!P639</f>
        <v>16.817</v>
      </c>
      <c r="O26" s="1014">
        <f>Historicals!Q639</f>
        <v>4.7309999999999999</v>
      </c>
      <c r="P26" s="1014">
        <f>Historicals!R639</f>
        <v>4.9459999999999997</v>
      </c>
      <c r="Q26" s="1014">
        <f>Historicals!S639</f>
        <v>4.8719999999999999</v>
      </c>
      <c r="R26" s="1014">
        <f>Historicals!T639</f>
        <v>5.5040000000000013</v>
      </c>
      <c r="S26" s="1014">
        <f>Historicals!U639</f>
        <v>20.053000000000001</v>
      </c>
      <c r="T26" s="1014">
        <f>Historicals!V639</f>
        <v>5.1849999999999996</v>
      </c>
      <c r="U26" s="1014">
        <f>Historicals!W639</f>
        <v>6.1190000000000007</v>
      </c>
      <c r="V26" s="1014">
        <f>Historicals!X639</f>
        <v>4.8729999999999993</v>
      </c>
      <c r="W26" s="1014">
        <f>Historicals!Y639</f>
        <v>5.2959999999999994</v>
      </c>
      <c r="X26" s="1014">
        <f>Historicals!Z639</f>
        <v>21.472999999999999</v>
      </c>
      <c r="Y26" s="1014">
        <f>Historicals!AA639</f>
        <v>4.6150000000000002</v>
      </c>
      <c r="Z26" s="1014">
        <f>Historicals!AB639</f>
        <v>5.173</v>
      </c>
      <c r="AA26" s="1014">
        <f>Historicals!AC639</f>
        <v>5.2789999999999999</v>
      </c>
      <c r="AB26" s="1014">
        <f>Historicals!AD639</f>
        <v>1.3900000000000006</v>
      </c>
      <c r="AC26" s="1014">
        <f>Historicals!AE639</f>
        <v>16.457000000000001</v>
      </c>
      <c r="AD26" s="1014">
        <f>Historicals!AF639</f>
        <v>6.0129999999999999</v>
      </c>
      <c r="AE26" s="1014">
        <f>Historicals!AG639</f>
        <v>5.0619999999999994</v>
      </c>
      <c r="AF26" s="1014">
        <f>Historicals!AH639</f>
        <v>4.7320000000000011</v>
      </c>
      <c r="AG26" s="1014">
        <f>Historicals!AI639</f>
        <v>4.1809999999999992</v>
      </c>
      <c r="AH26" s="1014">
        <f>Historicals!AJ639</f>
        <v>19.988</v>
      </c>
      <c r="AI26" s="1014">
        <f>Historicals!AK639</f>
        <v>5.8470000000000004</v>
      </c>
      <c r="AJ26" s="1014">
        <f>Historicals!AL639</f>
        <v>4.6409999999999991</v>
      </c>
      <c r="AK26" s="1014">
        <f>Historicals!AM639</f>
        <v>4.6470000000000002</v>
      </c>
      <c r="AL26" s="1014">
        <f>Historicals!AN639</f>
        <v>4.2380000000000013</v>
      </c>
      <c r="AM26" s="1014">
        <f>Historicals!AO639</f>
        <v>19.373000000000001</v>
      </c>
      <c r="AN26" s="1014">
        <f>Historicals!AP639</f>
        <v>5.5069999999999997</v>
      </c>
      <c r="AO26" s="1014">
        <f>Historicals!AQ639</f>
        <v>5.1100000000000012</v>
      </c>
      <c r="AP26" s="1014">
        <f>Historicals!AR639</f>
        <v>4.9159999999999986</v>
      </c>
      <c r="AQ26" s="1014">
        <f>Historicals!AS639</f>
        <v>5.8170000000000019</v>
      </c>
      <c r="AR26" s="1014">
        <f>Historicals!AT639</f>
        <v>21.35</v>
      </c>
      <c r="AS26" s="1014">
        <f>Historicals!AU639</f>
        <v>5.444</v>
      </c>
      <c r="AT26" s="1014">
        <f>Historicals!AV639</f>
        <v>5.4910000000000005</v>
      </c>
      <c r="AU26" s="1014">
        <f>Historicals!AW639</f>
        <v>5.3940000000000001</v>
      </c>
      <c r="AV26" s="1014">
        <f>Historicals!AX639</f>
        <v>6.6589999999999989</v>
      </c>
      <c r="AW26" s="1014">
        <f>Historicals!AY639</f>
        <v>22.988</v>
      </c>
      <c r="AX26" s="1014">
        <f>Historicals!AZ639</f>
        <v>5.5179999999999998</v>
      </c>
      <c r="AY26" s="1014">
        <f>Historicals!BA639</f>
        <v>6.0889999999999995</v>
      </c>
      <c r="AZ26" s="1014">
        <f>Historicals!BB639</f>
        <v>5.6129999999999995</v>
      </c>
      <c r="BA26" s="1014">
        <f>Historicals!BC639</f>
        <v>7.2059999999999995</v>
      </c>
      <c r="BB26" s="1014">
        <f>Historicals!BD639</f>
        <v>24.425999999999998</v>
      </c>
      <c r="BC26" s="1014">
        <f>Historicals!BE639</f>
        <v>5.9020000000000001</v>
      </c>
      <c r="BD26" s="1014">
        <f>Historicals!BF639</f>
        <v>6.3250000000000002</v>
      </c>
      <c r="BE26" s="1014">
        <f>Historicals!BG639</f>
        <v>6.6230000000000011</v>
      </c>
      <c r="BF26" s="1014">
        <f>Historicals!BH639</f>
        <v>6.9309999999999974</v>
      </c>
      <c r="BG26" s="1014">
        <f>Historicals!BI639</f>
        <v>25.780999999999999</v>
      </c>
      <c r="BH26" s="1027">
        <f>AVERAGE((AW26/AW16),(BB26/BB16),(BG26/BG16))*BH16</f>
        <v>28.397223673891315</v>
      </c>
      <c r="BI26" s="1020">
        <f>AVERAGE((BB26/BB16),(BG26/BG16),(BH26/BH16))*BI16</f>
        <v>30.492194180058892</v>
      </c>
      <c r="BJ26" s="1020">
        <f>AVERAGE((BG26/BG16),(BH26/BH16),(BI26/BI16))*BJ16</f>
        <v>33.272472841150737</v>
      </c>
      <c r="BK26" s="1020">
        <f>AVERAGE((BH26/BH16),(BI26/BI16),(BJ26/BJ16))*BK16</f>
        <v>35.886187624912395</v>
      </c>
      <c r="BL26" s="1236">
        <f>AVERAGE((BI26/BI16),(BJ26/BJ16),(BK26/BK16))*BL16</f>
        <v>38.658513658621402</v>
      </c>
    </row>
    <row r="27" spans="2:64" x14ac:dyDescent="0.15">
      <c r="B27" s="1446" t="s">
        <v>55</v>
      </c>
      <c r="C27" s="1555"/>
      <c r="D27" s="1013"/>
      <c r="E27" s="1013"/>
      <c r="F27" s="1013"/>
      <c r="G27" s="1013"/>
      <c r="H27" s="1013"/>
      <c r="I27" s="1013"/>
      <c r="J27" s="1013"/>
      <c r="K27" s="1013"/>
      <c r="L27" s="1013"/>
      <c r="M27" s="1013"/>
      <c r="N27" s="1014">
        <f t="shared" ref="N27:BF27" si="13">N22+N25</f>
        <v>111.63999815817574</v>
      </c>
      <c r="O27" s="1014">
        <f t="shared" si="13"/>
        <v>141.59898044486553</v>
      </c>
      <c r="P27" s="1014">
        <f t="shared" si="13"/>
        <v>152.47335479065151</v>
      </c>
      <c r="Q27" s="1014">
        <f t="shared" si="13"/>
        <v>149.73525818789551</v>
      </c>
      <c r="R27" s="1014">
        <f t="shared" si="13"/>
        <v>142.26788572747489</v>
      </c>
      <c r="S27" s="1014">
        <f t="shared" si="13"/>
        <v>273.3919907331632</v>
      </c>
      <c r="T27" s="1014">
        <f t="shared" si="13"/>
        <v>203.96889823751701</v>
      </c>
      <c r="U27" s="1014">
        <f t="shared" si="13"/>
        <v>213.21291105881858</v>
      </c>
      <c r="V27" s="1014">
        <f t="shared" si="13"/>
        <v>211.04209768803548</v>
      </c>
      <c r="W27" s="1014">
        <f t="shared" si="13"/>
        <v>224.72431254313406</v>
      </c>
      <c r="X27" s="1014">
        <f t="shared" si="13"/>
        <v>302.35204049093932</v>
      </c>
      <c r="Y27" s="1014">
        <f t="shared" si="13"/>
        <v>207.22251613736174</v>
      </c>
      <c r="Z27" s="1014">
        <f t="shared" si="13"/>
        <v>215.83249814025723</v>
      </c>
      <c r="AA27" s="1014">
        <f t="shared" si="13"/>
        <v>202.5470652586354</v>
      </c>
      <c r="AB27" s="1014">
        <f t="shared" si="13"/>
        <v>209.83530679979188</v>
      </c>
      <c r="AC27" s="1014">
        <f t="shared" si="13"/>
        <v>268.85100782481021</v>
      </c>
      <c r="AD27" s="1014">
        <f t="shared" si="13"/>
        <v>209.19533111715941</v>
      </c>
      <c r="AE27" s="1014">
        <f t="shared" si="13"/>
        <v>210.32787493849483</v>
      </c>
      <c r="AF27" s="1014">
        <f t="shared" si="13"/>
        <v>209.41687457503608</v>
      </c>
      <c r="AG27" s="1014">
        <f t="shared" si="13"/>
        <v>208.13953829362683</v>
      </c>
      <c r="AH27" s="1014">
        <f t="shared" si="13"/>
        <v>243.36436036823295</v>
      </c>
      <c r="AI27" s="1014">
        <f t="shared" si="13"/>
        <v>210.86835266362939</v>
      </c>
      <c r="AJ27" s="1014">
        <f t="shared" si="13"/>
        <v>217.27051278593871</v>
      </c>
      <c r="AK27" s="1014">
        <f t="shared" si="13"/>
        <v>204.76741252440183</v>
      </c>
      <c r="AL27" s="1014">
        <f t="shared" si="13"/>
        <v>165.06339777117898</v>
      </c>
      <c r="AM27" s="1014">
        <f t="shared" si="13"/>
        <v>229.06762440125448</v>
      </c>
      <c r="AN27" s="1014">
        <f t="shared" si="13"/>
        <v>197.81631130515933</v>
      </c>
      <c r="AO27" s="1014">
        <f t="shared" si="13"/>
        <v>67.245442159630045</v>
      </c>
      <c r="AP27" s="1014">
        <f t="shared" si="13"/>
        <v>165.01317686373108</v>
      </c>
      <c r="AQ27" s="1014">
        <f t="shared" si="13"/>
        <v>90.351785048271935</v>
      </c>
      <c r="AR27" s="1014">
        <f t="shared" si="13"/>
        <v>-27.798585813510911</v>
      </c>
      <c r="AS27" s="1014">
        <f t="shared" si="13"/>
        <v>222.25618721431547</v>
      </c>
      <c r="AT27" s="1014">
        <f t="shared" si="13"/>
        <v>283.18280081076335</v>
      </c>
      <c r="AU27" s="1014">
        <f t="shared" si="13"/>
        <v>265.57531330978486</v>
      </c>
      <c r="AV27" s="1014">
        <f t="shared" si="13"/>
        <v>176.92705265823764</v>
      </c>
      <c r="AW27" s="1014">
        <f t="shared" si="13"/>
        <v>222.96560773892043</v>
      </c>
      <c r="AX27" s="1014">
        <f t="shared" si="13"/>
        <v>266.75532646007207</v>
      </c>
      <c r="AY27" s="1014">
        <f t="shared" si="13"/>
        <v>280.5364187115037</v>
      </c>
      <c r="AZ27" s="1014">
        <f t="shared" si="13"/>
        <v>249.21459268415407</v>
      </c>
      <c r="BA27" s="1014">
        <f t="shared" si="13"/>
        <v>208.3346521393438</v>
      </c>
      <c r="BB27" s="1014">
        <f t="shared" si="13"/>
        <v>192.53209301770755</v>
      </c>
      <c r="BC27" s="1014">
        <f t="shared" si="13"/>
        <v>301.33215370958561</v>
      </c>
      <c r="BD27" s="1014">
        <f t="shared" si="13"/>
        <v>311.6164341108564</v>
      </c>
      <c r="BE27" s="1014">
        <f t="shared" si="13"/>
        <v>286.35574724783805</v>
      </c>
      <c r="BF27" s="1014">
        <f t="shared" si="13"/>
        <v>219.66257534448033</v>
      </c>
      <c r="BG27" s="1014">
        <f t="shared" ref="BG27:BL27" si="14">BG22+BG25</f>
        <v>267.87400220119025</v>
      </c>
      <c r="BH27" s="1015">
        <f t="shared" si="14"/>
        <v>348.07200276590083</v>
      </c>
      <c r="BI27" s="1014">
        <f t="shared" si="14"/>
        <v>382.92897930614868</v>
      </c>
      <c r="BJ27" s="1014">
        <f t="shared" si="14"/>
        <v>466.61721244984875</v>
      </c>
      <c r="BK27" s="1014">
        <f t="shared" si="14"/>
        <v>542.30365003831264</v>
      </c>
      <c r="BL27" s="1452">
        <f t="shared" si="14"/>
        <v>616.0962822473731</v>
      </c>
    </row>
    <row r="28" spans="2:64" x14ac:dyDescent="0.15">
      <c r="B28" s="1446" t="s">
        <v>232</v>
      </c>
      <c r="C28" s="1556"/>
      <c r="D28" s="1013"/>
      <c r="E28" s="1013"/>
      <c r="F28" s="1013"/>
      <c r="G28" s="1013"/>
      <c r="H28" s="1013"/>
      <c r="I28" s="1013"/>
      <c r="J28" s="1013"/>
      <c r="K28" s="1013"/>
      <c r="L28" s="1013"/>
      <c r="M28" s="1013"/>
      <c r="N28" s="1014"/>
      <c r="O28" s="1014"/>
      <c r="P28" s="1014"/>
      <c r="Q28" s="1014"/>
      <c r="R28" s="1014"/>
      <c r="S28" s="1014"/>
      <c r="T28" s="1014"/>
      <c r="U28" s="1014"/>
      <c r="V28" s="1014"/>
      <c r="W28" s="1014"/>
      <c r="X28" s="1014"/>
      <c r="Y28" s="1014"/>
      <c r="Z28" s="1014"/>
      <c r="AA28" s="1014"/>
      <c r="AB28" s="1014"/>
      <c r="AC28" s="1014"/>
      <c r="AD28" s="1014"/>
      <c r="AE28" s="1014"/>
      <c r="AF28" s="1014"/>
      <c r="AG28" s="1014"/>
      <c r="AH28" s="1014"/>
      <c r="AI28" s="1014"/>
      <c r="AJ28" s="1014"/>
      <c r="AK28" s="1014"/>
      <c r="AL28" s="1014"/>
      <c r="AM28" s="1014"/>
      <c r="AN28" s="1014"/>
      <c r="AO28" s="1014"/>
      <c r="AP28" s="1014"/>
      <c r="AQ28" s="1014"/>
      <c r="AR28" s="1014"/>
      <c r="AS28" s="1014"/>
      <c r="AT28" s="1014"/>
      <c r="AU28" s="1014"/>
      <c r="AV28" s="1014"/>
      <c r="AW28" s="1014"/>
      <c r="AX28" s="1014"/>
      <c r="AY28" s="1014"/>
      <c r="AZ28" s="1014"/>
      <c r="BA28" s="1014"/>
      <c r="BB28" s="1014"/>
      <c r="BC28" s="1014"/>
      <c r="BD28" s="1014"/>
      <c r="BE28" s="1014"/>
      <c r="BF28" s="1014"/>
      <c r="BG28" s="1014"/>
      <c r="BH28" s="1024"/>
      <c r="BI28" s="1013"/>
      <c r="BJ28" s="1013"/>
      <c r="BK28" s="1013"/>
      <c r="BL28" s="1245"/>
    </row>
    <row r="29" spans="2:64" x14ac:dyDescent="0.15">
      <c r="B29" s="1446"/>
      <c r="C29" s="1013"/>
      <c r="D29" s="1013"/>
      <c r="E29" s="1013"/>
      <c r="F29" s="1013"/>
      <c r="G29" s="1013"/>
      <c r="H29" s="1013"/>
      <c r="I29" s="1013"/>
      <c r="J29" s="1013"/>
      <c r="K29" s="1013"/>
      <c r="L29" s="1013"/>
      <c r="M29" s="1013"/>
      <c r="N29" s="1014"/>
      <c r="O29" s="1014"/>
      <c r="P29" s="1014"/>
      <c r="Q29" s="1014"/>
      <c r="R29" s="1014"/>
      <c r="S29" s="1014"/>
      <c r="T29" s="1014"/>
      <c r="U29" s="1014"/>
      <c r="V29" s="1014"/>
      <c r="W29" s="1014"/>
      <c r="X29" s="1014"/>
      <c r="Y29" s="1014"/>
      <c r="Z29" s="1014"/>
      <c r="AA29" s="1014"/>
      <c r="AB29" s="1014"/>
      <c r="AC29" s="1014"/>
      <c r="AD29" s="1014"/>
      <c r="AE29" s="1014"/>
      <c r="AF29" s="1014"/>
      <c r="AG29" s="1014"/>
      <c r="AH29" s="1014"/>
      <c r="AI29" s="1014"/>
      <c r="AJ29" s="1014"/>
      <c r="AK29" s="1014"/>
      <c r="AL29" s="1014"/>
      <c r="AM29" s="1014"/>
      <c r="AN29" s="1014"/>
      <c r="AO29" s="1014"/>
      <c r="AP29" s="1014"/>
      <c r="AQ29" s="1014"/>
      <c r="AR29" s="1014"/>
      <c r="AS29" s="1014"/>
      <c r="AT29" s="1014"/>
      <c r="AU29" s="1014"/>
      <c r="AV29" s="1014"/>
      <c r="AW29" s="1014"/>
      <c r="AX29" s="1014"/>
      <c r="AY29" s="1014"/>
      <c r="AZ29" s="1014"/>
      <c r="BA29" s="1014"/>
      <c r="BB29" s="1014"/>
      <c r="BC29" s="1014"/>
      <c r="BD29" s="1014"/>
      <c r="BE29" s="1014"/>
      <c r="BF29" s="1014"/>
      <c r="BG29" s="1014"/>
      <c r="BH29" s="1024"/>
      <c r="BI29" s="1013"/>
      <c r="BJ29" s="1013"/>
      <c r="BK29" s="1013"/>
      <c r="BL29" s="1245"/>
    </row>
    <row r="30" spans="2:64" x14ac:dyDescent="0.15">
      <c r="B30" s="1446" t="s">
        <v>233</v>
      </c>
      <c r="C30" s="1556"/>
      <c r="D30" s="1013"/>
      <c r="E30" s="1013"/>
      <c r="F30" s="1013"/>
      <c r="G30" s="1013"/>
      <c r="H30" s="1013"/>
      <c r="I30" s="1013"/>
      <c r="J30" s="1013"/>
      <c r="K30" s="1013"/>
      <c r="L30" s="1013"/>
      <c r="M30" s="1013"/>
      <c r="N30" s="1014">
        <v>6.1870000000000003</v>
      </c>
      <c r="O30" s="1014">
        <v>1.895</v>
      </c>
      <c r="P30" s="1014">
        <v>1.4319999999999999</v>
      </c>
      <c r="Q30" s="1014">
        <v>0.72199999999999998</v>
      </c>
      <c r="R30" s="1014">
        <v>1.845</v>
      </c>
      <c r="S30" s="1014">
        <v>5.8940000000000001</v>
      </c>
      <c r="T30" s="1014">
        <v>2.3039999999999998</v>
      </c>
      <c r="U30" s="1014">
        <v>2.181</v>
      </c>
      <c r="V30" s="1014">
        <v>2.4769999999999999</v>
      </c>
      <c r="W30" s="1014">
        <v>2.2629999999999999</v>
      </c>
      <c r="X30" s="1014">
        <v>9.2249999999999996</v>
      </c>
      <c r="Y30" s="1014">
        <v>1.256</v>
      </c>
      <c r="Z30" s="1014">
        <v>1.5699999999999998</v>
      </c>
      <c r="AA30" s="1014">
        <v>1.6</v>
      </c>
      <c r="AB30" s="1014">
        <v>1.9530000000000001</v>
      </c>
      <c r="AC30" s="1014">
        <v>6.3789999999999996</v>
      </c>
      <c r="AD30" s="1014">
        <v>1.506</v>
      </c>
      <c r="AE30" s="1014">
        <v>2.9079999999999999</v>
      </c>
      <c r="AF30" s="1014">
        <v>3.29</v>
      </c>
      <c r="AG30" s="1014">
        <v>1.7649999999999999</v>
      </c>
      <c r="AH30" s="1014">
        <v>6.7830000000000004</v>
      </c>
      <c r="AI30" s="1014">
        <v>-2E-3</v>
      </c>
      <c r="AJ30" s="1014">
        <v>2.5000000000000001E-2</v>
      </c>
      <c r="AK30" s="1014">
        <v>-6.0000000000000001E-3</v>
      </c>
      <c r="AL30" s="1014">
        <v>2.48</v>
      </c>
      <c r="AM30" s="1014">
        <v>2.4969999999999999</v>
      </c>
      <c r="AN30" s="1014">
        <v>1.518</v>
      </c>
      <c r="AO30" s="1014">
        <v>2.5659999999999998</v>
      </c>
      <c r="AP30" s="1014">
        <v>2.9350000000000001</v>
      </c>
      <c r="AQ30" s="1014">
        <v>1.58</v>
      </c>
      <c r="AR30" s="1014">
        <v>8.5990000000000002</v>
      </c>
      <c r="AS30" s="1014">
        <v>2.694</v>
      </c>
      <c r="AT30" s="1014">
        <v>4.7060000000000004</v>
      </c>
      <c r="AU30" s="1014">
        <v>1.794</v>
      </c>
      <c r="AV30" s="1014">
        <v>1.5039999999999996</v>
      </c>
      <c r="AW30" s="1014">
        <v>10.698</v>
      </c>
      <c r="AX30" s="1014">
        <v>1.4610000000000001</v>
      </c>
      <c r="AY30" s="1014">
        <v>1.1299999999999999</v>
      </c>
      <c r="AZ30" s="1014">
        <v>1.3149999999999999</v>
      </c>
      <c r="BA30" s="1014">
        <v>2.137</v>
      </c>
      <c r="BB30" s="1014">
        <v>6.0430000000000001</v>
      </c>
      <c r="BC30" s="1014">
        <v>1.88</v>
      </c>
      <c r="BD30" s="1014">
        <v>2.1619999999999999</v>
      </c>
      <c r="BE30" s="1014">
        <v>2.0270000000000001</v>
      </c>
      <c r="BF30" s="1014">
        <v>2.4829999999999997</v>
      </c>
      <c r="BG30" s="1014">
        <v>8.5519999999999996</v>
      </c>
      <c r="BH30" s="1024"/>
      <c r="BI30" s="1013"/>
      <c r="BJ30" s="1013"/>
      <c r="BK30" s="1013"/>
      <c r="BL30" s="1245"/>
    </row>
    <row r="31" spans="2:64" x14ac:dyDescent="0.15">
      <c r="B31" s="1446" t="s">
        <v>92</v>
      </c>
      <c r="C31" s="1013"/>
      <c r="D31" s="1013"/>
      <c r="E31" s="1013"/>
      <c r="F31" s="1013"/>
      <c r="G31" s="1013"/>
      <c r="H31" s="1013"/>
      <c r="I31" s="1013"/>
      <c r="J31" s="1013"/>
      <c r="K31" s="1013"/>
      <c r="L31" s="1013"/>
      <c r="M31" s="1013"/>
      <c r="N31" s="1014">
        <f t="shared" ref="N31:BG31" si="15">N22-N30</f>
        <v>22.617998158175748</v>
      </c>
      <c r="O31" s="1014">
        <f t="shared" si="15"/>
        <v>118.52698044486554</v>
      </c>
      <c r="P31" s="1014">
        <f t="shared" si="15"/>
        <v>129.88335479065151</v>
      </c>
      <c r="Q31" s="1014">
        <f t="shared" si="15"/>
        <v>127.69625818789551</v>
      </c>
      <c r="R31" s="1014">
        <f t="shared" si="15"/>
        <v>118.51188572747489</v>
      </c>
      <c r="S31" s="1014">
        <f t="shared" si="15"/>
        <v>181.9349907331632</v>
      </c>
      <c r="T31" s="1014">
        <f t="shared" si="15"/>
        <v>180.20089823751701</v>
      </c>
      <c r="U31" s="1014">
        <f t="shared" si="15"/>
        <v>189.57091105881855</v>
      </c>
      <c r="V31" s="1014">
        <f t="shared" si="15"/>
        <v>186.93109768803546</v>
      </c>
      <c r="W31" s="1014">
        <f t="shared" si="15"/>
        <v>199.01031254313406</v>
      </c>
      <c r="X31" s="1014">
        <f t="shared" si="15"/>
        <v>205.11704049093933</v>
      </c>
      <c r="Y31" s="1014">
        <f t="shared" si="15"/>
        <v>182.77051613736174</v>
      </c>
      <c r="Z31" s="1014">
        <f t="shared" si="15"/>
        <v>190.96549814025724</v>
      </c>
      <c r="AA31" s="1014">
        <f t="shared" si="15"/>
        <v>177.94806525863541</v>
      </c>
      <c r="AB31" s="1014">
        <f t="shared" si="15"/>
        <v>184.64530679979188</v>
      </c>
      <c r="AC31" s="1014">
        <f t="shared" si="15"/>
        <v>169.74300782481023</v>
      </c>
      <c r="AD31" s="1014">
        <f t="shared" si="15"/>
        <v>183.6873311171594</v>
      </c>
      <c r="AE31" s="1014">
        <f t="shared" si="15"/>
        <v>183.69287493849484</v>
      </c>
      <c r="AF31" s="1014">
        <f t="shared" si="15"/>
        <v>182.03687457503608</v>
      </c>
      <c r="AG31" s="1014">
        <f t="shared" si="15"/>
        <v>182.21753829362683</v>
      </c>
      <c r="AH31" s="1014">
        <f t="shared" si="15"/>
        <v>140.60536036823297</v>
      </c>
      <c r="AI31" s="1014">
        <f t="shared" si="15"/>
        <v>189.50835266362941</v>
      </c>
      <c r="AJ31" s="1014">
        <f t="shared" si="15"/>
        <v>195.58651278593871</v>
      </c>
      <c r="AK31" s="1014">
        <f t="shared" si="15"/>
        <v>183.43141252440185</v>
      </c>
      <c r="AL31" s="1014">
        <f t="shared" si="15"/>
        <v>138.81339777117901</v>
      </c>
      <c r="AM31" s="1014">
        <f t="shared" si="15"/>
        <v>138.43762440125448</v>
      </c>
      <c r="AN31" s="1014">
        <f t="shared" si="15"/>
        <v>172.73631130515932</v>
      </c>
      <c r="AO31" s="1014">
        <f t="shared" si="15"/>
        <v>42.089442159630039</v>
      </c>
      <c r="AP31" s="1014">
        <f t="shared" si="15"/>
        <v>139.42717686373106</v>
      </c>
      <c r="AQ31" s="1014">
        <f t="shared" si="15"/>
        <v>66.159785048271928</v>
      </c>
      <c r="AR31" s="1014">
        <f t="shared" si="15"/>
        <v>-127.81258581351092</v>
      </c>
      <c r="AS31" s="1014">
        <f t="shared" si="15"/>
        <v>197.55618721431549</v>
      </c>
      <c r="AT31" s="1014">
        <f t="shared" si="15"/>
        <v>256.25380081076332</v>
      </c>
      <c r="AU31" s="1014">
        <f t="shared" si="15"/>
        <v>241.20531330978483</v>
      </c>
      <c r="AV31" s="1014">
        <f t="shared" si="15"/>
        <v>152.57405265823766</v>
      </c>
      <c r="AW31" s="1014">
        <f t="shared" si="15"/>
        <v>122.61360773892042</v>
      </c>
      <c r="AX31" s="1014">
        <f t="shared" si="15"/>
        <v>243.78932646007206</v>
      </c>
      <c r="AY31" s="1014">
        <f t="shared" si="15"/>
        <v>256.7984187115037</v>
      </c>
      <c r="AZ31" s="1014">
        <f t="shared" si="15"/>
        <v>225.24859268415406</v>
      </c>
      <c r="BA31" s="1014">
        <f t="shared" si="15"/>
        <v>180.58165213934382</v>
      </c>
      <c r="BB31" s="1014">
        <f t="shared" si="15"/>
        <v>94.109093017707551</v>
      </c>
      <c r="BC31" s="1014">
        <f t="shared" si="15"/>
        <v>276.49715370958563</v>
      </c>
      <c r="BD31" s="1014">
        <f t="shared" si="15"/>
        <v>286.12243411085643</v>
      </c>
      <c r="BE31" s="1014">
        <f t="shared" si="15"/>
        <v>261.49174724783808</v>
      </c>
      <c r="BF31" s="1014">
        <f t="shared" si="15"/>
        <v>193.16757534448033</v>
      </c>
      <c r="BG31" s="1014">
        <f t="shared" si="15"/>
        <v>166.18600220119029</v>
      </c>
      <c r="BH31" s="1024"/>
      <c r="BI31" s="1013"/>
      <c r="BJ31" s="1013"/>
      <c r="BK31" s="1013"/>
      <c r="BL31" s="1245"/>
    </row>
    <row r="32" spans="2:64" x14ac:dyDescent="0.15">
      <c r="B32" s="1446"/>
      <c r="C32" s="1013"/>
      <c r="D32" s="1013"/>
      <c r="E32" s="1013"/>
      <c r="F32" s="1013"/>
      <c r="G32" s="1013"/>
      <c r="H32" s="1013"/>
      <c r="I32" s="1013"/>
      <c r="J32" s="1013"/>
      <c r="K32" s="1013"/>
      <c r="L32" s="1013"/>
      <c r="M32" s="1013"/>
      <c r="N32" s="1014"/>
      <c r="O32" s="1014"/>
      <c r="P32" s="1014"/>
      <c r="Q32" s="1014"/>
      <c r="R32" s="1014"/>
      <c r="S32" s="1014"/>
      <c r="T32" s="1014"/>
      <c r="U32" s="1014"/>
      <c r="V32" s="1014"/>
      <c r="W32" s="1014"/>
      <c r="X32" s="1014"/>
      <c r="Y32" s="1014"/>
      <c r="Z32" s="1014"/>
      <c r="AA32" s="1014"/>
      <c r="AB32" s="1014"/>
      <c r="AC32" s="1014"/>
      <c r="AD32" s="1014"/>
      <c r="AE32" s="1014"/>
      <c r="AF32" s="1014"/>
      <c r="AG32" s="1014"/>
      <c r="AH32" s="1014"/>
      <c r="AI32" s="1014"/>
      <c r="AJ32" s="1014"/>
      <c r="AK32" s="1014"/>
      <c r="AL32" s="1014"/>
      <c r="AM32" s="1014"/>
      <c r="AN32" s="1014"/>
      <c r="AO32" s="1014"/>
      <c r="AP32" s="1014"/>
      <c r="AQ32" s="1014"/>
      <c r="AR32" s="1014"/>
      <c r="AS32" s="1014"/>
      <c r="AT32" s="1014"/>
      <c r="AU32" s="1014"/>
      <c r="AV32" s="1014"/>
      <c r="AW32" s="1014"/>
      <c r="AX32" s="1014"/>
      <c r="AY32" s="1014"/>
      <c r="AZ32" s="1014"/>
      <c r="BA32" s="1014"/>
      <c r="BB32" s="1014"/>
      <c r="BC32" s="1014"/>
      <c r="BD32" s="1014"/>
      <c r="BE32" s="1014"/>
      <c r="BF32" s="1014"/>
      <c r="BG32" s="1014"/>
      <c r="BH32" s="1024"/>
      <c r="BI32" s="1013"/>
      <c r="BJ32" s="1013"/>
      <c r="BK32" s="1013"/>
      <c r="BL32" s="1245"/>
    </row>
    <row r="33" spans="2:64" x14ac:dyDescent="0.15">
      <c r="B33" s="1446" t="s">
        <v>234</v>
      </c>
      <c r="C33" s="1013"/>
      <c r="D33" s="1013"/>
      <c r="E33" s="1013"/>
      <c r="F33" s="1013"/>
      <c r="G33" s="1013"/>
      <c r="H33" s="1013"/>
      <c r="I33" s="1013"/>
      <c r="J33" s="1013"/>
      <c r="K33" s="1013"/>
      <c r="L33" s="1013"/>
      <c r="M33" s="1013"/>
      <c r="N33" s="1014">
        <v>37.064</v>
      </c>
      <c r="O33" s="1014">
        <v>9.5210000000000008</v>
      </c>
      <c r="P33" s="1014">
        <v>13.666</v>
      </c>
      <c r="Q33" s="1014">
        <v>9.2170000000000005</v>
      </c>
      <c r="R33" s="1014">
        <v>9.2409999999999997</v>
      </c>
      <c r="S33" s="1014">
        <v>41.645000000000003</v>
      </c>
      <c r="T33" s="1014">
        <v>9.1750000000000007</v>
      </c>
      <c r="U33" s="1014">
        <v>16.372</v>
      </c>
      <c r="V33" s="1014">
        <v>13.661000000000001</v>
      </c>
      <c r="W33" s="1014">
        <v>14.071000000000002</v>
      </c>
      <c r="X33" s="1014">
        <v>53.279000000000003</v>
      </c>
      <c r="Y33" s="1014">
        <v>4.0780000000000003</v>
      </c>
      <c r="Z33" s="1014">
        <v>11.404</v>
      </c>
      <c r="AA33" s="1014">
        <v>7.3970000000000002</v>
      </c>
      <c r="AB33" s="1014">
        <v>-8.6250000000000036</v>
      </c>
      <c r="AC33" s="1014">
        <v>14.254</v>
      </c>
      <c r="AD33" s="1014">
        <v>2.859</v>
      </c>
      <c r="AE33" s="1014">
        <v>3.6339999999999999</v>
      </c>
      <c r="AF33" s="1014">
        <v>1.619</v>
      </c>
      <c r="AG33" s="1014">
        <v>5.774</v>
      </c>
      <c r="AH33" s="1014">
        <v>13.885999999999999</v>
      </c>
      <c r="AI33" s="1014">
        <v>-7.6000000000000068E-2</v>
      </c>
      <c r="AJ33" s="1014">
        <v>7.0010000000000003</v>
      </c>
      <c r="AK33" s="1014">
        <v>0.88600000000000001</v>
      </c>
      <c r="AL33" s="1014">
        <v>7.4269999999999996</v>
      </c>
      <c r="AM33" s="1014">
        <v>15.238</v>
      </c>
      <c r="AN33" s="1014">
        <v>-44.181999999999995</v>
      </c>
      <c r="AO33" s="1014">
        <v>-29.794999999999998</v>
      </c>
      <c r="AP33" s="1014">
        <v>32.358999999999995</v>
      </c>
      <c r="AQ33" s="1014">
        <v>6.1749999999999829</v>
      </c>
      <c r="AR33" s="1014">
        <v>-35.443000000000012</v>
      </c>
      <c r="AS33" s="1014">
        <v>3.79</v>
      </c>
      <c r="AT33" s="1014">
        <v>4.0839999999999996</v>
      </c>
      <c r="AU33" s="1014">
        <v>-0.76499999999999968</v>
      </c>
      <c r="AV33" s="1014">
        <v>12.987</v>
      </c>
      <c r="AW33" s="1014">
        <v>20.096</v>
      </c>
      <c r="AX33" s="1014">
        <v>-0.17200000000000015</v>
      </c>
      <c r="AY33" s="1014">
        <v>4.7460000000000004</v>
      </c>
      <c r="AZ33" s="1014">
        <v>1.7899999999999998</v>
      </c>
      <c r="BA33" s="1014">
        <v>2.0510000000000019</v>
      </c>
      <c r="BB33" s="1014">
        <v>8.4150000000000009</v>
      </c>
      <c r="BC33" s="1014">
        <v>0.80399999999999983</v>
      </c>
      <c r="BD33" s="1014">
        <v>3.3570000000000002</v>
      </c>
      <c r="BE33" s="1014">
        <v>-8.6000000000000076E-2</v>
      </c>
      <c r="BF33" s="1014">
        <v>10.303000000000001</v>
      </c>
      <c r="BG33" s="1014">
        <v>14.378</v>
      </c>
      <c r="BH33" s="1024"/>
      <c r="BI33" s="1013"/>
      <c r="BJ33" s="1013"/>
      <c r="BK33" s="1013"/>
      <c r="BL33" s="1245"/>
    </row>
    <row r="34" spans="2:64" x14ac:dyDescent="0.15">
      <c r="B34" s="1448" t="s">
        <v>235</v>
      </c>
      <c r="C34" s="1021"/>
      <c r="D34" s="1021"/>
      <c r="E34" s="1021"/>
      <c r="F34" s="1021"/>
      <c r="G34" s="1021"/>
      <c r="H34" s="1021"/>
      <c r="I34" s="1021"/>
      <c r="J34" s="1021"/>
      <c r="K34" s="1021"/>
      <c r="L34" s="1021"/>
      <c r="M34" s="1021"/>
      <c r="N34" s="1028">
        <f t="shared" ref="N34:BG34" si="16">N31-N33</f>
        <v>-14.446001841824252</v>
      </c>
      <c r="O34" s="1028">
        <f t="shared" si="16"/>
        <v>109.00598044486554</v>
      </c>
      <c r="P34" s="1028">
        <f t="shared" si="16"/>
        <v>116.21735479065151</v>
      </c>
      <c r="Q34" s="1028">
        <f t="shared" si="16"/>
        <v>118.47925818789551</v>
      </c>
      <c r="R34" s="1028">
        <f t="shared" si="16"/>
        <v>109.27088572747489</v>
      </c>
      <c r="S34" s="1028">
        <f t="shared" si="16"/>
        <v>140.28999073316319</v>
      </c>
      <c r="T34" s="1028">
        <f t="shared" si="16"/>
        <v>171.025898237517</v>
      </c>
      <c r="U34" s="1028">
        <f t="shared" si="16"/>
        <v>173.19891105881857</v>
      </c>
      <c r="V34" s="1028">
        <f t="shared" si="16"/>
        <v>173.27009768803546</v>
      </c>
      <c r="W34" s="1028">
        <f t="shared" si="16"/>
        <v>184.93931254313406</v>
      </c>
      <c r="X34" s="1028">
        <f t="shared" si="16"/>
        <v>151.83804049093933</v>
      </c>
      <c r="Y34" s="1028">
        <f t="shared" si="16"/>
        <v>178.69251613736174</v>
      </c>
      <c r="Z34" s="1028">
        <f t="shared" si="16"/>
        <v>179.56149814025724</v>
      </c>
      <c r="AA34" s="1028">
        <f t="shared" si="16"/>
        <v>170.55106525863542</v>
      </c>
      <c r="AB34" s="1028">
        <f t="shared" si="16"/>
        <v>193.27030679979188</v>
      </c>
      <c r="AC34" s="1028">
        <f t="shared" si="16"/>
        <v>155.48900782481024</v>
      </c>
      <c r="AD34" s="1028">
        <f t="shared" si="16"/>
        <v>180.82833111715939</v>
      </c>
      <c r="AE34" s="1028">
        <f t="shared" si="16"/>
        <v>180.05887493849485</v>
      </c>
      <c r="AF34" s="1028">
        <f t="shared" si="16"/>
        <v>180.41787457503608</v>
      </c>
      <c r="AG34" s="1028">
        <f t="shared" si="16"/>
        <v>176.44353829362683</v>
      </c>
      <c r="AH34" s="1028">
        <f t="shared" si="16"/>
        <v>126.71936036823297</v>
      </c>
      <c r="AI34" s="1028">
        <f t="shared" si="16"/>
        <v>189.5843526636294</v>
      </c>
      <c r="AJ34" s="1028">
        <f t="shared" si="16"/>
        <v>188.5855127859387</v>
      </c>
      <c r="AK34" s="1028">
        <f t="shared" si="16"/>
        <v>182.54541252440185</v>
      </c>
      <c r="AL34" s="1028">
        <f t="shared" si="16"/>
        <v>131.38639777117902</v>
      </c>
      <c r="AM34" s="1028">
        <f t="shared" si="16"/>
        <v>123.19962440125448</v>
      </c>
      <c r="AN34" s="1028">
        <f t="shared" si="16"/>
        <v>216.91831130515931</v>
      </c>
      <c r="AO34" s="1028">
        <f t="shared" si="16"/>
        <v>71.884442159630041</v>
      </c>
      <c r="AP34" s="1028">
        <f t="shared" si="16"/>
        <v>107.06817686373107</v>
      </c>
      <c r="AQ34" s="1028">
        <f t="shared" si="16"/>
        <v>59.984785048271945</v>
      </c>
      <c r="AR34" s="1028">
        <f t="shared" si="16"/>
        <v>-92.369585813510909</v>
      </c>
      <c r="AS34" s="1028">
        <f t="shared" si="16"/>
        <v>193.76618721431549</v>
      </c>
      <c r="AT34" s="1028">
        <f t="shared" si="16"/>
        <v>252.16980081076332</v>
      </c>
      <c r="AU34" s="1028">
        <f t="shared" si="16"/>
        <v>241.97031330978481</v>
      </c>
      <c r="AV34" s="1028">
        <f t="shared" si="16"/>
        <v>139.58705265823767</v>
      </c>
      <c r="AW34" s="1028">
        <f t="shared" si="16"/>
        <v>102.51760773892042</v>
      </c>
      <c r="AX34" s="1028">
        <f t="shared" si="16"/>
        <v>243.96132646007206</v>
      </c>
      <c r="AY34" s="1028">
        <f t="shared" si="16"/>
        <v>252.05241871150369</v>
      </c>
      <c r="AZ34" s="1028">
        <f t="shared" si="16"/>
        <v>223.45859268415407</v>
      </c>
      <c r="BA34" s="1028">
        <f t="shared" si="16"/>
        <v>178.53065213934383</v>
      </c>
      <c r="BB34" s="1028">
        <f t="shared" si="16"/>
        <v>85.694093017707544</v>
      </c>
      <c r="BC34" s="1028">
        <f t="shared" si="16"/>
        <v>275.69315370958566</v>
      </c>
      <c r="BD34" s="1028">
        <f t="shared" si="16"/>
        <v>282.7654341108564</v>
      </c>
      <c r="BE34" s="1028">
        <f t="shared" si="16"/>
        <v>261.57774724783809</v>
      </c>
      <c r="BF34" s="1028">
        <f t="shared" si="16"/>
        <v>182.86457534448033</v>
      </c>
      <c r="BG34" s="1028">
        <f t="shared" si="16"/>
        <v>151.80800220119028</v>
      </c>
      <c r="BH34" s="1029"/>
      <c r="BI34" s="1021"/>
      <c r="BJ34" s="1021"/>
      <c r="BK34" s="1021"/>
      <c r="BL34" s="1455"/>
    </row>
  </sheetData>
  <mergeCells count="1">
    <mergeCell ref="BH1:B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29A0-77FF-4E3B-B88C-A53608151E6A}">
  <dimension ref="B2:BB26"/>
  <sheetViews>
    <sheetView showGridLines="0" zoomScale="70" zoomScaleNormal="70" workbookViewId="0">
      <selection activeCell="BA26" sqref="BA26"/>
    </sheetView>
  </sheetViews>
  <sheetFormatPr baseColWidth="10" defaultColWidth="8.83203125" defaultRowHeight="14" outlineLevelCol="1" x14ac:dyDescent="0.15"/>
  <cols>
    <col min="1" max="1" width="8.83203125" style="782"/>
    <col min="2" max="2" width="17.83203125" style="782" bestFit="1" customWidth="1"/>
    <col min="3" max="3" width="8.83203125" style="782"/>
    <col min="4" max="4" width="11.6640625" style="782" bestFit="1" customWidth="1"/>
    <col min="5" max="8" width="8.83203125" style="782" hidden="1" customWidth="1" outlineLevel="1"/>
    <col min="9" max="9" width="8.5" style="782" collapsed="1"/>
    <col min="10" max="13" width="9.1640625" style="782" hidden="1" customWidth="1" outlineLevel="1"/>
    <col min="14" max="14" width="8.5" style="782" collapsed="1"/>
    <col min="15" max="18" width="8.83203125" style="782" hidden="1" customWidth="1" outlineLevel="1"/>
    <col min="19" max="19" width="8.5" style="782" collapsed="1"/>
    <col min="20" max="23" width="8.83203125" style="782" hidden="1" customWidth="1" outlineLevel="1"/>
    <col min="24" max="24" width="8.5" style="782" collapsed="1"/>
    <col min="25" max="28" width="8.83203125" style="782" hidden="1" customWidth="1" outlineLevel="1"/>
    <col min="29" max="29" width="8.5" style="782" collapsed="1"/>
    <col min="30" max="33" width="9.1640625" style="782" hidden="1" customWidth="1" outlineLevel="1"/>
    <col min="34" max="34" width="8.5" style="782" collapsed="1"/>
    <col min="35" max="38" width="8.83203125" style="782" hidden="1" customWidth="1" outlineLevel="1"/>
    <col min="39" max="39" width="8.5" style="782" collapsed="1"/>
    <col min="40" max="43" width="8.83203125" style="782" hidden="1" customWidth="1" outlineLevel="1"/>
    <col min="44" max="44" width="8.5" style="782" collapsed="1"/>
    <col min="45" max="48" width="8.83203125" style="782" hidden="1" customWidth="1" outlineLevel="1"/>
    <col min="49" max="49" width="8.5" style="782" collapsed="1"/>
    <col min="50" max="16384" width="8.83203125" style="782"/>
  </cols>
  <sheetData>
    <row r="2" spans="2:54" x14ac:dyDescent="0.15">
      <c r="B2" s="1030"/>
      <c r="C2" s="1030"/>
      <c r="D2" s="1031" t="s">
        <v>161</v>
      </c>
      <c r="E2" s="1031" t="s">
        <v>162</v>
      </c>
      <c r="F2" s="1031" t="s">
        <v>163</v>
      </c>
      <c r="G2" s="1031" t="s">
        <v>164</v>
      </c>
      <c r="H2" s="1031" t="s">
        <v>165</v>
      </c>
      <c r="I2" s="1031" t="s">
        <v>166</v>
      </c>
      <c r="J2" s="1031" t="s">
        <v>167</v>
      </c>
      <c r="K2" s="1031" t="s">
        <v>168</v>
      </c>
      <c r="L2" s="1031" t="s">
        <v>169</v>
      </c>
      <c r="M2" s="1031" t="s">
        <v>170</v>
      </c>
      <c r="N2" s="1031" t="s">
        <v>171</v>
      </c>
      <c r="O2" s="1031" t="s">
        <v>172</v>
      </c>
      <c r="P2" s="1031" t="s">
        <v>173</v>
      </c>
      <c r="Q2" s="1031" t="s">
        <v>174</v>
      </c>
      <c r="R2" s="1031" t="s">
        <v>175</v>
      </c>
      <c r="S2" s="1031" t="s">
        <v>176</v>
      </c>
      <c r="T2" s="1031" t="s">
        <v>177</v>
      </c>
      <c r="U2" s="1031" t="s">
        <v>178</v>
      </c>
      <c r="V2" s="1031" t="s">
        <v>179</v>
      </c>
      <c r="W2" s="1031" t="s">
        <v>180</v>
      </c>
      <c r="X2" s="1031" t="s">
        <v>181</v>
      </c>
      <c r="Y2" s="1031" t="s">
        <v>182</v>
      </c>
      <c r="Z2" s="1031" t="s">
        <v>183</v>
      </c>
      <c r="AA2" s="1031" t="s">
        <v>184</v>
      </c>
      <c r="AB2" s="1031" t="s">
        <v>185</v>
      </c>
      <c r="AC2" s="1031" t="s">
        <v>186</v>
      </c>
      <c r="AD2" s="1031" t="s">
        <v>187</v>
      </c>
      <c r="AE2" s="1031" t="s">
        <v>188</v>
      </c>
      <c r="AF2" s="1031" t="s">
        <v>189</v>
      </c>
      <c r="AG2" s="1031" t="s">
        <v>190</v>
      </c>
      <c r="AH2" s="1031" t="s">
        <v>191</v>
      </c>
      <c r="AI2" s="1031" t="s">
        <v>192</v>
      </c>
      <c r="AJ2" s="1031" t="s">
        <v>193</v>
      </c>
      <c r="AK2" s="1031" t="s">
        <v>194</v>
      </c>
      <c r="AL2" s="1031" t="s">
        <v>195</v>
      </c>
      <c r="AM2" s="1031" t="s">
        <v>196</v>
      </c>
      <c r="AN2" s="1031" t="s">
        <v>197</v>
      </c>
      <c r="AO2" s="1031" t="s">
        <v>198</v>
      </c>
      <c r="AP2" s="1031" t="s">
        <v>199</v>
      </c>
      <c r="AQ2" s="1031" t="s">
        <v>200</v>
      </c>
      <c r="AR2" s="1031" t="s">
        <v>201</v>
      </c>
      <c r="AS2" s="1031" t="s">
        <v>202</v>
      </c>
      <c r="AT2" s="1031" t="s">
        <v>203</v>
      </c>
      <c r="AU2" s="1031" t="s">
        <v>204</v>
      </c>
      <c r="AV2" s="1031" t="s">
        <v>205</v>
      </c>
      <c r="AW2" s="1031" t="s">
        <v>206</v>
      </c>
      <c r="AX2" s="1031" t="s">
        <v>207</v>
      </c>
      <c r="AY2" s="1031" t="s">
        <v>208</v>
      </c>
      <c r="AZ2" s="1031" t="s">
        <v>209</v>
      </c>
      <c r="BA2" s="1031" t="s">
        <v>210</v>
      </c>
      <c r="BB2" s="1031" t="s">
        <v>211</v>
      </c>
    </row>
    <row r="3" spans="2:54" s="1007" customFormat="1" x14ac:dyDescent="0.15">
      <c r="D3" s="1011"/>
      <c r="E3" s="1011"/>
      <c r="F3" s="1011"/>
      <c r="G3" s="1011"/>
      <c r="H3" s="1011"/>
      <c r="I3" s="1011"/>
      <c r="J3" s="1011"/>
      <c r="K3" s="1011"/>
      <c r="L3" s="1011"/>
      <c r="M3" s="1011"/>
      <c r="N3" s="1011"/>
      <c r="O3" s="1011"/>
      <c r="P3" s="1011"/>
      <c r="Q3" s="1011"/>
      <c r="R3" s="1011"/>
      <c r="S3" s="1011"/>
      <c r="T3" s="1011"/>
      <c r="U3" s="1011"/>
      <c r="V3" s="1011"/>
      <c r="W3" s="1011"/>
      <c r="X3" s="1011"/>
      <c r="Y3" s="1011"/>
      <c r="Z3" s="1011"/>
      <c r="AA3" s="1011"/>
      <c r="AB3" s="1011"/>
      <c r="AC3" s="1011"/>
      <c r="AD3" s="1011"/>
      <c r="AE3" s="1011"/>
      <c r="AF3" s="1011"/>
      <c r="AG3" s="1011"/>
      <c r="AH3" s="1011"/>
      <c r="AI3" s="1011"/>
      <c r="AJ3" s="1011"/>
      <c r="AK3" s="1011"/>
      <c r="AL3" s="1011"/>
      <c r="AM3" s="1011"/>
      <c r="AN3" s="1011"/>
      <c r="AO3" s="1011"/>
      <c r="AP3" s="1011"/>
      <c r="AQ3" s="1011"/>
      <c r="AR3" s="1011"/>
      <c r="AS3" s="1011"/>
      <c r="AT3" s="1011"/>
      <c r="AU3" s="1011"/>
      <c r="AV3" s="1011"/>
      <c r="AW3" s="1011"/>
      <c r="AX3" s="1011"/>
      <c r="AY3" s="1011"/>
      <c r="AZ3" s="1011"/>
      <c r="BA3" s="1011"/>
      <c r="BB3" s="1011"/>
    </row>
    <row r="4" spans="2:54" s="1007" customFormat="1" x14ac:dyDescent="0.15">
      <c r="D4" s="1011"/>
      <c r="E4" s="1011"/>
      <c r="F4" s="1011"/>
      <c r="G4" s="1011"/>
      <c r="H4" s="1011"/>
      <c r="I4" s="1011"/>
      <c r="J4" s="1011"/>
      <c r="K4" s="1011"/>
      <c r="L4" s="1011"/>
      <c r="M4" s="1011"/>
      <c r="N4" s="1011"/>
      <c r="O4" s="1011"/>
      <c r="P4" s="1011"/>
      <c r="Q4" s="1011"/>
      <c r="R4" s="1011"/>
      <c r="S4" s="1011"/>
      <c r="T4" s="1011"/>
      <c r="U4" s="1011"/>
      <c r="V4" s="1011"/>
      <c r="W4" s="1011"/>
      <c r="X4" s="1011"/>
      <c r="Y4" s="1011"/>
      <c r="Z4" s="1011"/>
      <c r="AA4" s="1011"/>
      <c r="AB4" s="1011"/>
      <c r="AC4" s="1011"/>
      <c r="AD4" s="1011"/>
      <c r="AE4" s="1011"/>
      <c r="AF4" s="1011"/>
      <c r="AG4" s="1011"/>
      <c r="AH4" s="1011"/>
      <c r="AI4" s="1011"/>
      <c r="AJ4" s="1011"/>
      <c r="AK4" s="1011"/>
      <c r="AL4" s="1011"/>
      <c r="AM4" s="1011"/>
      <c r="AN4" s="1011"/>
      <c r="AO4" s="1011"/>
      <c r="AP4" s="1011"/>
      <c r="AQ4" s="1011"/>
      <c r="AR4" s="1011"/>
      <c r="AS4" s="1011"/>
      <c r="AT4" s="1011"/>
      <c r="AU4" s="1011"/>
      <c r="AV4" s="1011"/>
      <c r="AW4" s="1011"/>
      <c r="AX4" s="1011"/>
      <c r="AY4" s="1011"/>
      <c r="AZ4" s="1011"/>
      <c r="BA4" s="1011"/>
      <c r="BB4" s="1011"/>
    </row>
    <row r="5" spans="2:54" x14ac:dyDescent="0.15">
      <c r="B5" s="1025" t="s">
        <v>236</v>
      </c>
      <c r="C5" s="1013"/>
      <c r="D5" s="1013"/>
      <c r="E5" s="1013"/>
      <c r="F5" s="1013"/>
      <c r="G5" s="1013"/>
      <c r="H5" s="1013"/>
      <c r="I5" s="1013"/>
      <c r="J5" s="1013"/>
      <c r="K5" s="1013"/>
      <c r="L5" s="1013"/>
      <c r="M5" s="1013"/>
      <c r="N5" s="1013"/>
      <c r="O5" s="1013"/>
      <c r="P5" s="1013"/>
      <c r="Q5" s="1013"/>
      <c r="R5" s="1013"/>
      <c r="S5" s="1013"/>
      <c r="T5" s="1013"/>
      <c r="U5" s="1013"/>
      <c r="V5" s="1013"/>
      <c r="W5" s="1013"/>
      <c r="X5" s="1013"/>
      <c r="Y5" s="1013"/>
      <c r="Z5" s="1013"/>
      <c r="AA5" s="1013"/>
      <c r="AB5" s="1013"/>
      <c r="AC5" s="1013"/>
      <c r="AD5" s="1013"/>
      <c r="AE5" s="1013"/>
      <c r="AF5" s="1013"/>
      <c r="AG5" s="1013"/>
      <c r="AH5" s="1013"/>
      <c r="AI5" s="1013"/>
      <c r="AJ5" s="1013"/>
      <c r="AK5" s="1013"/>
      <c r="AL5" s="1013"/>
      <c r="AM5" s="1013"/>
      <c r="AN5" s="1013"/>
      <c r="AO5" s="1013"/>
      <c r="AP5" s="1013"/>
      <c r="AQ5" s="1013"/>
      <c r="AR5" s="1013"/>
      <c r="AS5" s="1013"/>
      <c r="AT5" s="1013"/>
      <c r="AU5" s="1013"/>
      <c r="AV5" s="1013"/>
      <c r="AW5" s="1013"/>
      <c r="AX5" s="1013"/>
      <c r="AY5" s="1013"/>
      <c r="AZ5" s="1013"/>
      <c r="BA5" s="1013"/>
      <c r="BB5" s="1013"/>
    </row>
    <row r="6" spans="2:54" x14ac:dyDescent="0.15">
      <c r="B6" s="1013" t="s">
        <v>237</v>
      </c>
      <c r="C6" s="1013"/>
      <c r="D6" s="1014">
        <v>77.497</v>
      </c>
      <c r="E6" s="1014">
        <v>42.335000000000001</v>
      </c>
      <c r="F6" s="1014">
        <v>42.223999999999997</v>
      </c>
      <c r="G6" s="1014">
        <v>45.87</v>
      </c>
      <c r="H6" s="1014">
        <v>86.817000000000007</v>
      </c>
      <c r="I6" s="1014">
        <v>86.817000000000007</v>
      </c>
      <c r="J6" s="1014">
        <v>43.667000000000002</v>
      </c>
      <c r="K6" s="1014">
        <v>41.617999999999995</v>
      </c>
      <c r="L6" s="1014">
        <v>44.715000000000003</v>
      </c>
      <c r="M6" s="1014">
        <v>80.224000000000004</v>
      </c>
      <c r="N6" s="1014">
        <v>80.224000000000004</v>
      </c>
      <c r="O6" s="1014">
        <v>44.788000000000004</v>
      </c>
      <c r="P6" s="1014">
        <v>48.814999999999998</v>
      </c>
      <c r="Q6" s="1014">
        <v>47.091999999999999</v>
      </c>
      <c r="R6" s="1014">
        <v>87.382999999999996</v>
      </c>
      <c r="S6" s="1014">
        <v>87.382999999999996</v>
      </c>
      <c r="T6" s="1014">
        <v>42.724000000000004</v>
      </c>
      <c r="U6" s="1014">
        <v>49.621000000000002</v>
      </c>
      <c r="V6" s="1014">
        <v>50.900999999999996</v>
      </c>
      <c r="W6" s="1014">
        <v>89.120999999999995</v>
      </c>
      <c r="X6" s="1014">
        <v>89.120999999999995</v>
      </c>
      <c r="Y6" s="1014">
        <v>46.188000000000002</v>
      </c>
      <c r="Z6" s="1014">
        <v>47.670999999999999</v>
      </c>
      <c r="AA6" s="1014">
        <v>47.801000000000002</v>
      </c>
      <c r="AB6" s="1014">
        <v>90.302000000000007</v>
      </c>
      <c r="AC6" s="1014">
        <v>90.302000000000007</v>
      </c>
      <c r="AD6" s="1014">
        <v>50.145000000000003</v>
      </c>
      <c r="AE6" s="1014">
        <v>48.584000000000003</v>
      </c>
      <c r="AF6" s="1014">
        <v>51.733000000000004</v>
      </c>
      <c r="AG6" s="1014">
        <v>75.787000000000006</v>
      </c>
      <c r="AH6" s="1014">
        <v>75.787000000000006</v>
      </c>
      <c r="AI6" s="1014">
        <v>57.814999999999998</v>
      </c>
      <c r="AJ6" s="1014">
        <v>57.933999999999997</v>
      </c>
      <c r="AK6" s="1014">
        <v>66.662999999999997</v>
      </c>
      <c r="AL6" s="1014">
        <v>100.504</v>
      </c>
      <c r="AM6" s="1014">
        <v>100.504</v>
      </c>
      <c r="AN6" s="1014">
        <v>66.450999999999993</v>
      </c>
      <c r="AO6" s="1014">
        <v>71.337999999999994</v>
      </c>
      <c r="AP6" s="1014">
        <v>67.661000000000001</v>
      </c>
      <c r="AQ6" s="1014">
        <v>105.511</v>
      </c>
      <c r="AR6" s="1014">
        <v>105.511</v>
      </c>
      <c r="AS6" s="1014">
        <v>68.456000000000003</v>
      </c>
      <c r="AT6" s="1014">
        <v>71.366</v>
      </c>
      <c r="AU6" s="1014">
        <v>70.236000000000004</v>
      </c>
      <c r="AV6" s="1014">
        <v>103.09399999999999</v>
      </c>
      <c r="AW6" s="1014">
        <v>103.09399999999999</v>
      </c>
      <c r="AX6" s="1014">
        <f>'Consolidated IS Build'!BH11*'Consolidated BS Build'!AX7</f>
        <v>129.19580654090291</v>
      </c>
      <c r="AY6" s="1014">
        <f>'Consolidated IS Build'!BI11*'Consolidated BS Build'!AY7</f>
        <v>138.19627245596809</v>
      </c>
      <c r="AZ6" s="1014">
        <f>'Consolidated IS Build'!BJ11*'Consolidated BS Build'!AZ7</f>
        <v>145.57160188646597</v>
      </c>
      <c r="BA6" s="1014">
        <f>'Consolidated IS Build'!BK11*'Consolidated BS Build'!BA7</f>
        <v>155.95291709587281</v>
      </c>
      <c r="BB6" s="1014">
        <f>'Consolidated IS Build'!BL11*'Consolidated BS Build'!BB7</f>
        <v>168.79288461218431</v>
      </c>
    </row>
    <row r="7" spans="2:54" x14ac:dyDescent="0.15">
      <c r="B7" s="1032" t="s">
        <v>238</v>
      </c>
      <c r="C7" s="1032"/>
      <c r="D7" s="1033">
        <f>D6/'Consolidated IS Build'!$N$11</f>
        <v>4.1981131053371729E-2</v>
      </c>
      <c r="E7" s="1033"/>
      <c r="F7" s="1033"/>
      <c r="G7" s="1033"/>
      <c r="H7" s="1033">
        <f>H6/'Consolidated IS Build'!N11</f>
        <v>4.7029896056112797E-2</v>
      </c>
      <c r="I7" s="1033">
        <f>I6/'Consolidated IS Build'!$S$11</f>
        <v>4.1329443032949019E-2</v>
      </c>
      <c r="J7" s="1033"/>
      <c r="K7" s="1033"/>
      <c r="L7" s="1033"/>
      <c r="M7" s="1033"/>
      <c r="N7" s="1033">
        <f>N6/'Consolidated IS Build'!$X$11</f>
        <v>3.525215547262206E-2</v>
      </c>
      <c r="O7" s="1033"/>
      <c r="P7" s="1033"/>
      <c r="Q7" s="1033"/>
      <c r="R7" s="1033"/>
      <c r="S7" s="1033">
        <f>S6/'Consolidated IS Build'!$AC$11</f>
        <v>3.8656457724877046E-2</v>
      </c>
      <c r="T7" s="1033"/>
      <c r="U7" s="1033"/>
      <c r="V7" s="1033"/>
      <c r="W7" s="1033"/>
      <c r="X7" s="1033">
        <f>X6/'Consolidated IS Build'!$AH$11</f>
        <v>3.8211128694855052E-2</v>
      </c>
      <c r="Y7" s="1033"/>
      <c r="Z7" s="1033"/>
      <c r="AA7" s="1033"/>
      <c r="AB7" s="1033"/>
      <c r="AC7" s="1033">
        <f>AC6/'Consolidated IS Build'!$AM$11</f>
        <v>3.6372614887388369E-2</v>
      </c>
      <c r="AD7" s="1033"/>
      <c r="AE7" s="1033"/>
      <c r="AF7" s="1033"/>
      <c r="AG7" s="1033"/>
      <c r="AH7" s="1033">
        <f>AH6/'Consolidated IS Build'!$AR$11</f>
        <v>3.8214020093534522E-2</v>
      </c>
      <c r="AI7" s="1033"/>
      <c r="AJ7" s="1033"/>
      <c r="AK7" s="1033"/>
      <c r="AL7" s="1033"/>
      <c r="AM7" s="1033">
        <f>AM6/'Consolidated IS Build'!$AW$11</f>
        <v>3.433053006961477E-2</v>
      </c>
      <c r="AN7" s="1033"/>
      <c r="AO7" s="1033"/>
      <c r="AP7" s="1033"/>
      <c r="AQ7" s="1033"/>
      <c r="AR7" s="1033">
        <f>AR6/'Consolidated IS Build'!$BB$11</f>
        <v>3.1942481675101025E-2</v>
      </c>
      <c r="AS7" s="1033"/>
      <c r="AT7" s="1033"/>
      <c r="AU7" s="1033"/>
      <c r="AV7" s="1033"/>
      <c r="AW7" s="1033">
        <f>AW6/'Consolidated IS Build'!$BG$11</f>
        <v>2.9973516522590615E-2</v>
      </c>
      <c r="AX7" s="1034">
        <f>AVERAGE(AC7,AH7,AM7,AR7,AW7)</f>
        <v>3.4166632649645853E-2</v>
      </c>
      <c r="AY7" s="1034">
        <f>AVERAGE(AX7,AW7,AR7,AM7,AH7)</f>
        <v>3.3725436202097357E-2</v>
      </c>
      <c r="AZ7" s="1034">
        <f>AVERAGE(AY7,AX7,AW7,AR7,AM7)</f>
        <v>3.2827719423809923E-2</v>
      </c>
      <c r="BA7" s="1034">
        <f>AVERAGE(AZ7,AY7,AX7,AW7,AR7)</f>
        <v>3.2527157294648952E-2</v>
      </c>
      <c r="BB7" s="1034">
        <f>AVERAGE(BA7,AZ7,AY7,AX7,AW7)</f>
        <v>3.2644092418558548E-2</v>
      </c>
    </row>
    <row r="8" spans="2:54" x14ac:dyDescent="0.15">
      <c r="B8" s="1013" t="s">
        <v>239</v>
      </c>
      <c r="C8" s="1013"/>
      <c r="D8" s="1014">
        <v>33.255000000000003</v>
      </c>
      <c r="E8" s="1014">
        <v>32.524999999999999</v>
      </c>
      <c r="F8" s="1014">
        <v>36.466000000000001</v>
      </c>
      <c r="G8" s="1014">
        <v>36.741999999999997</v>
      </c>
      <c r="H8" s="1014">
        <v>34.01</v>
      </c>
      <c r="I8" s="1014">
        <v>34.01</v>
      </c>
      <c r="J8" s="1014">
        <v>35.542999999999999</v>
      </c>
      <c r="K8" s="1014">
        <v>34.570999999999998</v>
      </c>
      <c r="L8" s="1014">
        <v>35.540999999999997</v>
      </c>
      <c r="M8" s="1014">
        <v>34.926000000000002</v>
      </c>
      <c r="N8" s="1014">
        <v>34.926000000000002</v>
      </c>
      <c r="O8" s="1014">
        <v>38.540999999999997</v>
      </c>
      <c r="P8" s="1014">
        <v>40.246000000000002</v>
      </c>
      <c r="Q8" s="1014">
        <v>44.195</v>
      </c>
      <c r="R8" s="1014">
        <v>42.56</v>
      </c>
      <c r="S8" s="1014">
        <v>42.56</v>
      </c>
      <c r="T8" s="1014">
        <v>40.959000000000003</v>
      </c>
      <c r="U8" s="1014">
        <v>34.691000000000003</v>
      </c>
      <c r="V8" s="1014">
        <v>39.768999999999998</v>
      </c>
      <c r="W8" s="1014">
        <v>38.886000000000003</v>
      </c>
      <c r="X8" s="1014">
        <v>38.886000000000003</v>
      </c>
      <c r="Y8" s="1014">
        <v>42.027999999999999</v>
      </c>
      <c r="Z8" s="1014">
        <v>46.011000000000003</v>
      </c>
      <c r="AA8" s="1014">
        <v>47.777999999999999</v>
      </c>
      <c r="AB8" s="1014">
        <v>47.225000000000001</v>
      </c>
      <c r="AC8" s="1014">
        <v>47.225000000000001</v>
      </c>
      <c r="AD8" s="1014">
        <v>47.822000000000003</v>
      </c>
      <c r="AE8" s="1014">
        <v>40.511000000000003</v>
      </c>
      <c r="AF8" s="1014">
        <v>37.726999999999997</v>
      </c>
      <c r="AG8" s="1014">
        <v>39.287999999999997</v>
      </c>
      <c r="AH8" s="1014">
        <v>39.287999999999997</v>
      </c>
      <c r="AI8" s="1014">
        <v>38.954999999999998</v>
      </c>
      <c r="AJ8" s="1014">
        <v>41.868000000000002</v>
      </c>
      <c r="AK8" s="1014">
        <v>43.27</v>
      </c>
      <c r="AL8" s="1014">
        <v>42.838999999999999</v>
      </c>
      <c r="AM8" s="1014">
        <v>42.838999999999999</v>
      </c>
      <c r="AN8" s="1014">
        <v>46.68</v>
      </c>
      <c r="AO8" s="1014">
        <v>52.286000000000001</v>
      </c>
      <c r="AP8" s="1014">
        <v>62.274999999999999</v>
      </c>
      <c r="AQ8" s="1014">
        <v>55.558999999999997</v>
      </c>
      <c r="AR8" s="1014">
        <v>55.558999999999997</v>
      </c>
      <c r="AS8" s="1014">
        <v>58.988999999999997</v>
      </c>
      <c r="AT8" s="1014">
        <v>60.868000000000002</v>
      </c>
      <c r="AU8" s="1014">
        <v>58.671999999999997</v>
      </c>
      <c r="AV8" s="1014">
        <v>57.654000000000003</v>
      </c>
      <c r="AW8" s="1014">
        <v>57.654000000000003</v>
      </c>
      <c r="AX8" s="1014">
        <f>'Consolidated IS Build'!BH11*AX9</f>
        <v>65.831114684664499</v>
      </c>
      <c r="AY8" s="1014">
        <f>'Consolidated IS Build'!BI11*AY9</f>
        <v>70.017164534025738</v>
      </c>
      <c r="AZ8" s="1014">
        <f>'Consolidated IS Build'!BJ11*AZ9</f>
        <v>73.355650318221407</v>
      </c>
      <c r="BA8" s="1014">
        <f>'Consolidated IS Build'!BK11*BA9</f>
        <v>81.143924207722122</v>
      </c>
      <c r="BB8" s="1014">
        <f>'Consolidated IS Build'!BL11*BB9</f>
        <v>87.617896487216754</v>
      </c>
    </row>
    <row r="9" spans="2:54" x14ac:dyDescent="0.15">
      <c r="B9" s="1032" t="s">
        <v>238</v>
      </c>
      <c r="C9" s="1032"/>
      <c r="D9" s="1033">
        <f>D8/'Consolidated IS Build'!$N$11</f>
        <v>1.8014665253879208E-2</v>
      </c>
      <c r="E9" s="1033"/>
      <c r="F9" s="1033"/>
      <c r="G9" s="1033"/>
      <c r="H9" s="1033">
        <f>H8/'Consolidated IS Build'!N11</f>
        <v>1.842365855613988E-2</v>
      </c>
      <c r="I9" s="1033">
        <f>I8/'Consolidated IS Build'!$S$11</f>
        <v>1.6190542837815129E-2</v>
      </c>
      <c r="J9" s="1033"/>
      <c r="K9" s="1033"/>
      <c r="L9" s="1033"/>
      <c r="M9" s="1033"/>
      <c r="N9" s="1033">
        <f>N8/'Consolidated IS Build'!$X$11</f>
        <v>1.534723751043077E-2</v>
      </c>
      <c r="O9" s="1033"/>
      <c r="P9" s="1033"/>
      <c r="Q9" s="1033"/>
      <c r="R9" s="1033"/>
      <c r="S9" s="1033">
        <f>S8/'Consolidated IS Build'!$AC$11</f>
        <v>1.8827676330301857E-2</v>
      </c>
      <c r="T9" s="1033"/>
      <c r="U9" s="1033"/>
      <c r="V9" s="1033"/>
      <c r="W9" s="1033"/>
      <c r="X9" s="1033">
        <f>X8/'Consolidated IS Build'!$AH$11</f>
        <v>1.6672590640007784E-2</v>
      </c>
      <c r="Y9" s="1033"/>
      <c r="Z9" s="1033"/>
      <c r="AA9" s="1033"/>
      <c r="AB9" s="1033"/>
      <c r="AC9" s="1033">
        <f>AC8/'Consolidated IS Build'!$AM$11</f>
        <v>1.9021690970929941E-2</v>
      </c>
      <c r="AD9" s="1033"/>
      <c r="AE9" s="1033"/>
      <c r="AF9" s="1033"/>
      <c r="AG9" s="1033"/>
      <c r="AH9" s="1033">
        <f>AH8/'Consolidated IS Build'!$AR$11</f>
        <v>1.9810157697689366E-2</v>
      </c>
      <c r="AI9" s="1033"/>
      <c r="AJ9" s="1033"/>
      <c r="AK9" s="1033"/>
      <c r="AL9" s="1033"/>
      <c r="AM9" s="1033">
        <f>AM8/'Consolidated IS Build'!$AW$11</f>
        <v>1.4633104927686729E-2</v>
      </c>
      <c r="AN9" s="1033"/>
      <c r="AO9" s="1033"/>
      <c r="AP9" s="1033"/>
      <c r="AQ9" s="1033"/>
      <c r="AR9" s="1033">
        <f>AR8/'Consolidated IS Build'!$BB$11</f>
        <v>1.6819974593994348E-2</v>
      </c>
      <c r="AS9" s="1033"/>
      <c r="AT9" s="1033"/>
      <c r="AU9" s="1033"/>
      <c r="AV9" s="1033"/>
      <c r="AW9" s="1033">
        <f>AW8/'Consolidated IS Build'!$BG$11</f>
        <v>1.6762305484251651E-2</v>
      </c>
      <c r="AX9" s="1034">
        <f>AVERAGE(AC9,AH9,AM9,AR9,AW9)</f>
        <v>1.7409446734910405E-2</v>
      </c>
      <c r="AY9" s="1034">
        <f>AVERAGE(AX9,AW9,AR9,AM9,AH9)</f>
        <v>1.7086997887706502E-2</v>
      </c>
      <c r="AZ9" s="1034">
        <f>AVERAGE(AY9,AX9,AW9,AR9,AM9)</f>
        <v>1.6542365925709925E-2</v>
      </c>
      <c r="BA9" s="1034">
        <f>AVERAGE(AZ9,AY9,AX9,AW9,AR9)</f>
        <v>1.6924218125314566E-2</v>
      </c>
      <c r="BB9" s="1034">
        <f>AVERAGE(BA9,AZ9,AY9,AX9,AW9)</f>
        <v>1.694506683157861E-2</v>
      </c>
    </row>
    <row r="10" spans="2:54" x14ac:dyDescent="0.15">
      <c r="B10" s="1013" t="s">
        <v>240</v>
      </c>
      <c r="C10" s="1013"/>
      <c r="D10" s="1014">
        <v>57.325000000000003</v>
      </c>
      <c r="E10" s="1014">
        <v>54.152000000000001</v>
      </c>
      <c r="F10" s="1014">
        <v>52.170999999999999</v>
      </c>
      <c r="G10" s="1014">
        <v>44.207999999999998</v>
      </c>
      <c r="H10" s="1014">
        <v>47.77</v>
      </c>
      <c r="I10" s="1014">
        <v>47.77</v>
      </c>
      <c r="J10" s="1014">
        <v>38.363</v>
      </c>
      <c r="K10" s="1014">
        <v>38.573</v>
      </c>
      <c r="L10" s="1014">
        <v>38.905999999999999</v>
      </c>
      <c r="M10" s="1014">
        <v>41.564</v>
      </c>
      <c r="N10" s="1014">
        <v>41.564</v>
      </c>
      <c r="O10" s="1014">
        <v>34.936999999999998</v>
      </c>
      <c r="P10" s="1014">
        <v>46.219000000000001</v>
      </c>
      <c r="Q10" s="1014">
        <v>46.572000000000003</v>
      </c>
      <c r="R10" s="1014">
        <v>50.984000000000002</v>
      </c>
      <c r="S10" s="1014">
        <v>50.984000000000002</v>
      </c>
      <c r="T10" s="1014">
        <v>38.805</v>
      </c>
      <c r="U10" s="1014">
        <v>38.311999999999998</v>
      </c>
      <c r="V10" s="1014">
        <v>39.130000000000003</v>
      </c>
      <c r="W10" s="1014">
        <v>49.070999999999998</v>
      </c>
      <c r="X10" s="1014">
        <v>49.070999999999998</v>
      </c>
      <c r="Y10" s="1014">
        <v>36.393999999999998</v>
      </c>
      <c r="Z10" s="1014">
        <v>35.96</v>
      </c>
      <c r="AA10" s="1014">
        <v>36.094999999999999</v>
      </c>
      <c r="AB10" s="1014">
        <v>61.945999999999998</v>
      </c>
      <c r="AC10" s="1014">
        <v>61.945999999999998</v>
      </c>
      <c r="AD10" s="1014">
        <v>55.893999999999998</v>
      </c>
      <c r="AE10" s="1014">
        <v>57.531999999999996</v>
      </c>
      <c r="AF10" s="1014">
        <v>61.548999999999999</v>
      </c>
      <c r="AG10" s="1014">
        <v>58.432000000000002</v>
      </c>
      <c r="AH10" s="1014">
        <v>58.432000000000002</v>
      </c>
      <c r="AI10" s="1014">
        <v>56.046999999999997</v>
      </c>
      <c r="AJ10" s="1014">
        <v>55.377000000000002</v>
      </c>
      <c r="AK10" s="1014">
        <v>52.89</v>
      </c>
      <c r="AL10" s="1014">
        <v>54.085999999999999</v>
      </c>
      <c r="AM10" s="1014">
        <v>54.085999999999999</v>
      </c>
      <c r="AN10" s="1014">
        <v>61.741</v>
      </c>
      <c r="AO10" s="1014">
        <v>58.927</v>
      </c>
      <c r="AP10" s="1014">
        <v>59.03</v>
      </c>
      <c r="AQ10" s="1014">
        <v>66.638000000000005</v>
      </c>
      <c r="AR10" s="1014">
        <v>66.638000000000005</v>
      </c>
      <c r="AS10" s="1014">
        <v>57.000999999999998</v>
      </c>
      <c r="AT10" s="1014">
        <v>72.682000000000002</v>
      </c>
      <c r="AU10" s="1014">
        <v>53.392000000000003</v>
      </c>
      <c r="AV10" s="1014">
        <v>63.152000000000001</v>
      </c>
      <c r="AW10" s="1014">
        <v>63.152000000000001</v>
      </c>
      <c r="AX10" s="1014">
        <f>'Consolidated IS Build'!BH11*AX11</f>
        <v>84.266499032145077</v>
      </c>
      <c r="AY10" s="1014">
        <f>'Consolidated IS Build'!BI11*AY11</f>
        <v>89.130955320604883</v>
      </c>
      <c r="AZ10" s="1014">
        <f>'Consolidated IS Build'!BJ11*AZ11</f>
        <v>89.615950638180934</v>
      </c>
      <c r="BA10" s="1014">
        <f>'Consolidated IS Build'!BK11*BA11</f>
        <v>98.557021988970575</v>
      </c>
      <c r="BB10" s="1014">
        <f>'Consolidated IS Build'!BL11*BB11</f>
        <v>106.68441895422653</v>
      </c>
    </row>
    <row r="11" spans="2:54" x14ac:dyDescent="0.15">
      <c r="B11" s="1032" t="s">
        <v>238</v>
      </c>
      <c r="C11" s="1032"/>
      <c r="D11" s="1033">
        <f>D10/'Consolidated IS Build'!$N$11</f>
        <v>3.1053696757739453E-2</v>
      </c>
      <c r="E11" s="1033"/>
      <c r="F11" s="1033"/>
      <c r="G11" s="1033"/>
      <c r="H11" s="1033">
        <f>H10/'Consolidated IS Build'!N11</f>
        <v>2.5877629203963606E-2</v>
      </c>
      <c r="I11" s="1033">
        <f>I10/'Consolidated IS Build'!$S$11</f>
        <v>2.2741024150615373E-2</v>
      </c>
      <c r="J11" s="1033"/>
      <c r="K11" s="1033"/>
      <c r="L11" s="1033"/>
      <c r="M11" s="1033"/>
      <c r="N11" s="1033">
        <f>N10/'Consolidated IS Build'!$X$11</f>
        <v>1.8264117845832459E-2</v>
      </c>
      <c r="O11" s="1033"/>
      <c r="P11" s="1033"/>
      <c r="Q11" s="1033"/>
      <c r="R11" s="1033"/>
      <c r="S11" s="1033">
        <f>S10/'Consolidated IS Build'!$AC$11</f>
        <v>2.2554282190416115E-2</v>
      </c>
      <c r="T11" s="1033"/>
      <c r="U11" s="1033"/>
      <c r="V11" s="1033"/>
      <c r="W11" s="1033"/>
      <c r="X11" s="1033">
        <f>X10/'Consolidated IS Build'!$AH$11</f>
        <v>2.1039466525120142E-2</v>
      </c>
      <c r="Y11" s="1033"/>
      <c r="Z11" s="1033"/>
      <c r="AA11" s="1033"/>
      <c r="AB11" s="1033"/>
      <c r="AC11" s="1033">
        <f>AC10/'Consolidated IS Build'!$AM$11</f>
        <v>2.4951141744525701E-2</v>
      </c>
      <c r="AD11" s="1033"/>
      <c r="AE11" s="1033"/>
      <c r="AF11" s="1033"/>
      <c r="AG11" s="1033"/>
      <c r="AH11" s="1033">
        <f>AH10/'Consolidated IS Build'!$AR$11</f>
        <v>2.9463121935231755E-2</v>
      </c>
      <c r="AI11" s="1033"/>
      <c r="AJ11" s="1033"/>
      <c r="AK11" s="1033"/>
      <c r="AL11" s="1033"/>
      <c r="AM11" s="1033">
        <f>AM10/'Consolidated IS Build'!$AW$11</f>
        <v>1.84748970125088E-2</v>
      </c>
      <c r="AN11" s="1033"/>
      <c r="AO11" s="1033"/>
      <c r="AP11" s="1033"/>
      <c r="AQ11" s="1033"/>
      <c r="AR11" s="1033">
        <f>AR10/'Consolidated IS Build'!$BB$11</f>
        <v>2.0174039615446563E-2</v>
      </c>
      <c r="AS11" s="1033"/>
      <c r="AT11" s="1033"/>
      <c r="AU11" s="1033"/>
      <c r="AV11" s="1033"/>
      <c r="AW11" s="1033">
        <f>AW10/'Consolidated IS Build'!$BG$11</f>
        <v>1.8360792242367575E-2</v>
      </c>
      <c r="AX11" s="1034">
        <f>AVERAGE(AC11,AH11,AM11,AR11,AW11)</f>
        <v>2.2284798510016076E-2</v>
      </c>
      <c r="AY11" s="1034">
        <f>AVERAGE(AX11,AW11,AR11,AM11,AH11)</f>
        <v>2.1751529863114155E-2</v>
      </c>
      <c r="AZ11" s="1034">
        <f>AVERAGE(AY11,AX11,AW11,AR11,AM11)</f>
        <v>2.0209211448690634E-2</v>
      </c>
      <c r="BA11" s="1034">
        <f>AVERAGE(AZ11,AY11,AX11,AW11,AR11)</f>
        <v>2.0556074335926999E-2</v>
      </c>
      <c r="BB11" s="1034">
        <f>AVERAGE(BA11,AZ11,AY11,AX11,AW11)</f>
        <v>2.0632481280023089E-2</v>
      </c>
    </row>
    <row r="12" spans="2:54" x14ac:dyDescent="0.15">
      <c r="B12" s="1013" t="s">
        <v>241</v>
      </c>
      <c r="C12" s="1013"/>
      <c r="D12" s="1014">
        <v>38.232999999999997</v>
      </c>
      <c r="E12" s="1014">
        <v>46.579000000000001</v>
      </c>
      <c r="F12" s="1014">
        <v>46.622</v>
      </c>
      <c r="G12" s="1014">
        <v>44.08</v>
      </c>
      <c r="H12" s="1014">
        <v>41.975999999999999</v>
      </c>
      <c r="I12" s="1014">
        <v>41.975999999999999</v>
      </c>
      <c r="J12" s="1014">
        <v>40.637</v>
      </c>
      <c r="K12" s="1014">
        <v>37.823999999999998</v>
      </c>
      <c r="L12" s="1014">
        <v>36.337000000000003</v>
      </c>
      <c r="M12" s="1014">
        <v>52.438000000000002</v>
      </c>
      <c r="N12" s="1014">
        <v>52.438000000000002</v>
      </c>
      <c r="O12" s="1014">
        <v>52.585000000000001</v>
      </c>
      <c r="P12" s="1014">
        <v>50.918999999999997</v>
      </c>
      <c r="Q12" s="1014">
        <v>48.521000000000001</v>
      </c>
      <c r="R12" s="1014">
        <v>57.665999999999997</v>
      </c>
      <c r="S12" s="1014">
        <v>57.665999999999997</v>
      </c>
      <c r="T12" s="1014">
        <v>54.036000000000001</v>
      </c>
      <c r="U12" s="1014">
        <v>52.945999999999998</v>
      </c>
      <c r="V12" s="1014">
        <v>48.326999999999998</v>
      </c>
      <c r="W12" s="1014">
        <v>40.645000000000003</v>
      </c>
      <c r="X12" s="1014">
        <v>40.645000000000003</v>
      </c>
      <c r="Y12" s="1014">
        <v>46.771000000000001</v>
      </c>
      <c r="Z12" s="1014">
        <v>39.524000000000001</v>
      </c>
      <c r="AA12" s="1014">
        <v>38.895000000000003</v>
      </c>
      <c r="AB12" s="1014">
        <v>43.945999999999998</v>
      </c>
      <c r="AC12" s="1014">
        <v>43.945999999999998</v>
      </c>
      <c r="AD12" s="1014">
        <v>42.489000000000004</v>
      </c>
      <c r="AE12" s="1014">
        <v>36.341999999999999</v>
      </c>
      <c r="AF12" s="1014">
        <v>32.188000000000002</v>
      </c>
      <c r="AG12" s="1014">
        <v>35.31</v>
      </c>
      <c r="AH12" s="1014">
        <v>35.31</v>
      </c>
      <c r="AI12" s="1014">
        <v>30.727</v>
      </c>
      <c r="AJ12" s="1014">
        <v>32.039000000000001</v>
      </c>
      <c r="AK12" s="1014">
        <v>29.713999999999999</v>
      </c>
      <c r="AL12" s="1014">
        <v>36.445999999999998</v>
      </c>
      <c r="AM12" s="1014">
        <v>36.445999999999998</v>
      </c>
      <c r="AN12" s="1014">
        <v>33.741</v>
      </c>
      <c r="AO12" s="1014">
        <v>33.372999999999998</v>
      </c>
      <c r="AP12" s="1014">
        <v>30.952999999999999</v>
      </c>
      <c r="AQ12" s="1014">
        <v>48.399000000000001</v>
      </c>
      <c r="AR12" s="1014">
        <v>48.399000000000001</v>
      </c>
      <c r="AS12" s="1014">
        <v>48.387</v>
      </c>
      <c r="AT12" s="1014">
        <v>52.640999999999998</v>
      </c>
      <c r="AU12" s="1014">
        <v>55.558</v>
      </c>
      <c r="AV12" s="1014">
        <v>63.09</v>
      </c>
      <c r="AW12" s="1014">
        <v>63.09</v>
      </c>
      <c r="AX12" s="1014">
        <f>'Consolidated IS Build'!BH11*AX13</f>
        <v>61.219783762218071</v>
      </c>
      <c r="AY12" s="1014">
        <f>'Consolidated IS Build'!BI11*AY13</f>
        <v>65.103032840096901</v>
      </c>
      <c r="AZ12" s="1014">
        <f>'Consolidated IS Build'!BJ11*AZ13</f>
        <v>68.753043687546793</v>
      </c>
      <c r="BA12" s="1014">
        <f>'Consolidated IS Build'!BK11*BA13</f>
        <v>77.266256334686631</v>
      </c>
      <c r="BB12" s="1014">
        <f>'Consolidated IS Build'!BL11*BB13</f>
        <v>84.841254409243064</v>
      </c>
    </row>
    <row r="13" spans="2:54" x14ac:dyDescent="0.15">
      <c r="B13" s="1032" t="s">
        <v>238</v>
      </c>
      <c r="C13" s="1032"/>
      <c r="D13" s="1033">
        <f>D12/'Consolidated IS Build'!$N$11</f>
        <v>2.0711312483884036E-2</v>
      </c>
      <c r="E13" s="1033"/>
      <c r="F13" s="1033"/>
      <c r="G13" s="1033"/>
      <c r="H13" s="1033">
        <f>H12/'Consolidated IS Build'!N11</f>
        <v>2.2738944179727365E-2</v>
      </c>
      <c r="I13" s="1033">
        <f>I12/'Consolidated IS Build'!$S$11</f>
        <v>1.9982776423408639E-2</v>
      </c>
      <c r="J13" s="1033"/>
      <c r="K13" s="1033"/>
      <c r="L13" s="1033"/>
      <c r="M13" s="1033"/>
      <c r="N13" s="1033">
        <f>N12/'Consolidated IS Build'!$X$11</f>
        <v>2.3042387922234689E-2</v>
      </c>
      <c r="O13" s="1033"/>
      <c r="P13" s="1033"/>
      <c r="Q13" s="1033"/>
      <c r="R13" s="1033"/>
      <c r="S13" s="1033">
        <f>S12/'Consolidated IS Build'!$AC$11</f>
        <v>2.5510262764642549E-2</v>
      </c>
      <c r="T13" s="1033"/>
      <c r="U13" s="1033"/>
      <c r="V13" s="1033"/>
      <c r="W13" s="1033"/>
      <c r="X13" s="1033">
        <f>X12/'Consolidated IS Build'!$AH$11</f>
        <v>1.7426771757524981E-2</v>
      </c>
      <c r="Y13" s="1033"/>
      <c r="Z13" s="1033"/>
      <c r="AA13" s="1033"/>
      <c r="AB13" s="1033"/>
      <c r="AC13" s="1033">
        <f>AC12/'Consolidated IS Build'!$AM$11</f>
        <v>1.7700947197638692E-2</v>
      </c>
      <c r="AD13" s="1033"/>
      <c r="AE13" s="1033"/>
      <c r="AF13" s="1033"/>
      <c r="AG13" s="1033"/>
      <c r="AH13" s="1033">
        <f>AH12/'Consolidated IS Build'!$AR$11</f>
        <v>1.7804333850168285E-2</v>
      </c>
      <c r="AI13" s="1033"/>
      <c r="AJ13" s="1033"/>
      <c r="AK13" s="1033"/>
      <c r="AL13" s="1033"/>
      <c r="AM13" s="1033">
        <f>AM12/'Consolidated IS Build'!$AW$11</f>
        <v>1.2449360213694775E-2</v>
      </c>
      <c r="AN13" s="1033"/>
      <c r="AO13" s="1033"/>
      <c r="AP13" s="1033"/>
      <c r="AQ13" s="1033"/>
      <c r="AR13" s="1033">
        <f>AR12/'Consolidated IS Build'!$BB$11</f>
        <v>1.4652350661004204E-2</v>
      </c>
      <c r="AS13" s="1033"/>
      <c r="AT13" s="1033"/>
      <c r="AU13" s="1033"/>
      <c r="AV13" s="1033"/>
      <c r="AW13" s="1033">
        <f>AW12/'Consolidated IS Build'!$BG$11</f>
        <v>1.8342766382236038E-2</v>
      </c>
      <c r="AX13" s="1034">
        <f>AVERAGE(AC13,AH13,AM13,AR13,AW13)</f>
        <v>1.6189951660948398E-2</v>
      </c>
      <c r="AY13" s="1034">
        <f>AVERAGE(AX13,AW13,AR13,AM13,AH13)</f>
        <v>1.588775255361034E-2</v>
      </c>
      <c r="AZ13" s="1034">
        <f>AVERAGE(AY13,AX13,AW13,AR13,AM13)</f>
        <v>1.5504436294298752E-2</v>
      </c>
      <c r="BA13" s="1034">
        <f>AVERAGE(AZ13,AY13,AX13,AW13,AR13)</f>
        <v>1.611545151041955E-2</v>
      </c>
      <c r="BB13" s="1034">
        <f>AVERAGE(BA13,AZ13,AY13,AX13,AW13)</f>
        <v>1.6408071680302616E-2</v>
      </c>
    </row>
    <row r="14" spans="2:54" x14ac:dyDescent="0.15">
      <c r="B14" s="1013" t="s">
        <v>242</v>
      </c>
      <c r="C14" s="1013"/>
      <c r="D14" s="1014">
        <v>264.68599999999998</v>
      </c>
      <c r="E14" s="1014">
        <v>243.62299999999999</v>
      </c>
      <c r="F14" s="1014">
        <v>246.07</v>
      </c>
      <c r="G14" s="1014">
        <v>246.428</v>
      </c>
      <c r="H14" s="1014">
        <v>302.45600000000002</v>
      </c>
      <c r="I14" s="1014">
        <v>302.45600000000002</v>
      </c>
      <c r="J14" s="1014">
        <v>267.85700000000003</v>
      </c>
      <c r="K14" s="1014">
        <v>265.851</v>
      </c>
      <c r="L14" s="1014">
        <v>265.197</v>
      </c>
      <c r="M14" s="1014">
        <v>179.03399999999999</v>
      </c>
      <c r="N14" s="1014">
        <v>179.03399999999999</v>
      </c>
      <c r="O14" s="1014">
        <v>155.08099999999999</v>
      </c>
      <c r="P14" s="1014">
        <v>160.04599999999999</v>
      </c>
      <c r="Q14" s="1014">
        <v>159.82300000000001</v>
      </c>
      <c r="R14" s="1014">
        <v>183.01599999999999</v>
      </c>
      <c r="S14" s="1014">
        <v>183.01599999999999</v>
      </c>
      <c r="T14" s="1014">
        <v>167.36699999999999</v>
      </c>
      <c r="U14" s="1014">
        <v>182.65899999999999</v>
      </c>
      <c r="V14" s="1014">
        <v>179.06200000000001</v>
      </c>
      <c r="W14" s="1014">
        <v>194.381</v>
      </c>
      <c r="X14" s="1014">
        <v>194.381</v>
      </c>
      <c r="Y14" s="1014">
        <v>171.315</v>
      </c>
      <c r="Z14" s="1014">
        <v>172.97300000000001</v>
      </c>
      <c r="AA14" s="1014">
        <v>172.09800000000001</v>
      </c>
      <c r="AB14" s="1014">
        <v>236.58199999999999</v>
      </c>
      <c r="AC14" s="1014">
        <v>236.58199999999999</v>
      </c>
      <c r="AD14" s="1014">
        <v>166.828</v>
      </c>
      <c r="AE14" s="1014">
        <v>192.54900000000001</v>
      </c>
      <c r="AF14" s="1014">
        <v>194.57499999999999</v>
      </c>
      <c r="AG14" s="1014">
        <v>210.46100000000001</v>
      </c>
      <c r="AH14" s="1014">
        <v>210.46100000000001</v>
      </c>
      <c r="AI14" s="1014">
        <v>203.21100000000001</v>
      </c>
      <c r="AJ14" s="1014">
        <v>241.488</v>
      </c>
      <c r="AK14" s="1014">
        <v>210.155</v>
      </c>
      <c r="AL14" s="1014">
        <v>239.18700000000001</v>
      </c>
      <c r="AM14" s="1014">
        <v>239.18700000000001</v>
      </c>
      <c r="AN14" s="1014">
        <v>202.21700000000001</v>
      </c>
      <c r="AO14" s="1014">
        <v>237.453</v>
      </c>
      <c r="AP14" s="1014">
        <v>225</v>
      </c>
      <c r="AQ14" s="1014">
        <v>231.13300000000001</v>
      </c>
      <c r="AR14" s="1014">
        <v>231.13300000000001</v>
      </c>
      <c r="AS14" s="1014">
        <v>237.29300000000001</v>
      </c>
      <c r="AT14" s="1014">
        <v>220.917</v>
      </c>
      <c r="AU14" s="1014">
        <v>240.44</v>
      </c>
      <c r="AV14" s="1014">
        <v>239.69900000000001</v>
      </c>
      <c r="AW14" s="1014">
        <v>239.69900000000001</v>
      </c>
      <c r="AX14" s="1014">
        <f>'Consolidated IS Build'!BH11*AX15</f>
        <v>319.73452443039093</v>
      </c>
      <c r="AY14" s="1014">
        <f>'Consolidated IS Build'!BI11*AY15</f>
        <v>337.68392500961716</v>
      </c>
      <c r="AZ14" s="1014">
        <f>'Consolidated IS Build'!BJ11*AZ15</f>
        <v>344.40295645765673</v>
      </c>
      <c r="BA14" s="1014">
        <f>'Consolidated IS Build'!BK11*BA15</f>
        <v>368.50258459262886</v>
      </c>
      <c r="BB14" s="1014">
        <f>'Consolidated IS Build'!BL11*BB15</f>
        <v>404.53396566823216</v>
      </c>
    </row>
    <row r="15" spans="2:54" ht="15" thickBot="1" x14ac:dyDescent="0.2">
      <c r="B15" s="1035" t="s">
        <v>238</v>
      </c>
      <c r="C15" s="1035"/>
      <c r="D15" s="1036">
        <f>D14/'Consolidated IS Build'!$N$11</f>
        <v>0.14338384265188006</v>
      </c>
      <c r="E15" s="1036"/>
      <c r="F15" s="1036"/>
      <c r="G15" s="1036"/>
      <c r="H15" s="1036">
        <f>H14/'Consolidated IS Build'!N11</f>
        <v>0.16384434202457643</v>
      </c>
      <c r="I15" s="1036">
        <f>I14/'Consolidated IS Build'!$S$11</f>
        <v>0.14398491104246436</v>
      </c>
      <c r="J15" s="1036"/>
      <c r="K15" s="1036"/>
      <c r="L15" s="1036"/>
      <c r="M15" s="1036"/>
      <c r="N15" s="1036">
        <f>N14/'Consolidated IS Build'!$X$11</f>
        <v>7.8671400115743639E-2</v>
      </c>
      <c r="O15" s="1036"/>
      <c r="P15" s="1036"/>
      <c r="Q15" s="1036"/>
      <c r="R15" s="1036"/>
      <c r="S15" s="1036">
        <f>S14/'Consolidated IS Build'!$AC$11</f>
        <v>8.0962547257202172E-2</v>
      </c>
      <c r="T15" s="1036"/>
      <c r="U15" s="1036"/>
      <c r="V15" s="1036"/>
      <c r="W15" s="1036"/>
      <c r="X15" s="1036">
        <f>X14/'Consolidated IS Build'!$AH$11</f>
        <v>8.334194417516208E-2</v>
      </c>
      <c r="Y15" s="1036"/>
      <c r="Z15" s="1036"/>
      <c r="AA15" s="1036"/>
      <c r="AB15" s="1036"/>
      <c r="AC15" s="1036">
        <f>AC14/'Consolidated IS Build'!$AM$11</f>
        <v>9.5292529238423448E-2</v>
      </c>
      <c r="AD15" s="1036"/>
      <c r="AE15" s="1036"/>
      <c r="AF15" s="1036"/>
      <c r="AG15" s="1036"/>
      <c r="AH15" s="1036">
        <f>AH14/'Consolidated IS Build'!$AR$11</f>
        <v>0.10612058641858589</v>
      </c>
      <c r="AI15" s="1036"/>
      <c r="AJ15" s="1036"/>
      <c r="AK15" s="1036"/>
      <c r="AL15" s="1036"/>
      <c r="AM15" s="1036">
        <f>AM14/'Consolidated IS Build'!$AW$11</f>
        <v>8.1702384937524353E-2</v>
      </c>
      <c r="AN15" s="1036"/>
      <c r="AO15" s="1036"/>
      <c r="AP15" s="1036"/>
      <c r="AQ15" s="1036"/>
      <c r="AR15" s="1036">
        <f>AR14/'Consolidated IS Build'!$BB$11</f>
        <v>6.9973383031258593E-2</v>
      </c>
      <c r="AS15" s="1036"/>
      <c r="AT15" s="1036"/>
      <c r="AU15" s="1036"/>
      <c r="AV15" s="1036"/>
      <c r="AW15" s="1036">
        <f>AW14/'Consolidated IS Build'!$BG$11</f>
        <v>6.9690010446276693E-2</v>
      </c>
      <c r="AX15" s="1037">
        <f>AVERAGE(AC15,AH15,AM15,AR15,AW15)</f>
        <v>8.4555778814413812E-2</v>
      </c>
      <c r="AY15" s="1037">
        <f>AVERAGE(AX15,AW15,AR15,AM15,AH15)</f>
        <v>8.2408428729611877E-2</v>
      </c>
      <c r="AZ15" s="1037">
        <f>AVERAGE(AY15,AX15,AW15,AR15,AM15)</f>
        <v>7.7665997191817077E-2</v>
      </c>
      <c r="BA15" s="1037">
        <f>AVERAGE(AZ15,AY15,AX15,AW15,AR15)</f>
        <v>7.6858719642675613E-2</v>
      </c>
      <c r="BB15" s="1037">
        <f>AVERAGE(BA15,AZ15,AY15,AX15,AW15)</f>
        <v>7.8235786964959017E-2</v>
      </c>
    </row>
    <row r="17" spans="2:54" x14ac:dyDescent="0.15">
      <c r="B17" s="1025" t="s">
        <v>243</v>
      </c>
      <c r="C17" s="1013"/>
      <c r="D17" s="1013"/>
      <c r="E17" s="1013"/>
      <c r="F17" s="1013"/>
      <c r="G17" s="1013"/>
      <c r="H17" s="1013"/>
      <c r="I17" s="1013"/>
      <c r="J17" s="1013"/>
      <c r="K17" s="1013"/>
      <c r="L17" s="1013"/>
      <c r="M17" s="1013"/>
      <c r="N17" s="1013"/>
      <c r="O17" s="1013"/>
      <c r="P17" s="1013"/>
      <c r="Q17" s="1013"/>
      <c r="R17" s="1013"/>
      <c r="S17" s="1013"/>
      <c r="T17" s="1013"/>
      <c r="U17" s="1013"/>
      <c r="V17" s="1013"/>
      <c r="W17" s="1013"/>
      <c r="X17" s="1013"/>
      <c r="Y17" s="1013"/>
      <c r="Z17" s="1013"/>
      <c r="AA17" s="1013"/>
      <c r="AB17" s="1013"/>
      <c r="AC17" s="1013"/>
      <c r="AD17" s="1013"/>
      <c r="AE17" s="1013"/>
      <c r="AF17" s="1013"/>
      <c r="AG17" s="1013"/>
      <c r="AH17" s="1013"/>
      <c r="AI17" s="1013"/>
      <c r="AJ17" s="1013"/>
      <c r="AK17" s="1013"/>
      <c r="AL17" s="1013"/>
      <c r="AM17" s="1013"/>
      <c r="AN17" s="1013"/>
      <c r="AO17" s="1013"/>
      <c r="AP17" s="1013"/>
      <c r="AQ17" s="1013"/>
      <c r="AR17" s="1013"/>
      <c r="AS17" s="1013"/>
      <c r="AT17" s="1013"/>
      <c r="AU17" s="1013"/>
      <c r="AV17" s="1013"/>
      <c r="AW17" s="1013"/>
      <c r="AX17" s="1013"/>
      <c r="AY17" s="1013"/>
      <c r="AZ17" s="1013"/>
      <c r="BA17" s="1013"/>
      <c r="BB17" s="1013"/>
    </row>
    <row r="18" spans="2:54" x14ac:dyDescent="0.15">
      <c r="B18" s="1013" t="s">
        <v>244</v>
      </c>
      <c r="C18" s="1013"/>
      <c r="D18" s="1014"/>
      <c r="E18" s="1014"/>
      <c r="F18" s="1014"/>
      <c r="G18" s="1014"/>
      <c r="H18" s="1014"/>
      <c r="I18" s="1014">
        <f t="shared" ref="I18:AW18" si="0">-(I6-D6)-(I8-D8)+(I10-D10)+(I12-D12)+(I14-D14)</f>
        <v>21.883000000000038</v>
      </c>
      <c r="J18" s="1014">
        <f t="shared" si="0"/>
        <v>-1.8469999999999658</v>
      </c>
      <c r="K18" s="1014">
        <f t="shared" si="0"/>
        <v>-0.11399999999999011</v>
      </c>
      <c r="L18" s="1014">
        <f t="shared" si="0"/>
        <v>8.0800000000000054</v>
      </c>
      <c r="M18" s="1014">
        <f t="shared" si="0"/>
        <v>-113.48900000000003</v>
      </c>
      <c r="N18" s="1014">
        <f t="shared" si="0"/>
        <v>-113.48900000000003</v>
      </c>
      <c r="O18" s="1014">
        <f t="shared" si="0"/>
        <v>-108.37300000000005</v>
      </c>
      <c r="P18" s="1014">
        <f t="shared" si="0"/>
        <v>-97.936000000000007</v>
      </c>
      <c r="Q18" s="1014">
        <f t="shared" si="0"/>
        <v>-96.554999999999993</v>
      </c>
      <c r="R18" s="1014">
        <f t="shared" si="0"/>
        <v>3.8370000000000033</v>
      </c>
      <c r="S18" s="1014">
        <f t="shared" si="0"/>
        <v>3.8370000000000033</v>
      </c>
      <c r="T18" s="1014">
        <f t="shared" si="0"/>
        <v>17.250999999999998</v>
      </c>
      <c r="U18" s="1014">
        <f t="shared" si="0"/>
        <v>21.481999999999992</v>
      </c>
      <c r="V18" s="1014">
        <f t="shared" si="0"/>
        <v>12.220000000000006</v>
      </c>
      <c r="W18" s="1014">
        <f t="shared" si="0"/>
        <v>-5.6329999999999885</v>
      </c>
      <c r="X18" s="1014">
        <f t="shared" si="0"/>
        <v>-5.6329999999999885</v>
      </c>
      <c r="Y18" s="1014">
        <f t="shared" si="0"/>
        <v>-10.260999999999989</v>
      </c>
      <c r="Z18" s="1014">
        <f t="shared" si="0"/>
        <v>-34.82999999999997</v>
      </c>
      <c r="AA18" s="1014">
        <f t="shared" si="0"/>
        <v>-24.340000000000003</v>
      </c>
      <c r="AB18" s="1014">
        <f t="shared" si="0"/>
        <v>48.856999999999978</v>
      </c>
      <c r="AC18" s="1014">
        <f t="shared" si="0"/>
        <v>48.856999999999978</v>
      </c>
      <c r="AD18" s="1014">
        <f t="shared" si="0"/>
        <v>0.98000000000000398</v>
      </c>
      <c r="AE18" s="1014">
        <f t="shared" si="0"/>
        <v>42.552999999999983</v>
      </c>
      <c r="AF18" s="1014">
        <f t="shared" si="0"/>
        <v>47.342999999999975</v>
      </c>
      <c r="AG18" s="1014">
        <f t="shared" si="0"/>
        <v>-15.818999999999967</v>
      </c>
      <c r="AH18" s="1014">
        <f t="shared" si="0"/>
        <v>-15.818999999999967</v>
      </c>
      <c r="AI18" s="1014">
        <f t="shared" si="0"/>
        <v>25.971000000000014</v>
      </c>
      <c r="AJ18" s="1014">
        <f t="shared" si="0"/>
        <v>31.774000000000008</v>
      </c>
      <c r="AK18" s="1014">
        <f t="shared" si="0"/>
        <v>-16.025999999999989</v>
      </c>
      <c r="AL18" s="1014">
        <f t="shared" si="0"/>
        <v>-2.7520000000000095</v>
      </c>
      <c r="AM18" s="1014">
        <f t="shared" si="0"/>
        <v>-2.7520000000000095</v>
      </c>
      <c r="AN18" s="1014">
        <f t="shared" si="0"/>
        <v>-8.6469999999999949</v>
      </c>
      <c r="AO18" s="1014">
        <f t="shared" si="0"/>
        <v>-22.972999999999999</v>
      </c>
      <c r="AP18" s="1014">
        <f t="shared" si="0"/>
        <v>2.2210000000000001</v>
      </c>
      <c r="AQ18" s="1014">
        <f t="shared" si="0"/>
        <v>-1.275999999999982</v>
      </c>
      <c r="AR18" s="1014">
        <f t="shared" si="0"/>
        <v>-1.275999999999982</v>
      </c>
      <c r="AS18" s="1014">
        <f t="shared" si="0"/>
        <v>30.667999999999985</v>
      </c>
      <c r="AT18" s="1014">
        <f t="shared" si="0"/>
        <v>7.8769999999999953</v>
      </c>
      <c r="AU18" s="1014">
        <f t="shared" si="0"/>
        <v>35.435000000000002</v>
      </c>
      <c r="AV18" s="1014">
        <f t="shared" si="0"/>
        <v>20.092999999999996</v>
      </c>
      <c r="AW18" s="1014">
        <f t="shared" si="0"/>
        <v>20.092999999999996</v>
      </c>
      <c r="AX18" s="1014">
        <f>-(AX6-AW6)-(AX8-AW8)+(AX10-AW10)+(AX12-AW12)+(AX14-AW14)</f>
        <v>65.000885999186664</v>
      </c>
      <c r="AY18" s="1014">
        <f>-(AY6-AX6)-(AY8-AX8)+(AY10-AX10)+(AY12-AX12)+(AY14-AX14)</f>
        <v>13.51059018113844</v>
      </c>
      <c r="AZ18" s="1014">
        <f>-(AZ6-AY6)-(AZ8-AY8)+(AZ10-AY10)+(AZ12-AY12)+(AZ14-AY14)</f>
        <v>0.14022239837196082</v>
      </c>
      <c r="BA18" s="1014">
        <f>-(BA6-AZ6)-(BA8-AZ8)+(BA10-AZ10)+(BA12-AZ12)+(BA14-AZ14)</f>
        <v>23.384323033994065</v>
      </c>
      <c r="BB18" s="1014">
        <f>-(BB6-BA6)-(BB8-BA8)+(BB10-BA10)+(BB12-BA12)+(BB14-BA14)</f>
        <v>32.419836319609544</v>
      </c>
    </row>
    <row r="19" spans="2:54" x14ac:dyDescent="0.15">
      <c r="B19" s="1013"/>
      <c r="C19" s="1013"/>
      <c r="D19" s="1013"/>
      <c r="E19" s="1013"/>
      <c r="F19" s="1013"/>
      <c r="G19" s="1013"/>
      <c r="H19" s="1013"/>
      <c r="I19" s="1013"/>
      <c r="J19" s="1013"/>
      <c r="K19" s="1013"/>
      <c r="L19" s="1013"/>
      <c r="M19" s="1013"/>
      <c r="N19" s="1013"/>
      <c r="O19" s="1013"/>
      <c r="P19" s="1013"/>
      <c r="Q19" s="1013"/>
      <c r="R19" s="1013"/>
      <c r="S19" s="1013"/>
      <c r="T19" s="1013"/>
      <c r="U19" s="1013"/>
      <c r="V19" s="1013"/>
      <c r="W19" s="1013"/>
      <c r="X19" s="1013"/>
      <c r="Y19" s="1013"/>
      <c r="Z19" s="1013"/>
      <c r="AA19" s="1013"/>
      <c r="AB19" s="1013"/>
      <c r="AC19" s="1013"/>
      <c r="AD19" s="1013"/>
      <c r="AE19" s="1013"/>
      <c r="AF19" s="1013"/>
      <c r="AG19" s="1013"/>
      <c r="AH19" s="1013"/>
      <c r="AI19" s="1013"/>
      <c r="AJ19" s="1013"/>
      <c r="AK19" s="1013"/>
      <c r="AL19" s="1013"/>
      <c r="AM19" s="1013"/>
      <c r="AN19" s="1013"/>
      <c r="AO19" s="1013"/>
      <c r="AP19" s="1013"/>
      <c r="AQ19" s="1013"/>
      <c r="AR19" s="1013"/>
      <c r="AS19" s="1013"/>
      <c r="AT19" s="1013"/>
      <c r="AU19" s="1013"/>
      <c r="AV19" s="1013"/>
      <c r="AW19" s="1013"/>
      <c r="AX19" s="1013"/>
      <c r="AY19" s="1013"/>
      <c r="AZ19" s="1013"/>
      <c r="BA19" s="1013"/>
      <c r="BB19" s="1013"/>
    </row>
    <row r="20" spans="2:54" x14ac:dyDescent="0.15">
      <c r="B20" s="1025" t="s">
        <v>245</v>
      </c>
      <c r="C20" s="1013"/>
      <c r="D20" s="1014">
        <v>113.982</v>
      </c>
      <c r="E20" s="1014">
        <v>-24.151</v>
      </c>
      <c r="F20" s="1014">
        <v>-59.472999999999999</v>
      </c>
      <c r="G20" s="1014">
        <v>-108.593</v>
      </c>
      <c r="H20" s="1014">
        <f>I20</f>
        <v>153.941</v>
      </c>
      <c r="I20" s="1014">
        <v>153.941</v>
      </c>
      <c r="J20" s="1014">
        <v>-22.440999999999999</v>
      </c>
      <c r="K20" s="1014">
        <v>-40.207999999999998</v>
      </c>
      <c r="L20" s="1014">
        <v>-70.606999999999999</v>
      </c>
      <c r="M20" s="1014">
        <f>N20</f>
        <v>115.821</v>
      </c>
      <c r="N20" s="1014">
        <v>115.821</v>
      </c>
      <c r="O20" s="1014">
        <v>-19.222999999999999</v>
      </c>
      <c r="P20" s="1014">
        <v>-43.698999999999998</v>
      </c>
      <c r="Q20" s="1014">
        <v>-73.417000000000002</v>
      </c>
      <c r="R20" s="1014">
        <f>S20</f>
        <v>120.779</v>
      </c>
      <c r="S20" s="1014">
        <v>120.779</v>
      </c>
      <c r="T20" s="1014">
        <v>-30.687999999999999</v>
      </c>
      <c r="U20" s="1014">
        <v>-51.87</v>
      </c>
      <c r="V20" s="1014">
        <v>-78.715999999999994</v>
      </c>
      <c r="W20" s="1014">
        <f>X20</f>
        <v>102.90900000000001</v>
      </c>
      <c r="X20" s="1014">
        <v>102.90900000000001</v>
      </c>
      <c r="Y20" s="1014">
        <v>-13.351000000000001</v>
      </c>
      <c r="Z20" s="1014">
        <v>-29.370999999999999</v>
      </c>
      <c r="AA20" s="1014">
        <v>-46.701999999999998</v>
      </c>
      <c r="AB20" s="1014">
        <f>AC20</f>
        <v>73.765000000000001</v>
      </c>
      <c r="AC20" s="1014">
        <v>73.765000000000001</v>
      </c>
      <c r="AD20" s="1014">
        <v>-15.775</v>
      </c>
      <c r="AE20" s="1014">
        <v>-29.423999999999999</v>
      </c>
      <c r="AF20" s="1014">
        <v>-38.270000000000003</v>
      </c>
      <c r="AG20" s="1014">
        <f>AH20</f>
        <v>50.329000000000001</v>
      </c>
      <c r="AH20" s="1014">
        <v>50.329000000000001</v>
      </c>
      <c r="AI20" s="1014">
        <v>-7.2270000000000003</v>
      </c>
      <c r="AJ20" s="1014">
        <v>-30.902000000000001</v>
      </c>
      <c r="AK20" s="1014">
        <v>-49.158000000000001</v>
      </c>
      <c r="AL20" s="1014">
        <f>AM20</f>
        <v>66.942999999999998</v>
      </c>
      <c r="AM20" s="1014">
        <v>66.942999999999998</v>
      </c>
      <c r="AN20" s="1014">
        <v>-29.093</v>
      </c>
      <c r="AO20" s="1014">
        <v>-46.381999999999998</v>
      </c>
      <c r="AP20" s="1014">
        <v>-78.052999999999997</v>
      </c>
      <c r="AQ20" s="1014">
        <f>AR20</f>
        <v>112.464</v>
      </c>
      <c r="AR20" s="1014">
        <v>112.464</v>
      </c>
      <c r="AS20" s="1014">
        <v>-37.962000000000003</v>
      </c>
      <c r="AT20" s="1014">
        <v>-62.66</v>
      </c>
      <c r="AU20" s="1014">
        <v>-99.923000000000002</v>
      </c>
      <c r="AV20" s="1014">
        <f>AW20</f>
        <v>151.565</v>
      </c>
      <c r="AW20" s="1014">
        <v>151.565</v>
      </c>
      <c r="AX20" s="1014">
        <f>'Valuation and Cash Flow'!L24</f>
        <v>180.09</v>
      </c>
      <c r="AY20" s="1014">
        <f>'Valuation and Cash Flow'!M24</f>
        <v>165.31800000000001</v>
      </c>
      <c r="AZ20" s="1014">
        <f>'Valuation and Cash Flow'!N24</f>
        <v>175.76160000000002</v>
      </c>
      <c r="BA20" s="1014">
        <f>'Valuation and Cash Flow'!O24</f>
        <v>195.19391999999999</v>
      </c>
      <c r="BB20" s="1014">
        <f>'Valuation and Cash Flow'!P24</f>
        <v>193.92170400000001</v>
      </c>
    </row>
    <row r="21" spans="2:54" x14ac:dyDescent="0.15">
      <c r="B21" s="1032" t="s">
        <v>238</v>
      </c>
      <c r="C21" s="1013"/>
      <c r="D21" s="1034"/>
      <c r="E21" s="1034"/>
      <c r="F21" s="1034"/>
      <c r="G21" s="1034"/>
      <c r="H21" s="1034">
        <f>H20/'Consolidated IS Build'!N11</f>
        <v>8.3391838335511018E-2</v>
      </c>
      <c r="I21" s="1034">
        <f>I20/'Consolidated IS Build'!O11</f>
        <v>0.32558262499021823</v>
      </c>
      <c r="J21" s="1034">
        <f>J20/'Consolidated IS Build'!P11</f>
        <v>-4.6434298602274014E-2</v>
      </c>
      <c r="K21" s="1034">
        <f>K20/'Consolidated IS Build'!Q11</f>
        <v>-8.3579309714057651E-2</v>
      </c>
      <c r="L21" s="1034">
        <f>L20/'Consolidated IS Build'!R11</f>
        <v>-0.14815351042846953</v>
      </c>
      <c r="M21" s="1034">
        <f>M20/'Consolidated IS Build'!S11</f>
        <v>5.513686745129627E-2</v>
      </c>
      <c r="N21" s="1034">
        <f>N20/'Consolidated IS Build'!T11</f>
        <v>0.20828463861554897</v>
      </c>
      <c r="O21" s="1034">
        <f>O20/'Consolidated IS Build'!U11</f>
        <v>-3.4236805395866897E-2</v>
      </c>
      <c r="P21" s="1034">
        <f>P20/'Consolidated IS Build'!V11</f>
        <v>-7.764079239449255E-2</v>
      </c>
      <c r="Q21" s="1034">
        <f>Q20/'Consolidated IS Build'!W11</f>
        <v>-0.1210368655885067</v>
      </c>
      <c r="R21" s="1034">
        <f>R20/'Consolidated IS Build'!X11</f>
        <v>5.3072896961355948E-2</v>
      </c>
      <c r="S21" s="1034">
        <f>S20/'Consolidated IS Build'!Y11</f>
        <v>0.21307969352517536</v>
      </c>
      <c r="T21" s="1034">
        <f>T20/'Consolidated IS Build'!Z11</f>
        <v>-5.3527923180042944E-2</v>
      </c>
      <c r="U21" s="1034">
        <f>U20/'Consolidated IS Build'!AA11</f>
        <v>-9.2761483728015348E-2</v>
      </c>
      <c r="V21" s="1034">
        <f>V20/'Consolidated IS Build'!AB11</f>
        <v>-0.13665717998099194</v>
      </c>
      <c r="W21" s="1034">
        <f>W20/'Consolidated IS Build'!AC11</f>
        <v>4.5524843596687826E-2</v>
      </c>
      <c r="X21" s="1034">
        <f>X20/'Consolidated IS Build'!AD11</f>
        <v>0.17288182683175898</v>
      </c>
      <c r="Y21" s="1034">
        <f>Y20/'Consolidated IS Build'!AE11</f>
        <v>-2.2334923747065846E-2</v>
      </c>
      <c r="Z21" s="1034">
        <f>Z20/'Consolidated IS Build'!AF11</f>
        <v>-5.0175078128761645E-2</v>
      </c>
      <c r="AA21" s="1034">
        <f>AA20/'Consolidated IS Build'!AG11</f>
        <v>-7.9206652229317068E-2</v>
      </c>
      <c r="AB21" s="1034">
        <f>AB20/'Consolidated IS Build'!AH11</f>
        <v>3.1627157551822611E-2</v>
      </c>
      <c r="AC21" s="1034">
        <f>AC20/'Consolidated IS Build'!AI11</f>
        <v>0.12215817915262155</v>
      </c>
      <c r="AD21" s="1034">
        <f>AD20/'Consolidated IS Build'!AJ11</f>
        <v>-2.5978393787559947E-2</v>
      </c>
      <c r="AE21" s="1034">
        <f>AE20/'Consolidated IS Build'!AK11</f>
        <v>-4.9751817505480758E-2</v>
      </c>
      <c r="AF21" s="1034">
        <f>AF20/'Consolidated IS Build'!AL11</f>
        <v>-6.154783340014227E-2</v>
      </c>
      <c r="AG21" s="1034">
        <f>AG20/'Consolidated IS Build'!AM11</f>
        <v>2.0271946741682013E-2</v>
      </c>
      <c r="AH21" s="1034">
        <f>AH20/'Consolidated IS Build'!AN11</f>
        <v>8.1169848024273544E-2</v>
      </c>
      <c r="AI21" s="1034">
        <f>AI20/'Consolidated IS Build'!AO11</f>
        <v>-2.4225653912921939E-2</v>
      </c>
      <c r="AJ21" s="1034">
        <f>AJ20/'Consolidated IS Build'!AP11</f>
        <v>-5.9204719780888114E-2</v>
      </c>
      <c r="AK21" s="1034">
        <f>AK20/'Consolidated IS Build'!AQ11</f>
        <v>-0.10320638569116555</v>
      </c>
      <c r="AL21" s="1034">
        <f>AL20/'Consolidated IS Build'!AR11</f>
        <v>3.3754616848819467E-2</v>
      </c>
      <c r="AM21" s="1034">
        <f>AM20/'Consolidated IS Build'!AS11</f>
        <v>0.10581308711529669</v>
      </c>
      <c r="AN21" s="1034">
        <f>AN20/'Consolidated IS Build'!AT11</f>
        <v>-3.7514127984262541E-2</v>
      </c>
      <c r="AO21" s="1034">
        <f>AO20/'Consolidated IS Build'!AU11</f>
        <v>-6.093913145465224E-2</v>
      </c>
      <c r="AP21" s="1034">
        <f>AP20/'Consolidated IS Build'!AV11</f>
        <v>-0.11278595406354824</v>
      </c>
      <c r="AQ21" s="1034">
        <f>AQ20/'Consolidated IS Build'!AW11</f>
        <v>3.8415871345908174E-2</v>
      </c>
      <c r="AR21" s="1034">
        <f>AR20/'Consolidated IS Build'!AX11</f>
        <v>0.140490122524808</v>
      </c>
      <c r="AS21" s="1034">
        <f>AS20/'Consolidated IS Build'!AY11</f>
        <v>-4.5204102656889809E-2</v>
      </c>
      <c r="AT21" s="1034">
        <f>AT20/'Consolidated IS Build'!AZ11</f>
        <v>-7.9243913396748494E-2</v>
      </c>
      <c r="AU21" s="1034">
        <f>AU20/'Consolidated IS Build'!BA11</f>
        <v>-0.12429099779234644</v>
      </c>
      <c r="AV21" s="1034">
        <f>AV20/'Consolidated IS Build'!BB11</f>
        <v>4.5884905223973677E-2</v>
      </c>
      <c r="AW21" s="1034">
        <f>AW20/'Consolidated IS Build'!BC11</f>
        <v>0.17351265114285327</v>
      </c>
      <c r="AX21" s="1034">
        <f>AX20/'Consolidated IS Build'!BD11</f>
        <v>0.20612389286550287</v>
      </c>
      <c r="AY21" s="1034">
        <f>AY20/'Consolidated IS Build'!BE11</f>
        <v>0.19743682085457903</v>
      </c>
      <c r="AZ21" s="1034">
        <f>AZ20/'Consolidated IS Build'!BF11</f>
        <v>0.22397351997831602</v>
      </c>
      <c r="BA21" s="1034">
        <f>BA20/'Consolidated IS Build'!BG11</f>
        <v>5.6750617749134098E-2</v>
      </c>
      <c r="BB21" s="1034">
        <f>BB20/'Consolidated IS Build'!BH11</f>
        <v>5.1283797831810446E-2</v>
      </c>
    </row>
    <row r="22" spans="2:54" x14ac:dyDescent="0.15">
      <c r="B22" s="1013"/>
      <c r="C22" s="1013"/>
      <c r="D22" s="1013"/>
      <c r="E22" s="1013"/>
      <c r="F22" s="1013"/>
      <c r="G22" s="1013"/>
      <c r="H22" s="1013"/>
      <c r="I22" s="1013"/>
      <c r="J22" s="1013"/>
      <c r="K22" s="1013"/>
      <c r="L22" s="1013"/>
      <c r="M22" s="1013"/>
      <c r="N22" s="1013"/>
      <c r="O22" s="1013"/>
      <c r="P22" s="1013"/>
      <c r="Q22" s="1013"/>
      <c r="R22" s="1013"/>
      <c r="S22" s="1013"/>
      <c r="T22" s="1013"/>
      <c r="U22" s="1013"/>
      <c r="V22" s="1013"/>
      <c r="W22" s="1013"/>
      <c r="X22" s="1013"/>
      <c r="Y22" s="1013"/>
      <c r="Z22" s="1013"/>
      <c r="AA22" s="1013"/>
      <c r="AB22" s="1013"/>
      <c r="AC22" s="1013"/>
      <c r="AD22" s="1013"/>
      <c r="AE22" s="1013"/>
      <c r="AF22" s="1013"/>
      <c r="AG22" s="1013"/>
      <c r="AH22" s="1013"/>
      <c r="AI22" s="1013"/>
      <c r="AJ22" s="1013"/>
      <c r="AK22" s="1013"/>
      <c r="AL22" s="1013"/>
      <c r="AM22" s="1013"/>
      <c r="AN22" s="1013"/>
      <c r="AO22" s="1013"/>
      <c r="AP22" s="1013"/>
      <c r="AQ22" s="1013"/>
      <c r="AR22" s="1013"/>
      <c r="AS22" s="1013"/>
      <c r="AT22" s="1013"/>
      <c r="AU22" s="1013"/>
      <c r="AV22" s="1013"/>
      <c r="AW22" s="1013"/>
      <c r="AX22" s="1013"/>
      <c r="AY22" s="1013"/>
      <c r="AZ22" s="1013"/>
      <c r="BA22" s="1013"/>
      <c r="BB22" s="1013"/>
    </row>
    <row r="23" spans="2:54" x14ac:dyDescent="0.15">
      <c r="B23" s="1025" t="s">
        <v>227</v>
      </c>
      <c r="C23" s="1013"/>
      <c r="D23" s="1038">
        <v>82.834999999999994</v>
      </c>
      <c r="E23" s="1038">
        <v>21.177</v>
      </c>
      <c r="F23" s="1038">
        <v>42.335000000000001</v>
      </c>
      <c r="G23" s="1038">
        <v>63.652000000000001</v>
      </c>
      <c r="H23" s="1038">
        <f>I23</f>
        <v>85.563000000000002</v>
      </c>
      <c r="I23" s="1038">
        <v>85.563000000000002</v>
      </c>
      <c r="J23" s="1038">
        <v>21.463999999999999</v>
      </c>
      <c r="K23" s="1038">
        <v>42.924999999999997</v>
      </c>
      <c r="L23" s="1038">
        <v>64.558999999999997</v>
      </c>
      <c r="M23" s="1038">
        <f>N23</f>
        <v>88.01</v>
      </c>
      <c r="N23" s="1038">
        <v>88.01</v>
      </c>
      <c r="O23" s="1038">
        <v>23.196000000000002</v>
      </c>
      <c r="P23" s="1038">
        <v>46.493000000000002</v>
      </c>
      <c r="Q23" s="1038">
        <v>69.492000000000004</v>
      </c>
      <c r="R23" s="1038">
        <f>S23</f>
        <v>92.728999999999999</v>
      </c>
      <c r="S23" s="1038">
        <v>92.728999999999999</v>
      </c>
      <c r="T23" s="1038">
        <v>24.001999999999999</v>
      </c>
      <c r="U23" s="1038">
        <v>47.728999999999999</v>
      </c>
      <c r="V23" s="1038">
        <v>71.819000000000003</v>
      </c>
      <c r="W23" s="1038">
        <f>X23</f>
        <v>95.975999999999999</v>
      </c>
      <c r="X23" s="1038">
        <v>95.975999999999999</v>
      </c>
      <c r="Y23" s="1038">
        <v>21.361999999999998</v>
      </c>
      <c r="Z23" s="1038">
        <v>43.021000000000001</v>
      </c>
      <c r="AA23" s="1038">
        <v>64.363</v>
      </c>
      <c r="AB23" s="1038">
        <f>AC23</f>
        <v>88.132999999999996</v>
      </c>
      <c r="AC23" s="1038">
        <v>88.132999999999996</v>
      </c>
      <c r="AD23" s="1038">
        <v>23.562000000000001</v>
      </c>
      <c r="AE23" s="1038">
        <v>46.152000000000001</v>
      </c>
      <c r="AF23" s="1038">
        <v>68.802999999999997</v>
      </c>
      <c r="AG23" s="1038">
        <f>AH23</f>
        <v>91.415000000000006</v>
      </c>
      <c r="AH23" s="1038">
        <v>91.415000000000006</v>
      </c>
      <c r="AI23" s="1038">
        <v>22.006</v>
      </c>
      <c r="AJ23" s="1038">
        <v>44.228999999999999</v>
      </c>
      <c r="AK23" s="1038">
        <v>66.805000000000007</v>
      </c>
      <c r="AL23" s="1038">
        <f>AM23</f>
        <v>89.653999999999996</v>
      </c>
      <c r="AM23" s="1038">
        <v>89.653999999999996</v>
      </c>
      <c r="AN23" s="1038">
        <v>21.504999999999999</v>
      </c>
      <c r="AO23" s="1038">
        <v>44.113</v>
      </c>
      <c r="AP23" s="1038">
        <v>66.763999999999996</v>
      </c>
      <c r="AQ23" s="1038">
        <f>AR23</f>
        <v>92.38</v>
      </c>
      <c r="AR23" s="1038">
        <v>92.38</v>
      </c>
      <c r="AS23" s="1038">
        <v>22.954999999999998</v>
      </c>
      <c r="AT23" s="1038">
        <v>46.286999999999999</v>
      </c>
      <c r="AU23" s="1038">
        <v>69.123999999999995</v>
      </c>
      <c r="AV23" s="1038">
        <f>AW23</f>
        <v>93.135999999999996</v>
      </c>
      <c r="AW23" s="1038">
        <v>93.135999999999996</v>
      </c>
      <c r="AX23" s="1017">
        <f>AX25*AW26</f>
        <v>93.135999999999996</v>
      </c>
      <c r="AY23" s="1017">
        <f t="shared" ref="AY23:BB23" si="1">AY25*AX26</f>
        <v>100.01489204429819</v>
      </c>
      <c r="AZ23" s="1017">
        <f t="shared" si="1"/>
        <v>110.25205473439912</v>
      </c>
      <c r="BA23" s="1017">
        <f t="shared" si="1"/>
        <v>117.94024090538311</v>
      </c>
      <c r="BB23" s="1017">
        <f t="shared" si="1"/>
        <v>125.65273110294143</v>
      </c>
    </row>
    <row r="24" spans="2:54" x14ac:dyDescent="0.15">
      <c r="B24" s="1032" t="s">
        <v>246</v>
      </c>
      <c r="C24" s="1013"/>
      <c r="D24" s="1034"/>
      <c r="E24" s="1034"/>
      <c r="F24" s="1034"/>
      <c r="G24" s="1034"/>
      <c r="H24" s="1034">
        <f t="shared" ref="H24:AW24" si="2">H23/H20</f>
        <v>0.55581683891880651</v>
      </c>
      <c r="I24" s="1034">
        <f t="shared" si="2"/>
        <v>0.55581683891880651</v>
      </c>
      <c r="J24" s="1034">
        <f t="shared" si="2"/>
        <v>-0.95646361570339999</v>
      </c>
      <c r="K24" s="1034">
        <f t="shared" si="2"/>
        <v>-1.0675736171906087</v>
      </c>
      <c r="L24" s="1034">
        <f t="shared" si="2"/>
        <v>-0.91434277054682955</v>
      </c>
      <c r="M24" s="1034">
        <f t="shared" si="2"/>
        <v>0.75987946918089122</v>
      </c>
      <c r="N24" s="1034">
        <f t="shared" si="2"/>
        <v>0.75987946918089122</v>
      </c>
      <c r="O24" s="1034">
        <f t="shared" si="2"/>
        <v>-1.2066794985174012</v>
      </c>
      <c r="P24" s="1034">
        <f t="shared" si="2"/>
        <v>-1.0639373898716218</v>
      </c>
      <c r="Q24" s="1034">
        <f t="shared" si="2"/>
        <v>-0.94653826770366545</v>
      </c>
      <c r="R24" s="1034">
        <f t="shared" si="2"/>
        <v>0.76775763998708391</v>
      </c>
      <c r="S24" s="1034">
        <f t="shared" si="2"/>
        <v>0.76775763998708391</v>
      </c>
      <c r="T24" s="1034">
        <f t="shared" si="2"/>
        <v>-0.78212982273201248</v>
      </c>
      <c r="U24" s="1034">
        <f t="shared" si="2"/>
        <v>-0.92016579911316754</v>
      </c>
      <c r="V24" s="1034">
        <f t="shared" si="2"/>
        <v>-0.9123812185578537</v>
      </c>
      <c r="W24" s="1034">
        <f t="shared" si="2"/>
        <v>0.93262979914293209</v>
      </c>
      <c r="X24" s="1034">
        <f t="shared" si="2"/>
        <v>0.93262979914293209</v>
      </c>
      <c r="Y24" s="1034">
        <f t="shared" si="2"/>
        <v>-1.6000299603025989</v>
      </c>
      <c r="Z24" s="1034">
        <f t="shared" si="2"/>
        <v>-1.4647441353716251</v>
      </c>
      <c r="AA24" s="1034">
        <f t="shared" si="2"/>
        <v>-1.3781636760738298</v>
      </c>
      <c r="AB24" s="1034">
        <f t="shared" si="2"/>
        <v>1.1947807225649021</v>
      </c>
      <c r="AC24" s="1034">
        <f t="shared" si="2"/>
        <v>1.1947807225649021</v>
      </c>
      <c r="AD24" s="1034">
        <f t="shared" si="2"/>
        <v>-1.4936291600633915</v>
      </c>
      <c r="AE24" s="1034">
        <f t="shared" si="2"/>
        <v>-1.568515497553018</v>
      </c>
      <c r="AF24" s="1034">
        <f t="shared" si="2"/>
        <v>-1.7978311993728766</v>
      </c>
      <c r="AG24" s="1034">
        <f t="shared" si="2"/>
        <v>1.8163484273480499</v>
      </c>
      <c r="AH24" s="1034">
        <f t="shared" si="2"/>
        <v>1.8163484273480499</v>
      </c>
      <c r="AI24" s="1034">
        <f t="shared" si="2"/>
        <v>-3.0449702504497025</v>
      </c>
      <c r="AJ24" s="1034">
        <f t="shared" si="2"/>
        <v>-1.4312665846870751</v>
      </c>
      <c r="AK24" s="1034">
        <f t="shared" si="2"/>
        <v>-1.3589853126652836</v>
      </c>
      <c r="AL24" s="1034">
        <f t="shared" si="2"/>
        <v>1.3392587723884499</v>
      </c>
      <c r="AM24" s="1034">
        <f t="shared" si="2"/>
        <v>1.3392587723884499</v>
      </c>
      <c r="AN24" s="1034">
        <f t="shared" si="2"/>
        <v>-0.73918124634791871</v>
      </c>
      <c r="AO24" s="1034">
        <f t="shared" si="2"/>
        <v>-0.95108016040705445</v>
      </c>
      <c r="AP24" s="1034">
        <f t="shared" si="2"/>
        <v>-0.85536750669416928</v>
      </c>
      <c r="AQ24" s="1034">
        <f t="shared" si="2"/>
        <v>0.8214184094465784</v>
      </c>
      <c r="AR24" s="1034">
        <f t="shared" si="2"/>
        <v>0.8214184094465784</v>
      </c>
      <c r="AS24" s="1034">
        <f t="shared" si="2"/>
        <v>-0.60468363099942035</v>
      </c>
      <c r="AT24" s="1034">
        <f t="shared" si="2"/>
        <v>-0.73870092563038625</v>
      </c>
      <c r="AU24" s="1034">
        <f t="shared" si="2"/>
        <v>-0.69177266495201295</v>
      </c>
      <c r="AV24" s="1034">
        <f t="shared" si="2"/>
        <v>0.61449543100319992</v>
      </c>
      <c r="AW24" s="1034">
        <f t="shared" si="2"/>
        <v>0.61449543100319992</v>
      </c>
      <c r="AX24" s="1017"/>
      <c r="AY24" s="1017"/>
      <c r="AZ24" s="1017"/>
      <c r="BA24" s="1017"/>
      <c r="BB24" s="1017"/>
    </row>
    <row r="25" spans="2:54" x14ac:dyDescent="0.15">
      <c r="B25" s="1032" t="s">
        <v>247</v>
      </c>
      <c r="C25" s="1013"/>
      <c r="D25" s="1013"/>
      <c r="E25" s="1013"/>
      <c r="F25" s="1013"/>
      <c r="G25" s="1013"/>
      <c r="H25" s="1039">
        <f>H23/G26</f>
        <v>9.7860100189857496E-2</v>
      </c>
      <c r="I25" s="1039">
        <f t="shared" ref="I25:AW25" si="3">I23/H26</f>
        <v>9.5902110646711294E-2</v>
      </c>
      <c r="J25" s="1039">
        <f t="shared" si="3"/>
        <v>2.4057628915781483E-2</v>
      </c>
      <c r="K25" s="1039">
        <f t="shared" si="3"/>
        <v>4.8450049889160275E-2</v>
      </c>
      <c r="L25" s="1039">
        <f t="shared" si="3"/>
        <v>7.2632134367029713E-2</v>
      </c>
      <c r="M25" s="1039">
        <f t="shared" si="3"/>
        <v>9.7509254017090985E-2</v>
      </c>
      <c r="N25" s="1039">
        <f t="shared" si="3"/>
        <v>9.6700046366798742E-2</v>
      </c>
      <c r="O25" s="1039">
        <f t="shared" si="3"/>
        <v>2.5486356954030946E-2</v>
      </c>
      <c r="P25" s="1039">
        <f t="shared" si="3"/>
        <v>5.105860983262335E-2</v>
      </c>
      <c r="Q25" s="1039">
        <f t="shared" si="3"/>
        <v>7.6082660462570145E-2</v>
      </c>
      <c r="R25" s="1039">
        <f t="shared" si="3"/>
        <v>9.9336464256484305E-2</v>
      </c>
      <c r="S25" s="1039">
        <f t="shared" si="3"/>
        <v>9.9170628151586296E-2</v>
      </c>
      <c r="T25" s="1039">
        <f t="shared" si="3"/>
        <v>2.5669352811896754E-2</v>
      </c>
      <c r="U25" s="1039">
        <f t="shared" si="3"/>
        <v>5.1031831143434202E-2</v>
      </c>
      <c r="V25" s="1039">
        <f t="shared" si="3"/>
        <v>7.6691273282938358E-2</v>
      </c>
      <c r="W25" s="1039">
        <f t="shared" si="3"/>
        <v>0.10209376465970341</v>
      </c>
      <c r="X25" s="1039">
        <f t="shared" si="3"/>
        <v>0.105089923626509</v>
      </c>
      <c r="Y25" s="1039">
        <f t="shared" si="3"/>
        <v>2.3390545016561275E-2</v>
      </c>
      <c r="Z25" s="1039">
        <f t="shared" si="3"/>
        <v>5.6318760440066819E-2</v>
      </c>
      <c r="AA25" s="1039">
        <f t="shared" si="3"/>
        <v>8.4856083618107411E-2</v>
      </c>
      <c r="AB25" s="1039">
        <f t="shared" si="3"/>
        <v>0.11608009556887583</v>
      </c>
      <c r="AC25" s="1039">
        <f t="shared" si="3"/>
        <v>0.10598016592131543</v>
      </c>
      <c r="AD25" s="1039">
        <f t="shared" si="3"/>
        <v>2.8333367404241708E-2</v>
      </c>
      <c r="AE25" s="1039">
        <f t="shared" si="3"/>
        <v>5.6401025073232608E-2</v>
      </c>
      <c r="AF25" s="1039">
        <f t="shared" si="3"/>
        <v>8.5375281211184165E-2</v>
      </c>
      <c r="AG25" s="1039">
        <f t="shared" si="3"/>
        <v>0.11577322303331797</v>
      </c>
      <c r="AH25" s="1039">
        <f t="shared" si="3"/>
        <v>0.11808633355594683</v>
      </c>
      <c r="AI25" s="1039">
        <f t="shared" si="3"/>
        <v>2.8426492985091787E-2</v>
      </c>
      <c r="AJ25" s="1039">
        <f t="shared" si="3"/>
        <v>5.8140818853667967E-2</v>
      </c>
      <c r="AK25" s="1039">
        <f t="shared" si="3"/>
        <v>8.7717916093851142E-2</v>
      </c>
      <c r="AL25" s="1039">
        <f t="shared" si="3"/>
        <v>0.11864644539727913</v>
      </c>
      <c r="AM25" s="1039">
        <f t="shared" si="3"/>
        <v>0.12086886885807271</v>
      </c>
      <c r="AN25" s="1039">
        <f t="shared" si="3"/>
        <v>2.8992404407977932E-2</v>
      </c>
      <c r="AO25" s="1039">
        <f t="shared" si="3"/>
        <v>5.9231877499996644E-2</v>
      </c>
      <c r="AP25" s="1039">
        <f t="shared" si="3"/>
        <v>8.9585924742133852E-2</v>
      </c>
      <c r="AQ25" s="1039">
        <f t="shared" si="3"/>
        <v>0.12227275374442108</v>
      </c>
      <c r="AR25" s="1039">
        <f t="shared" si="3"/>
        <v>0.1238253148913412</v>
      </c>
      <c r="AS25" s="1039">
        <f t="shared" si="3"/>
        <v>3.0768673991456344E-2</v>
      </c>
      <c r="AT25" s="1039">
        <f t="shared" si="3"/>
        <v>6.1315812132813174E-2</v>
      </c>
      <c r="AU25" s="1039">
        <f t="shared" si="3"/>
        <v>8.9734718913691142E-2</v>
      </c>
      <c r="AV25" s="1039">
        <f t="shared" si="3"/>
        <v>0.11976303543024089</v>
      </c>
      <c r="AW25" s="1039">
        <f t="shared" si="3"/>
        <v>0.11773078512892922</v>
      </c>
      <c r="AX25" s="1017">
        <f>$AW$25</f>
        <v>0.11773078512892922</v>
      </c>
      <c r="AY25" s="1017">
        <f t="shared" ref="AY25:BB25" si="4">$AW$25</f>
        <v>0.11773078512892922</v>
      </c>
      <c r="AZ25" s="1017">
        <f t="shared" si="4"/>
        <v>0.11773078512892922</v>
      </c>
      <c r="BA25" s="1017">
        <f t="shared" si="4"/>
        <v>0.11773078512892922</v>
      </c>
      <c r="BB25" s="1017">
        <f t="shared" si="4"/>
        <v>0.11773078512892922</v>
      </c>
    </row>
    <row r="26" spans="2:54" x14ac:dyDescent="0.15">
      <c r="B26" s="1025" t="s">
        <v>248</v>
      </c>
      <c r="C26" s="1013"/>
      <c r="D26" s="1013"/>
      <c r="E26" s="1013">
        <f>Historicals!Q724</f>
        <v>828.96600000000001</v>
      </c>
      <c r="F26" s="1013">
        <f>Historicals!R724</f>
        <v>851.47699999999998</v>
      </c>
      <c r="G26" s="1013">
        <f>Historicals!S724</f>
        <v>874.34</v>
      </c>
      <c r="H26" s="1013">
        <f>Historicals!T724</f>
        <v>892.19100000000003</v>
      </c>
      <c r="I26" s="1013">
        <f>Historicals!U724</f>
        <v>892.19100000000003</v>
      </c>
      <c r="J26" s="1013">
        <f>Historicals!V724</f>
        <v>885.96400000000006</v>
      </c>
      <c r="K26" s="1013">
        <f>Historicals!W724</f>
        <v>888.84900000000005</v>
      </c>
      <c r="L26" s="1013">
        <f>Historicals!X724</f>
        <v>902.58100000000002</v>
      </c>
      <c r="M26" s="1013">
        <f>Historicals!Y724</f>
        <v>910.13400000000001</v>
      </c>
      <c r="N26" s="1013">
        <f>Historicals!Z724</f>
        <v>910.13400000000001</v>
      </c>
      <c r="O26" s="1013">
        <f>Historicals!AA724</f>
        <v>910.58100000000002</v>
      </c>
      <c r="P26" s="1013">
        <f>Historicals!AB724</f>
        <v>913.375</v>
      </c>
      <c r="Q26" s="1013">
        <f>Historicals!AC724</f>
        <v>933.48400000000004</v>
      </c>
      <c r="R26" s="1013">
        <f>Historicals!AD724</f>
        <v>935.04499999999996</v>
      </c>
      <c r="S26" s="1013">
        <f>Historicals!AE724</f>
        <v>935.04499999999996</v>
      </c>
      <c r="T26" s="1013">
        <f>Historicals!AF724</f>
        <v>935.279</v>
      </c>
      <c r="U26" s="1013">
        <f>Historicals!AG724</f>
        <v>936.46900000000005</v>
      </c>
      <c r="V26" s="1013">
        <f>Historicals!AH724</f>
        <v>940.077</v>
      </c>
      <c r="W26" s="1013">
        <f>Historicals!AI724</f>
        <v>913.27499999999998</v>
      </c>
      <c r="X26" s="1013">
        <f>Historicals!AJ724</f>
        <v>913.27499999999998</v>
      </c>
      <c r="Y26" s="1013">
        <f>Historicals!AK724</f>
        <v>763.88400000000001</v>
      </c>
      <c r="Z26" s="1013">
        <f>Historicals!AL724</f>
        <v>758.49599999999998</v>
      </c>
      <c r="AA26" s="1013">
        <f>Historicals!AM724</f>
        <v>759.24300000000005</v>
      </c>
      <c r="AB26" s="1013">
        <f>Historicals!AN724</f>
        <v>831.59900000000005</v>
      </c>
      <c r="AC26" s="1013">
        <f>Historicals!AO724</f>
        <v>831.59900000000005</v>
      </c>
      <c r="AD26" s="1013">
        <f>Historicals!AP724</f>
        <v>818.28300000000002</v>
      </c>
      <c r="AE26" s="1013">
        <f>Historicals!AQ724</f>
        <v>805.88900000000001</v>
      </c>
      <c r="AF26" s="1013">
        <f>Historicals!AR724</f>
        <v>789.60400000000004</v>
      </c>
      <c r="AG26" s="1013">
        <f>Historicals!AS724</f>
        <v>774.13699999999994</v>
      </c>
      <c r="AH26" s="1013">
        <f>Historicals!AT724</f>
        <v>774.13699999999994</v>
      </c>
      <c r="AI26" s="1013">
        <f>Historicals!AU724</f>
        <v>760.72199999999998</v>
      </c>
      <c r="AJ26" s="1013">
        <f>Historicals!AV724</f>
        <v>761.58900000000006</v>
      </c>
      <c r="AK26" s="1013">
        <f>Historicals!AW724</f>
        <v>755.64</v>
      </c>
      <c r="AL26" s="1013">
        <f>Historicals!AX724</f>
        <v>741.74599999999998</v>
      </c>
      <c r="AM26" s="1013">
        <f>Historicals!AY724</f>
        <v>741.74599999999998</v>
      </c>
      <c r="AN26" s="1013">
        <f>Historicals!AZ724</f>
        <v>744.75099999999998</v>
      </c>
      <c r="AO26" s="1013">
        <f>Historicals!BA724</f>
        <v>745.25099999999998</v>
      </c>
      <c r="AP26" s="1013">
        <f>Historicals!BB724</f>
        <v>755.524</v>
      </c>
      <c r="AQ26" s="1013">
        <f>Historicals!BC724</f>
        <v>746.05100000000004</v>
      </c>
      <c r="AR26" s="1013">
        <f>Historicals!BD724</f>
        <v>746.05100000000004</v>
      </c>
      <c r="AS26" s="1013">
        <f>Historicals!BE724</f>
        <v>754.89499999999998</v>
      </c>
      <c r="AT26" s="1013">
        <f>Historicals!BF724</f>
        <v>770.31500000000005</v>
      </c>
      <c r="AU26" s="1013">
        <f>Historicals!BG724</f>
        <v>777.66899999999998</v>
      </c>
      <c r="AV26" s="1013">
        <f>Historicals!BH724</f>
        <v>791.09299999999996</v>
      </c>
      <c r="AW26" s="1013">
        <f>Historicals!BI724</f>
        <v>791.09299999999996</v>
      </c>
      <c r="AX26" s="1017">
        <f>AW26-AW23+'Consolidated BS Build'!AW20</f>
        <v>849.52199999999993</v>
      </c>
      <c r="AY26" s="1017">
        <f>AX26-AX23+'Consolidated BS Build'!AX20</f>
        <v>936.476</v>
      </c>
      <c r="AZ26" s="1017">
        <f>AY26-AY23+'Consolidated BS Build'!AY20</f>
        <v>1001.7791079557018</v>
      </c>
      <c r="BA26" s="1017">
        <f>AZ26-AZ23+'Consolidated BS Build'!AZ20</f>
        <v>1067.2886532213026</v>
      </c>
      <c r="BB26" s="1017">
        <f>BA26-BA23+'Consolidated BS Build'!BA20</f>
        <v>1144.5423323159196</v>
      </c>
    </row>
  </sheetData>
  <pageMargins left="0.7" right="0.7" top="0.75" bottom="0.75" header="0.3" footer="0.3"/>
  <ignoredErrors>
    <ignoredError sqref="AX8:BB15" formula="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BDCF7-5744-415F-8021-97068047BB45}">
  <dimension ref="B2:BL53"/>
  <sheetViews>
    <sheetView showGridLines="0" zoomScale="82" zoomScaleNormal="70" workbookViewId="0">
      <selection activeCell="BJ4" sqref="BJ4"/>
    </sheetView>
  </sheetViews>
  <sheetFormatPr baseColWidth="10" defaultColWidth="8.83203125" defaultRowHeight="14" outlineLevelCol="1" x14ac:dyDescent="0.15"/>
  <cols>
    <col min="1" max="9" width="8.83203125" style="782"/>
    <col min="10" max="13" width="9.1640625" style="782" hidden="1" customWidth="1" outlineLevel="1"/>
    <col min="14" max="14" width="9.1640625" style="782" customWidth="1" collapsed="1"/>
    <col min="15" max="18" width="9.1640625" style="782" hidden="1" customWidth="1" outlineLevel="1"/>
    <col min="19" max="19" width="9.1640625" style="782" collapsed="1"/>
    <col min="20" max="23" width="9.1640625" style="782" hidden="1" customWidth="1" outlineLevel="1"/>
    <col min="24" max="24" width="9.1640625" style="782" collapsed="1"/>
    <col min="25" max="28" width="9.1640625" style="782" hidden="1" customWidth="1" outlineLevel="1"/>
    <col min="29" max="29" width="9.1640625" style="782" collapsed="1"/>
    <col min="30" max="33" width="9.1640625" style="782" hidden="1" customWidth="1" outlineLevel="1"/>
    <col min="34" max="34" width="9.1640625" style="782" collapsed="1"/>
    <col min="35" max="38" width="9.1640625" style="782" hidden="1" customWidth="1" outlineLevel="1"/>
    <col min="39" max="39" width="9.1640625" style="782" collapsed="1"/>
    <col min="40" max="43" width="9.1640625" style="782" hidden="1" customWidth="1" outlineLevel="1"/>
    <col min="44" max="44" width="9.1640625" style="782" collapsed="1"/>
    <col min="45" max="48" width="9.1640625" style="782" hidden="1" customWidth="1" outlineLevel="1"/>
    <col min="49" max="49" width="9.1640625" style="782" collapsed="1"/>
    <col min="50" max="53" width="9.1640625" style="782" hidden="1" customWidth="1" outlineLevel="1"/>
    <col min="54" max="54" width="9.1640625" style="782" collapsed="1"/>
    <col min="55" max="58" width="9.1640625" style="782" hidden="1" customWidth="1" outlineLevel="1"/>
    <col min="59" max="59" width="9.5" style="782" bestFit="1" customWidth="1" collapsed="1"/>
    <col min="60" max="64" width="10.1640625" style="782" bestFit="1" customWidth="1"/>
    <col min="65" max="16384" width="8.83203125" style="782"/>
  </cols>
  <sheetData>
    <row r="2" spans="2:64" x14ac:dyDescent="0.15">
      <c r="N2" s="1571" t="s">
        <v>249</v>
      </c>
      <c r="O2" s="1571"/>
      <c r="P2" s="1571"/>
      <c r="Q2" s="1571"/>
      <c r="R2" s="1571"/>
      <c r="S2" s="1571"/>
      <c r="T2" s="1571"/>
      <c r="U2" s="1571"/>
      <c r="V2" s="1571"/>
      <c r="W2" s="1571"/>
      <c r="X2" s="1571"/>
      <c r="Y2" s="1571"/>
      <c r="Z2" s="1571"/>
      <c r="AA2" s="1571"/>
      <c r="AB2" s="1571"/>
      <c r="AC2" s="1571"/>
      <c r="AD2" s="1571"/>
      <c r="AE2" s="1571"/>
      <c r="AF2" s="1571"/>
      <c r="AG2" s="1571"/>
      <c r="AH2" s="1571"/>
      <c r="AI2" s="1571"/>
      <c r="AJ2" s="1571"/>
      <c r="AK2" s="1571"/>
      <c r="AL2" s="1571"/>
      <c r="AM2" s="1571"/>
      <c r="AN2" s="1571"/>
      <c r="AO2" s="1571"/>
      <c r="AP2" s="1571"/>
      <c r="AQ2" s="1571"/>
      <c r="AR2" s="1571"/>
      <c r="AS2" s="1571"/>
      <c r="AT2" s="1571"/>
      <c r="AU2" s="1571"/>
      <c r="AV2" s="1571"/>
      <c r="AW2" s="1571"/>
      <c r="AX2" s="1571"/>
      <c r="AY2" s="1571"/>
      <c r="AZ2" s="1571"/>
      <c r="BA2" s="1571"/>
      <c r="BB2" s="1571"/>
      <c r="BC2" s="1571"/>
      <c r="BD2" s="1571"/>
      <c r="BE2" s="1571"/>
      <c r="BF2" s="1571"/>
      <c r="BG2" s="1571"/>
    </row>
    <row r="3" spans="2:64" ht="15" thickBot="1" x14ac:dyDescent="0.2">
      <c r="BG3" s="1101"/>
      <c r="BH3" s="1101"/>
      <c r="BI3" s="1101"/>
      <c r="BJ3" s="1101"/>
      <c r="BK3" s="1101"/>
    </row>
    <row r="4" spans="2:64" x14ac:dyDescent="0.15">
      <c r="B4" s="1214" t="s">
        <v>155</v>
      </c>
      <c r="C4" s="1215"/>
      <c r="D4" s="1215"/>
      <c r="E4" s="1215"/>
      <c r="F4" s="1215"/>
      <c r="G4" s="1215"/>
      <c r="H4" s="1215"/>
      <c r="I4" s="1215"/>
      <c r="J4" s="1216">
        <v>41730</v>
      </c>
      <c r="K4" s="1216">
        <v>41821</v>
      </c>
      <c r="L4" s="1216">
        <v>41912</v>
      </c>
      <c r="M4" s="1216">
        <v>42003</v>
      </c>
      <c r="N4" s="1216">
        <v>42003</v>
      </c>
      <c r="O4" s="1216">
        <v>42094</v>
      </c>
      <c r="P4" s="1216">
        <v>42185</v>
      </c>
      <c r="Q4" s="1216">
        <v>42276</v>
      </c>
      <c r="R4" s="1216">
        <v>42367</v>
      </c>
      <c r="S4" s="1216">
        <v>42367</v>
      </c>
      <c r="T4" s="1216">
        <v>42458</v>
      </c>
      <c r="U4" s="1216">
        <v>42549</v>
      </c>
      <c r="V4" s="1216">
        <v>42640</v>
      </c>
      <c r="W4" s="1216">
        <v>42738</v>
      </c>
      <c r="X4" s="1216">
        <v>42738</v>
      </c>
      <c r="Y4" s="1216">
        <v>42829</v>
      </c>
      <c r="Z4" s="1216">
        <v>42920</v>
      </c>
      <c r="AA4" s="1216">
        <v>43011</v>
      </c>
      <c r="AB4" s="1216">
        <v>43102</v>
      </c>
      <c r="AC4" s="1216">
        <v>43102</v>
      </c>
      <c r="AD4" s="1216">
        <v>43193</v>
      </c>
      <c r="AE4" s="1216">
        <v>43284</v>
      </c>
      <c r="AF4" s="1216">
        <v>43375</v>
      </c>
      <c r="AG4" s="1216">
        <v>43466</v>
      </c>
      <c r="AH4" s="1216">
        <v>43466</v>
      </c>
      <c r="AI4" s="1216">
        <v>43557</v>
      </c>
      <c r="AJ4" s="1216">
        <v>43648</v>
      </c>
      <c r="AK4" s="1216">
        <v>43739</v>
      </c>
      <c r="AL4" s="1216">
        <v>43830</v>
      </c>
      <c r="AM4" s="1216">
        <v>43830</v>
      </c>
      <c r="AN4" s="1216">
        <v>43921</v>
      </c>
      <c r="AO4" s="1216">
        <v>44012</v>
      </c>
      <c r="AP4" s="1216">
        <v>44103</v>
      </c>
      <c r="AQ4" s="1216">
        <v>44194</v>
      </c>
      <c r="AR4" s="1216">
        <v>44194</v>
      </c>
      <c r="AS4" s="1216">
        <v>44285</v>
      </c>
      <c r="AT4" s="1216">
        <v>44376</v>
      </c>
      <c r="AU4" s="1216">
        <v>44467</v>
      </c>
      <c r="AV4" s="1216">
        <v>44558</v>
      </c>
      <c r="AW4" s="1216">
        <v>44558</v>
      </c>
      <c r="AX4" s="1216">
        <v>44649</v>
      </c>
      <c r="AY4" s="1216">
        <v>44740</v>
      </c>
      <c r="AZ4" s="1216">
        <v>44831</v>
      </c>
      <c r="BA4" s="1216">
        <v>44929</v>
      </c>
      <c r="BB4" s="1216">
        <v>44929</v>
      </c>
      <c r="BC4" s="1216">
        <v>45019</v>
      </c>
      <c r="BD4" s="1216">
        <v>45111</v>
      </c>
      <c r="BE4" s="1216">
        <v>45202</v>
      </c>
      <c r="BF4" s="1216">
        <v>45293</v>
      </c>
      <c r="BG4" s="1217">
        <v>45293</v>
      </c>
      <c r="BH4" s="1013"/>
      <c r="BI4" s="1013"/>
      <c r="BJ4" s="1013"/>
      <c r="BK4" s="1013"/>
      <c r="BL4" s="1218"/>
    </row>
    <row r="5" spans="2:64" x14ac:dyDescent="0.15">
      <c r="B5" s="1219"/>
      <c r="C5" s="1032"/>
      <c r="D5" s="1032"/>
      <c r="E5" s="1032"/>
      <c r="F5" s="1032"/>
      <c r="G5" s="1032"/>
      <c r="H5" s="1032"/>
      <c r="I5" s="1032"/>
      <c r="J5" s="1032" t="s">
        <v>157</v>
      </c>
      <c r="K5" s="1032" t="s">
        <v>158</v>
      </c>
      <c r="L5" s="1032" t="s">
        <v>159</v>
      </c>
      <c r="M5" s="1032" t="s">
        <v>160</v>
      </c>
      <c r="N5" s="1220" t="s">
        <v>161</v>
      </c>
      <c r="O5" s="1220" t="s">
        <v>162</v>
      </c>
      <c r="P5" s="1220" t="s">
        <v>163</v>
      </c>
      <c r="Q5" s="1220" t="s">
        <v>164</v>
      </c>
      <c r="R5" s="1220" t="s">
        <v>165</v>
      </c>
      <c r="S5" s="1220" t="s">
        <v>166</v>
      </c>
      <c r="T5" s="1220" t="s">
        <v>167</v>
      </c>
      <c r="U5" s="1220" t="s">
        <v>168</v>
      </c>
      <c r="V5" s="1220" t="s">
        <v>169</v>
      </c>
      <c r="W5" s="1220" t="s">
        <v>170</v>
      </c>
      <c r="X5" s="1220" t="s">
        <v>171</v>
      </c>
      <c r="Y5" s="1220" t="s">
        <v>172</v>
      </c>
      <c r="Z5" s="1220" t="s">
        <v>173</v>
      </c>
      <c r="AA5" s="1220" t="s">
        <v>174</v>
      </c>
      <c r="AB5" s="1220" t="s">
        <v>175</v>
      </c>
      <c r="AC5" s="1220" t="s">
        <v>176</v>
      </c>
      <c r="AD5" s="1220" t="s">
        <v>177</v>
      </c>
      <c r="AE5" s="1220" t="s">
        <v>178</v>
      </c>
      <c r="AF5" s="1220" t="s">
        <v>179</v>
      </c>
      <c r="AG5" s="1220" t="s">
        <v>180</v>
      </c>
      <c r="AH5" s="1220" t="s">
        <v>181</v>
      </c>
      <c r="AI5" s="1220" t="s">
        <v>182</v>
      </c>
      <c r="AJ5" s="1220" t="s">
        <v>183</v>
      </c>
      <c r="AK5" s="1220" t="s">
        <v>184</v>
      </c>
      <c r="AL5" s="1220" t="s">
        <v>185</v>
      </c>
      <c r="AM5" s="1220" t="s">
        <v>186</v>
      </c>
      <c r="AN5" s="1220" t="s">
        <v>187</v>
      </c>
      <c r="AO5" s="1220" t="s">
        <v>188</v>
      </c>
      <c r="AP5" s="1220" t="s">
        <v>189</v>
      </c>
      <c r="AQ5" s="1220" t="s">
        <v>190</v>
      </c>
      <c r="AR5" s="1220" t="s">
        <v>191</v>
      </c>
      <c r="AS5" s="1220" t="s">
        <v>192</v>
      </c>
      <c r="AT5" s="1220" t="s">
        <v>193</v>
      </c>
      <c r="AU5" s="1220" t="s">
        <v>194</v>
      </c>
      <c r="AV5" s="1220" t="s">
        <v>195</v>
      </c>
      <c r="AW5" s="1220" t="s">
        <v>196</v>
      </c>
      <c r="AX5" s="1220" t="s">
        <v>197</v>
      </c>
      <c r="AY5" s="1220" t="s">
        <v>198</v>
      </c>
      <c r="AZ5" s="1220" t="s">
        <v>199</v>
      </c>
      <c r="BA5" s="1220" t="s">
        <v>200</v>
      </c>
      <c r="BB5" s="1220" t="s">
        <v>201</v>
      </c>
      <c r="BC5" s="1220" t="s">
        <v>202</v>
      </c>
      <c r="BD5" s="1220" t="s">
        <v>203</v>
      </c>
      <c r="BE5" s="1220" t="s">
        <v>204</v>
      </c>
      <c r="BF5" s="1220" t="s">
        <v>205</v>
      </c>
      <c r="BG5" s="1220" t="s">
        <v>206</v>
      </c>
      <c r="BH5" s="1220" t="s">
        <v>207</v>
      </c>
      <c r="BI5" s="1220" t="s">
        <v>208</v>
      </c>
      <c r="BJ5" s="1220" t="s">
        <v>209</v>
      </c>
      <c r="BK5" s="1220" t="s">
        <v>210</v>
      </c>
      <c r="BL5" s="1221" t="s">
        <v>211</v>
      </c>
    </row>
    <row r="6" spans="2:64" x14ac:dyDescent="0.15">
      <c r="B6" s="1138"/>
      <c r="BL6" s="1207"/>
    </row>
    <row r="7" spans="2:64" x14ac:dyDescent="0.15">
      <c r="B7" s="1211" t="s">
        <v>250</v>
      </c>
      <c r="C7" s="1212"/>
      <c r="D7" s="1210"/>
      <c r="E7" s="1210"/>
      <c r="F7" s="1210"/>
      <c r="G7" s="1210"/>
      <c r="H7" s="1210"/>
      <c r="I7" s="1210"/>
      <c r="J7" s="1210"/>
      <c r="K7" s="1210"/>
      <c r="L7" s="1210"/>
      <c r="M7" s="1210"/>
      <c r="N7" s="1210"/>
      <c r="O7" s="1210"/>
      <c r="P7" s="1210"/>
      <c r="Q7" s="1210"/>
      <c r="R7" s="1210"/>
      <c r="S7" s="1210"/>
      <c r="T7" s="1210"/>
      <c r="U7" s="1210"/>
      <c r="V7" s="1210"/>
      <c r="W7" s="1210"/>
      <c r="X7" s="1210"/>
      <c r="Y7" s="1210"/>
      <c r="Z7" s="1210"/>
      <c r="AA7" s="1210"/>
      <c r="AB7" s="1210"/>
      <c r="AC7" s="1210"/>
      <c r="AD7" s="1210"/>
      <c r="AE7" s="1210"/>
      <c r="AF7" s="1210"/>
      <c r="AG7" s="1210"/>
      <c r="AH7" s="1210"/>
      <c r="AI7" s="1210"/>
      <c r="AJ7" s="1210"/>
      <c r="AK7" s="1210"/>
      <c r="AL7" s="1210"/>
      <c r="AM7" s="1210"/>
      <c r="AN7" s="1210"/>
      <c r="AO7" s="1210"/>
      <c r="AP7" s="1210"/>
      <c r="AQ7" s="1210"/>
      <c r="AR7" s="1210"/>
      <c r="AS7" s="1210"/>
      <c r="AT7" s="1210"/>
      <c r="AU7" s="1210"/>
      <c r="AV7" s="1210"/>
      <c r="AW7" s="1210"/>
      <c r="AX7" s="1210"/>
      <c r="AY7" s="1210"/>
      <c r="AZ7" s="1210"/>
      <c r="BA7" s="1210"/>
      <c r="BB7" s="1210"/>
      <c r="BC7" s="1210"/>
      <c r="BD7" s="1210"/>
      <c r="BE7" s="1210"/>
      <c r="BF7" s="1210"/>
      <c r="BG7" s="1210"/>
      <c r="BH7" s="1210"/>
      <c r="BI7" s="1210"/>
      <c r="BJ7" s="1210"/>
      <c r="BK7" s="1210"/>
      <c r="BL7" s="1213"/>
    </row>
    <row r="8" spans="2:64" ht="15" thickBot="1" x14ac:dyDescent="0.2">
      <c r="B8" s="1138"/>
      <c r="BL8" s="1207"/>
    </row>
    <row r="9" spans="2:64" x14ac:dyDescent="0.15">
      <c r="B9" s="1138" t="s">
        <v>251</v>
      </c>
      <c r="J9" s="1139">
        <v>168</v>
      </c>
      <c r="K9" s="1140">
        <f t="shared" ref="K9:M9" si="0">J12</f>
        <v>169</v>
      </c>
      <c r="L9" s="1140">
        <f t="shared" si="0"/>
        <v>170</v>
      </c>
      <c r="M9" s="1140">
        <f t="shared" si="0"/>
        <v>172</v>
      </c>
      <c r="N9" s="1222">
        <f>J12</f>
        <v>169</v>
      </c>
      <c r="O9" s="1223">
        <f t="shared" ref="O9:R9" si="1">N12</f>
        <v>177</v>
      </c>
      <c r="P9" s="1223">
        <f t="shared" si="1"/>
        <v>177</v>
      </c>
      <c r="Q9" s="1223">
        <f t="shared" si="1"/>
        <v>179</v>
      </c>
      <c r="R9" s="1223">
        <f t="shared" si="1"/>
        <v>181</v>
      </c>
      <c r="S9" s="1224">
        <f>N12</f>
        <v>177</v>
      </c>
      <c r="T9" s="1223">
        <f t="shared" ref="T9:W9" si="2">S12</f>
        <v>187</v>
      </c>
      <c r="U9" s="1223">
        <f t="shared" si="2"/>
        <v>188</v>
      </c>
      <c r="V9" s="1223">
        <f t="shared" si="2"/>
        <v>189</v>
      </c>
      <c r="W9" s="1225">
        <f t="shared" si="2"/>
        <v>189</v>
      </c>
      <c r="X9" s="1226">
        <f>S12</f>
        <v>187</v>
      </c>
      <c r="Y9" s="1223">
        <f t="shared" ref="Y9:AB9" si="3">X12</f>
        <v>194</v>
      </c>
      <c r="Z9" s="1223">
        <f t="shared" si="3"/>
        <v>194</v>
      </c>
      <c r="AA9" s="1223">
        <f t="shared" si="3"/>
        <v>193</v>
      </c>
      <c r="AB9" s="1225">
        <f t="shared" si="3"/>
        <v>194</v>
      </c>
      <c r="AC9" s="1226">
        <f>X12</f>
        <v>194</v>
      </c>
      <c r="AD9" s="1223">
        <f t="shared" ref="AD9:AG9" si="4">AC12</f>
        <v>199</v>
      </c>
      <c r="AE9" s="1223">
        <f t="shared" si="4"/>
        <v>199</v>
      </c>
      <c r="AF9" s="1223">
        <f t="shared" si="4"/>
        <v>198</v>
      </c>
      <c r="AG9" s="1225">
        <f t="shared" si="4"/>
        <v>199</v>
      </c>
      <c r="AH9" s="1226">
        <f>AC12</f>
        <v>199</v>
      </c>
      <c r="AI9" s="1223">
        <f t="shared" ref="AI9:AL9" si="5">AH12</f>
        <v>201</v>
      </c>
      <c r="AJ9" s="1223">
        <f t="shared" si="5"/>
        <v>201</v>
      </c>
      <c r="AK9" s="1223">
        <f t="shared" si="5"/>
        <v>202</v>
      </c>
      <c r="AL9" s="1225">
        <f t="shared" si="5"/>
        <v>203</v>
      </c>
      <c r="AM9" s="1226">
        <f>AH12</f>
        <v>201</v>
      </c>
      <c r="AN9" s="1223">
        <f t="shared" ref="AN9:AQ9" si="6">AM12</f>
        <v>206</v>
      </c>
      <c r="AO9" s="1223">
        <f t="shared" si="6"/>
        <v>206</v>
      </c>
      <c r="AP9" s="1223">
        <f t="shared" si="6"/>
        <v>206</v>
      </c>
      <c r="AQ9" s="1225">
        <f t="shared" si="6"/>
        <v>205</v>
      </c>
      <c r="AR9" s="1226">
        <f>AM12</f>
        <v>206</v>
      </c>
      <c r="AS9" s="1223">
        <f t="shared" ref="AS9:AV9" si="7">AR12</f>
        <v>206</v>
      </c>
      <c r="AT9" s="1223">
        <f t="shared" si="7"/>
        <v>207</v>
      </c>
      <c r="AU9" s="1223">
        <f t="shared" si="7"/>
        <v>207</v>
      </c>
      <c r="AV9" s="1225">
        <f t="shared" si="7"/>
        <v>207</v>
      </c>
      <c r="AW9" s="1226">
        <f>AR12</f>
        <v>206</v>
      </c>
      <c r="AX9" s="1223">
        <f t="shared" ref="AX9:BA9" si="8">AW12</f>
        <v>208</v>
      </c>
      <c r="AY9" s="1223">
        <f t="shared" si="8"/>
        <v>208</v>
      </c>
      <c r="AZ9" s="1223">
        <f t="shared" si="8"/>
        <v>208</v>
      </c>
      <c r="BA9" s="1225">
        <f t="shared" si="8"/>
        <v>209</v>
      </c>
      <c r="BB9" s="1226">
        <f>AW12</f>
        <v>208</v>
      </c>
      <c r="BC9" s="1223">
        <f t="shared" ref="BC9:BF9" si="9">BB12</f>
        <v>211</v>
      </c>
      <c r="BD9" s="1223">
        <f t="shared" si="9"/>
        <v>210</v>
      </c>
      <c r="BE9" s="1223">
        <f t="shared" si="9"/>
        <v>211</v>
      </c>
      <c r="BF9" s="1225">
        <f t="shared" si="9"/>
        <v>213</v>
      </c>
      <c r="BG9" s="1305">
        <f>BB12</f>
        <v>211</v>
      </c>
      <c r="BH9" s="1306">
        <f>BG12</f>
        <v>216</v>
      </c>
      <c r="BI9" s="1306">
        <f>BH12</f>
        <v>219.6</v>
      </c>
      <c r="BJ9" s="1306">
        <f>BI12</f>
        <v>224.12</v>
      </c>
      <c r="BK9" s="1306">
        <f>BJ12</f>
        <v>228.744</v>
      </c>
      <c r="BL9" s="1307">
        <f>BK12</f>
        <v>234.2928</v>
      </c>
    </row>
    <row r="10" spans="2:64" x14ac:dyDescent="0.15">
      <c r="B10" s="1138" t="s">
        <v>252</v>
      </c>
      <c r="J10" s="1141">
        <v>1</v>
      </c>
      <c r="K10" s="1142">
        <v>2</v>
      </c>
      <c r="L10" s="1142">
        <v>2</v>
      </c>
      <c r="M10" s="1142">
        <v>5</v>
      </c>
      <c r="N10" s="1228">
        <v>10</v>
      </c>
      <c r="O10" s="1229">
        <v>0</v>
      </c>
      <c r="P10" s="1229">
        <v>2</v>
      </c>
      <c r="Q10" s="1229">
        <v>2</v>
      </c>
      <c r="R10" s="1229">
        <v>6</v>
      </c>
      <c r="S10" s="1230">
        <v>10</v>
      </c>
      <c r="T10" s="1229">
        <v>1</v>
      </c>
      <c r="U10" s="1229">
        <v>1</v>
      </c>
      <c r="V10" s="1229">
        <v>0</v>
      </c>
      <c r="W10" s="1229">
        <v>5</v>
      </c>
      <c r="X10" s="1230">
        <v>7</v>
      </c>
      <c r="Y10" s="1229">
        <v>0</v>
      </c>
      <c r="Z10" s="1229">
        <v>1</v>
      </c>
      <c r="AA10" s="1229">
        <v>1</v>
      </c>
      <c r="AB10" s="1229">
        <v>5</v>
      </c>
      <c r="AC10" s="1230">
        <v>7</v>
      </c>
      <c r="AD10" s="1229">
        <v>0</v>
      </c>
      <c r="AE10" s="1229">
        <v>0</v>
      </c>
      <c r="AF10" s="1229">
        <v>1</v>
      </c>
      <c r="AG10" s="1229">
        <v>3</v>
      </c>
      <c r="AH10" s="1230">
        <v>4</v>
      </c>
      <c r="AI10" s="1229">
        <v>0</v>
      </c>
      <c r="AJ10" s="1229">
        <v>1</v>
      </c>
      <c r="AK10" s="1229">
        <v>1</v>
      </c>
      <c r="AL10" s="1229">
        <v>3</v>
      </c>
      <c r="AM10" s="1231">
        <f>SUM(AI10,AJ10,AK10,AL10)</f>
        <v>5</v>
      </c>
      <c r="AN10" s="1229">
        <v>0</v>
      </c>
      <c r="AO10" s="1229">
        <v>0</v>
      </c>
      <c r="AP10" s="1229">
        <v>0</v>
      </c>
      <c r="AQ10" s="1229">
        <v>1</v>
      </c>
      <c r="AR10" s="1231">
        <f>SUM(AN10,AO10,AP10,AQ10)</f>
        <v>1</v>
      </c>
      <c r="AS10" s="1229">
        <v>1</v>
      </c>
      <c r="AT10" s="1229">
        <v>0</v>
      </c>
      <c r="AU10" s="1229">
        <v>0</v>
      </c>
      <c r="AV10" s="1229">
        <v>1</v>
      </c>
      <c r="AW10" s="1231">
        <f>SUM(AS10,AT10,AU10,AV10)</f>
        <v>2</v>
      </c>
      <c r="AX10" s="1229">
        <v>0</v>
      </c>
      <c r="AY10" s="1229">
        <v>0</v>
      </c>
      <c r="AZ10" s="1229">
        <v>1</v>
      </c>
      <c r="BA10" s="1229">
        <v>2</v>
      </c>
      <c r="BB10" s="1231">
        <f>SUM(AX10,AY10,AZ10,BA10)</f>
        <v>3</v>
      </c>
      <c r="BC10" s="1229">
        <v>0</v>
      </c>
      <c r="BD10" s="1229">
        <v>1</v>
      </c>
      <c r="BE10" s="1229">
        <v>2</v>
      </c>
      <c r="BF10" s="1229">
        <v>3</v>
      </c>
      <c r="BG10" s="1231">
        <f>SUM(BC10,BD10,BE10,BF10)</f>
        <v>6</v>
      </c>
      <c r="BH10" s="1232">
        <f>'Forecast Assumptions'!G9</f>
        <v>4</v>
      </c>
      <c r="BI10" s="1232">
        <f>'Forecast Assumptions'!H9</f>
        <v>5</v>
      </c>
      <c r="BJ10" s="1232">
        <f>'Forecast Assumptions'!I9</f>
        <v>5</v>
      </c>
      <c r="BK10" s="1232">
        <f>'Forecast Assumptions'!J9</f>
        <v>6</v>
      </c>
      <c r="BL10" s="1233">
        <f>'Forecast Assumptions'!K9</f>
        <v>6</v>
      </c>
    </row>
    <row r="11" spans="2:64" x14ac:dyDescent="0.15">
      <c r="B11" s="1138" t="s">
        <v>253</v>
      </c>
      <c r="J11" s="1143">
        <f t="shared" ref="J11:M11" si="10">J12-J9-J10</f>
        <v>0</v>
      </c>
      <c r="K11" s="1144">
        <f t="shared" si="10"/>
        <v>-1</v>
      </c>
      <c r="L11" s="1144">
        <f t="shared" si="10"/>
        <v>0</v>
      </c>
      <c r="M11" s="1144">
        <f t="shared" si="10"/>
        <v>0</v>
      </c>
      <c r="N11" s="1234">
        <f>-(N10-(N12-N9))</f>
        <v>-2</v>
      </c>
      <c r="O11" s="1235">
        <f t="shared" ref="O11:R11" si="11">O12-O9-O10</f>
        <v>0</v>
      </c>
      <c r="P11" s="1235">
        <f t="shared" si="11"/>
        <v>0</v>
      </c>
      <c r="Q11" s="1235">
        <f t="shared" si="11"/>
        <v>0</v>
      </c>
      <c r="R11" s="1235">
        <f t="shared" si="11"/>
        <v>0</v>
      </c>
      <c r="S11" s="1231">
        <f>-(S10-(S12-S9))</f>
        <v>0</v>
      </c>
      <c r="T11" s="1235">
        <f t="shared" ref="T11:W11" si="12">T12-T9-T10</f>
        <v>0</v>
      </c>
      <c r="U11" s="1235">
        <f t="shared" si="12"/>
        <v>0</v>
      </c>
      <c r="V11" s="1235">
        <f t="shared" si="12"/>
        <v>0</v>
      </c>
      <c r="W11" s="1235">
        <f t="shared" si="12"/>
        <v>0</v>
      </c>
      <c r="X11" s="1231">
        <f>-(X10-(X12-X9))</f>
        <v>0</v>
      </c>
      <c r="Y11" s="1235">
        <f t="shared" ref="Y11:AB11" si="13">Y12-Y9-Y10</f>
        <v>0</v>
      </c>
      <c r="Z11" s="1235">
        <f>Z12-Z9-Z10</f>
        <v>-2</v>
      </c>
      <c r="AA11" s="1235">
        <f t="shared" si="13"/>
        <v>0</v>
      </c>
      <c r="AB11" s="1235">
        <f t="shared" si="13"/>
        <v>0</v>
      </c>
      <c r="AC11" s="1231">
        <f>-(AC10-(AC12-AC9))</f>
        <v>-2</v>
      </c>
      <c r="AD11" s="1235">
        <f t="shared" ref="AD11:AG11" si="14">AD12-AD9-AD10</f>
        <v>0</v>
      </c>
      <c r="AE11" s="1235">
        <f t="shared" si="14"/>
        <v>-1</v>
      </c>
      <c r="AF11" s="1235">
        <f t="shared" si="14"/>
        <v>0</v>
      </c>
      <c r="AG11" s="1235">
        <f t="shared" si="14"/>
        <v>-1</v>
      </c>
      <c r="AH11" s="1231">
        <f>-(AH10-(AH12-AH9))</f>
        <v>-2</v>
      </c>
      <c r="AI11" s="1235">
        <f t="shared" ref="AI11:AL11" si="15">AI12-AI9-AI10</f>
        <v>0</v>
      </c>
      <c r="AJ11" s="1235">
        <f t="shared" si="15"/>
        <v>0</v>
      </c>
      <c r="AK11" s="1235">
        <f t="shared" si="15"/>
        <v>0</v>
      </c>
      <c r="AL11" s="1235">
        <f t="shared" si="15"/>
        <v>0</v>
      </c>
      <c r="AM11" s="1231">
        <f>-(AM10-(AM12-AM9))</f>
        <v>0</v>
      </c>
      <c r="AN11" s="1235">
        <f t="shared" ref="AN11:AQ11" si="16">AN12-AN9-AN10</f>
        <v>0</v>
      </c>
      <c r="AO11" s="1235">
        <f t="shared" si="16"/>
        <v>0</v>
      </c>
      <c r="AP11" s="1235">
        <f t="shared" si="16"/>
        <v>-1</v>
      </c>
      <c r="AQ11" s="1235">
        <f t="shared" si="16"/>
        <v>0</v>
      </c>
      <c r="AR11" s="1231">
        <f>-(AR10-(AR12-AR9))</f>
        <v>-1</v>
      </c>
      <c r="AS11" s="1235">
        <f t="shared" ref="AS11:AV11" si="17">AS12-AS9-AS10</f>
        <v>0</v>
      </c>
      <c r="AT11" s="1235">
        <f t="shared" si="17"/>
        <v>0</v>
      </c>
      <c r="AU11" s="1235">
        <f t="shared" si="17"/>
        <v>0</v>
      </c>
      <c r="AV11" s="1235">
        <f t="shared" si="17"/>
        <v>0</v>
      </c>
      <c r="AW11" s="1231">
        <f>-(AW10-(AW12-AW9))</f>
        <v>0</v>
      </c>
      <c r="AX11" s="1235">
        <f t="shared" ref="AX11:BA11" si="18">AX12-AX9-AX10</f>
        <v>0</v>
      </c>
      <c r="AY11" s="1235">
        <f t="shared" si="18"/>
        <v>0</v>
      </c>
      <c r="AZ11" s="1235">
        <f t="shared" si="18"/>
        <v>0</v>
      </c>
      <c r="BA11" s="1235">
        <f t="shared" si="18"/>
        <v>0</v>
      </c>
      <c r="BB11" s="1231">
        <v>0</v>
      </c>
      <c r="BC11" s="1235">
        <f t="shared" ref="BC11:BF11" si="19">BC12-BC9-BC10</f>
        <v>-1</v>
      </c>
      <c r="BD11" s="1235">
        <f t="shared" si="19"/>
        <v>0</v>
      </c>
      <c r="BE11" s="1235">
        <f t="shared" si="19"/>
        <v>0</v>
      </c>
      <c r="BF11" s="1235">
        <f t="shared" si="19"/>
        <v>0</v>
      </c>
      <c r="BG11" s="1231">
        <f>-(BG10-(BG12-BG9))</f>
        <v>-1</v>
      </c>
      <c r="BH11" s="1020">
        <f>AVERAGE(BG11,BB11,AW11,AR11,AM11)</f>
        <v>-0.4</v>
      </c>
      <c r="BI11" s="1020">
        <f>AVERAGE(BH11,BG11,BB11,AW11,AR11)</f>
        <v>-0.48</v>
      </c>
      <c r="BJ11" s="1020">
        <f>AVERAGE(BI11,BH11,BG11,BB11,AW11)</f>
        <v>-0.376</v>
      </c>
      <c r="BK11" s="1020">
        <f>AVERAGE(BJ11,BI11,BH11,BG11,BB11)</f>
        <v>-0.45120000000000005</v>
      </c>
      <c r="BL11" s="1236">
        <f>AVERAGE(BK11,BJ11,BI11,BH11,BG11)</f>
        <v>-0.54143999999999992</v>
      </c>
    </row>
    <row r="12" spans="2:64" x14ac:dyDescent="0.15">
      <c r="B12" s="1145" t="s">
        <v>254</v>
      </c>
      <c r="C12" s="1146"/>
      <c r="D12" s="1147"/>
      <c r="J12" s="1148">
        <v>169</v>
      </c>
      <c r="K12" s="1149">
        <v>170</v>
      </c>
      <c r="L12" s="1149">
        <v>172</v>
      </c>
      <c r="M12" s="1150">
        <f>N12</f>
        <v>177</v>
      </c>
      <c r="N12" s="1237">
        <v>177</v>
      </c>
      <c r="O12" s="1238">
        <v>177</v>
      </c>
      <c r="P12" s="1238">
        <v>179</v>
      </c>
      <c r="Q12" s="1238">
        <v>181</v>
      </c>
      <c r="R12" s="1162">
        <f>S12</f>
        <v>187</v>
      </c>
      <c r="S12" s="1239">
        <v>187</v>
      </c>
      <c r="T12" s="1238">
        <v>188</v>
      </c>
      <c r="U12" s="1238">
        <v>189</v>
      </c>
      <c r="V12" s="1238">
        <v>189</v>
      </c>
      <c r="W12" s="1238">
        <v>194</v>
      </c>
      <c r="X12" s="1239">
        <v>194</v>
      </c>
      <c r="Y12" s="1238">
        <v>194</v>
      </c>
      <c r="Z12" s="1238">
        <v>193</v>
      </c>
      <c r="AA12" s="1238">
        <v>194</v>
      </c>
      <c r="AB12" s="1238">
        <v>199</v>
      </c>
      <c r="AC12" s="1239">
        <v>199</v>
      </c>
      <c r="AD12" s="1238">
        <v>199</v>
      </c>
      <c r="AE12" s="1238">
        <v>198</v>
      </c>
      <c r="AF12" s="1238">
        <v>199</v>
      </c>
      <c r="AG12" s="1238">
        <v>201</v>
      </c>
      <c r="AH12" s="1239">
        <v>201</v>
      </c>
      <c r="AI12" s="1238">
        <v>201</v>
      </c>
      <c r="AJ12" s="1238">
        <v>202</v>
      </c>
      <c r="AK12" s="1238">
        <v>203</v>
      </c>
      <c r="AL12" s="1238">
        <v>206</v>
      </c>
      <c r="AM12" s="1062">
        <f>AL12</f>
        <v>206</v>
      </c>
      <c r="AN12" s="1238">
        <v>206</v>
      </c>
      <c r="AO12" s="1238">
        <v>206</v>
      </c>
      <c r="AP12" s="1238">
        <v>205</v>
      </c>
      <c r="AQ12" s="1238">
        <v>206</v>
      </c>
      <c r="AR12" s="1062">
        <f>AQ12</f>
        <v>206</v>
      </c>
      <c r="AS12" s="1238">
        <v>207</v>
      </c>
      <c r="AT12" s="1238">
        <v>207</v>
      </c>
      <c r="AU12" s="1238">
        <v>207</v>
      </c>
      <c r="AV12" s="1238">
        <v>208</v>
      </c>
      <c r="AW12" s="1062">
        <f>AV12</f>
        <v>208</v>
      </c>
      <c r="AX12" s="1238">
        <v>208</v>
      </c>
      <c r="AY12" s="1238">
        <v>208</v>
      </c>
      <c r="AZ12" s="1238">
        <v>209</v>
      </c>
      <c r="BA12" s="1238">
        <v>211</v>
      </c>
      <c r="BB12" s="1062">
        <f>BA12</f>
        <v>211</v>
      </c>
      <c r="BC12" s="1238">
        <v>210</v>
      </c>
      <c r="BD12" s="1238">
        <v>211</v>
      </c>
      <c r="BE12" s="1238">
        <v>213</v>
      </c>
      <c r="BF12" s="1238">
        <v>216</v>
      </c>
      <c r="BG12" s="1062">
        <f>BF12</f>
        <v>216</v>
      </c>
      <c r="BH12" s="1160">
        <f>BH9+BH10+BH11</f>
        <v>219.6</v>
      </c>
      <c r="BI12" s="1160">
        <f>BI9+BI10+BI11</f>
        <v>224.12</v>
      </c>
      <c r="BJ12" s="1160">
        <f>BJ9+BJ10+BJ11</f>
        <v>228.744</v>
      </c>
      <c r="BK12" s="1160">
        <f>BK9+BK10+BK11</f>
        <v>234.2928</v>
      </c>
      <c r="BL12" s="1227">
        <f>BL9+BL10+BL11</f>
        <v>239.75136000000001</v>
      </c>
    </row>
    <row r="13" spans="2:64" x14ac:dyDescent="0.15">
      <c r="B13" s="1151" t="s">
        <v>255</v>
      </c>
      <c r="C13" s="1152"/>
      <c r="D13" s="1153"/>
      <c r="J13" s="1154">
        <v>0</v>
      </c>
      <c r="K13" s="1155">
        <v>0</v>
      </c>
      <c r="L13" s="1155">
        <v>0</v>
      </c>
      <c r="M13" s="1155">
        <v>0</v>
      </c>
      <c r="N13" s="1240"/>
      <c r="O13" s="1241">
        <f t="shared" ref="O13:BG13" si="20">O12/J12-1</f>
        <v>4.7337278106508895E-2</v>
      </c>
      <c r="P13" s="1241">
        <f t="shared" si="20"/>
        <v>5.2941176470588269E-2</v>
      </c>
      <c r="Q13" s="1241">
        <f t="shared" si="20"/>
        <v>5.232558139534893E-2</v>
      </c>
      <c r="R13" s="1241">
        <f t="shared" si="20"/>
        <v>5.6497175141242861E-2</v>
      </c>
      <c r="S13" s="1242">
        <f t="shared" si="20"/>
        <v>5.6497175141242861E-2</v>
      </c>
      <c r="T13" s="1241">
        <f t="shared" si="20"/>
        <v>6.2146892655367214E-2</v>
      </c>
      <c r="U13" s="1241">
        <f t="shared" si="20"/>
        <v>5.5865921787709549E-2</v>
      </c>
      <c r="V13" s="1241">
        <f t="shared" si="20"/>
        <v>4.4198895027624419E-2</v>
      </c>
      <c r="W13" s="1243">
        <f t="shared" si="20"/>
        <v>3.7433155080213831E-2</v>
      </c>
      <c r="X13" s="1242">
        <f t="shared" si="20"/>
        <v>3.7433155080213831E-2</v>
      </c>
      <c r="Y13" s="1241">
        <f t="shared" si="20"/>
        <v>3.1914893617021267E-2</v>
      </c>
      <c r="Z13" s="1241">
        <f t="shared" si="20"/>
        <v>2.1164021164021163E-2</v>
      </c>
      <c r="AA13" s="1241">
        <f t="shared" si="20"/>
        <v>2.6455026455026509E-2</v>
      </c>
      <c r="AB13" s="1243">
        <f t="shared" si="20"/>
        <v>2.5773195876288568E-2</v>
      </c>
      <c r="AC13" s="1242">
        <f t="shared" si="20"/>
        <v>2.5773195876288568E-2</v>
      </c>
      <c r="AD13" s="1241">
        <f t="shared" si="20"/>
        <v>2.5773195876288568E-2</v>
      </c>
      <c r="AE13" s="1241">
        <f t="shared" si="20"/>
        <v>2.5906735751295429E-2</v>
      </c>
      <c r="AF13" s="1241">
        <f t="shared" si="20"/>
        <v>2.5773195876288568E-2</v>
      </c>
      <c r="AG13" s="1243">
        <f t="shared" si="20"/>
        <v>1.0050251256281451E-2</v>
      </c>
      <c r="AH13" s="1242">
        <f t="shared" si="20"/>
        <v>1.0050251256281451E-2</v>
      </c>
      <c r="AI13" s="1241">
        <f t="shared" si="20"/>
        <v>1.0050251256281451E-2</v>
      </c>
      <c r="AJ13" s="1241">
        <f t="shared" si="20"/>
        <v>2.020202020202011E-2</v>
      </c>
      <c r="AK13" s="1241">
        <f t="shared" si="20"/>
        <v>2.0100502512562901E-2</v>
      </c>
      <c r="AL13" s="1243">
        <f t="shared" si="20"/>
        <v>2.4875621890547261E-2</v>
      </c>
      <c r="AM13" s="1242">
        <f t="shared" si="20"/>
        <v>2.4875621890547261E-2</v>
      </c>
      <c r="AN13" s="1241">
        <f t="shared" si="20"/>
        <v>2.4875621890547261E-2</v>
      </c>
      <c r="AO13" s="1241">
        <f t="shared" si="20"/>
        <v>1.980198019801982E-2</v>
      </c>
      <c r="AP13" s="1241">
        <f t="shared" si="20"/>
        <v>9.8522167487684609E-3</v>
      </c>
      <c r="AQ13" s="1243">
        <f t="shared" si="20"/>
        <v>0</v>
      </c>
      <c r="AR13" s="1242">
        <f t="shared" si="20"/>
        <v>0</v>
      </c>
      <c r="AS13" s="1241">
        <f t="shared" si="20"/>
        <v>4.8543689320388328E-3</v>
      </c>
      <c r="AT13" s="1241">
        <f t="shared" si="20"/>
        <v>4.8543689320388328E-3</v>
      </c>
      <c r="AU13" s="1241">
        <f t="shared" si="20"/>
        <v>9.7560975609756184E-3</v>
      </c>
      <c r="AV13" s="1243">
        <f t="shared" si="20"/>
        <v>9.7087378640776656E-3</v>
      </c>
      <c r="AW13" s="1242">
        <f t="shared" si="20"/>
        <v>9.7087378640776656E-3</v>
      </c>
      <c r="AX13" s="1241">
        <f t="shared" si="20"/>
        <v>4.8309178743961567E-3</v>
      </c>
      <c r="AY13" s="1241">
        <f t="shared" si="20"/>
        <v>4.8309178743961567E-3</v>
      </c>
      <c r="AZ13" s="1241">
        <f t="shared" si="20"/>
        <v>9.6618357487923134E-3</v>
      </c>
      <c r="BA13" s="1243">
        <f t="shared" si="20"/>
        <v>1.4423076923076872E-2</v>
      </c>
      <c r="BB13" s="1242">
        <f t="shared" si="20"/>
        <v>1.4423076923076872E-2</v>
      </c>
      <c r="BC13" s="1241">
        <f t="shared" si="20"/>
        <v>9.6153846153845812E-3</v>
      </c>
      <c r="BD13" s="1241">
        <f t="shared" si="20"/>
        <v>1.4423076923076872E-2</v>
      </c>
      <c r="BE13" s="1241">
        <f t="shared" si="20"/>
        <v>1.9138755980861344E-2</v>
      </c>
      <c r="BF13" s="1243">
        <f t="shared" si="20"/>
        <v>2.3696682464454888E-2</v>
      </c>
      <c r="BG13" s="1242">
        <f t="shared" si="20"/>
        <v>2.3696682464454888E-2</v>
      </c>
      <c r="BH13" s="1034">
        <f>BH12/BG12-1</f>
        <v>1.6666666666666607E-2</v>
      </c>
      <c r="BI13" s="1034">
        <f>BI12/BH12-1</f>
        <v>2.0582877959927082E-2</v>
      </c>
      <c r="BJ13" s="1034">
        <f>BJ12/BI12-1</f>
        <v>2.063180439050516E-2</v>
      </c>
      <c r="BK13" s="1034">
        <f>BK12/BJ12-1</f>
        <v>2.4257685447487187E-2</v>
      </c>
      <c r="BL13" s="1244">
        <f>BL12/BK12-1</f>
        <v>2.3298027084059036E-2</v>
      </c>
    </row>
    <row r="14" spans="2:64" x14ac:dyDescent="0.15">
      <c r="B14" s="1156" t="s">
        <v>256</v>
      </c>
      <c r="C14" s="1157"/>
      <c r="D14" s="1158"/>
      <c r="E14" s="1013"/>
      <c r="F14" s="1013"/>
      <c r="G14" s="1013"/>
      <c r="H14" s="1013"/>
      <c r="I14" s="1013"/>
      <c r="J14" s="1159">
        <f t="shared" ref="J14:M14" si="21">AVERAGE(J9,J12)</f>
        <v>168.5</v>
      </c>
      <c r="K14" s="1160">
        <f t="shared" si="21"/>
        <v>169.5</v>
      </c>
      <c r="L14" s="1160">
        <f t="shared" si="21"/>
        <v>171</v>
      </c>
      <c r="M14" s="1160">
        <f t="shared" si="21"/>
        <v>174.5</v>
      </c>
      <c r="N14" s="1161">
        <f>AVERAGE(J14,K14,L14,M14)</f>
        <v>170.875</v>
      </c>
      <c r="O14" s="1162">
        <f t="shared" ref="O14:R14" si="22">AVERAGE(O9,O12)</f>
        <v>177</v>
      </c>
      <c r="P14" s="1162">
        <f t="shared" si="22"/>
        <v>178</v>
      </c>
      <c r="Q14" s="1162">
        <f t="shared" si="22"/>
        <v>180</v>
      </c>
      <c r="R14" s="1162">
        <f t="shared" si="22"/>
        <v>184</v>
      </c>
      <c r="S14" s="1062">
        <f>AVERAGE(O14,P14,Q14,R14)</f>
        <v>179.75</v>
      </c>
      <c r="T14" s="1162">
        <f t="shared" ref="T14:W14" si="23">AVERAGE(T9,T12)</f>
        <v>187.5</v>
      </c>
      <c r="U14" s="1162">
        <f t="shared" si="23"/>
        <v>188.5</v>
      </c>
      <c r="V14" s="1162">
        <f t="shared" si="23"/>
        <v>189</v>
      </c>
      <c r="W14" s="1163">
        <f t="shared" si="23"/>
        <v>191.5</v>
      </c>
      <c r="X14" s="1062">
        <f>AVERAGE(T14,U14,V14,W14)</f>
        <v>189.125</v>
      </c>
      <c r="Y14" s="1162">
        <f t="shared" ref="Y14:AB14" si="24">AVERAGE(Y9,Y12)</f>
        <v>194</v>
      </c>
      <c r="Z14" s="1162">
        <f t="shared" si="24"/>
        <v>193.5</v>
      </c>
      <c r="AA14" s="1162">
        <f t="shared" si="24"/>
        <v>193.5</v>
      </c>
      <c r="AB14" s="1163">
        <f t="shared" si="24"/>
        <v>196.5</v>
      </c>
      <c r="AC14" s="1062">
        <f>AVERAGE(Y14,Z14,AA14,AB14)</f>
        <v>194.375</v>
      </c>
      <c r="AD14" s="1162">
        <f t="shared" ref="AD14:AG14" si="25">AVERAGE(AD9,AD12)</f>
        <v>199</v>
      </c>
      <c r="AE14" s="1162">
        <f t="shared" si="25"/>
        <v>198.5</v>
      </c>
      <c r="AF14" s="1162">
        <f t="shared" si="25"/>
        <v>198.5</v>
      </c>
      <c r="AG14" s="1163">
        <f t="shared" si="25"/>
        <v>200</v>
      </c>
      <c r="AH14" s="1062">
        <f>AVERAGE(AD14,AE14,AF14,AG14)</f>
        <v>199</v>
      </c>
      <c r="AI14" s="1162">
        <f t="shared" ref="AI14:AL14" si="26">AVERAGE(AI9,AI12)</f>
        <v>201</v>
      </c>
      <c r="AJ14" s="1162">
        <f t="shared" si="26"/>
        <v>201.5</v>
      </c>
      <c r="AK14" s="1162">
        <f t="shared" si="26"/>
        <v>202.5</v>
      </c>
      <c r="AL14" s="1163">
        <f t="shared" si="26"/>
        <v>204.5</v>
      </c>
      <c r="AM14" s="1062">
        <f>AVERAGE(AI14,AJ14,AK14,AL14)</f>
        <v>202.375</v>
      </c>
      <c r="AN14" s="1162">
        <f t="shared" ref="AN14:AQ14" si="27">AVERAGE(AN9,AN12)</f>
        <v>206</v>
      </c>
      <c r="AO14" s="1162">
        <f t="shared" si="27"/>
        <v>206</v>
      </c>
      <c r="AP14" s="1162">
        <f t="shared" si="27"/>
        <v>205.5</v>
      </c>
      <c r="AQ14" s="1163">
        <f t="shared" si="27"/>
        <v>205.5</v>
      </c>
      <c r="AR14" s="1062">
        <f>AVERAGE(AN14,AO14,AP14,AQ14)</f>
        <v>205.75</v>
      </c>
      <c r="AS14" s="1162">
        <f t="shared" ref="AS14:AV14" si="28">AVERAGE(AS9,AS12)</f>
        <v>206.5</v>
      </c>
      <c r="AT14" s="1162">
        <f t="shared" si="28"/>
        <v>207</v>
      </c>
      <c r="AU14" s="1162">
        <f t="shared" si="28"/>
        <v>207</v>
      </c>
      <c r="AV14" s="1163">
        <f t="shared" si="28"/>
        <v>207.5</v>
      </c>
      <c r="AW14" s="1062">
        <f>AVERAGE(AS14,AT14,AU14,AV14)</f>
        <v>207</v>
      </c>
      <c r="AX14" s="1162">
        <f t="shared" ref="AX14:BA14" si="29">AVERAGE(AX9,AX12)</f>
        <v>208</v>
      </c>
      <c r="AY14" s="1162">
        <f t="shared" si="29"/>
        <v>208</v>
      </c>
      <c r="AZ14" s="1162">
        <f t="shared" si="29"/>
        <v>208.5</v>
      </c>
      <c r="BA14" s="1163">
        <f t="shared" si="29"/>
        <v>210</v>
      </c>
      <c r="BB14" s="1062">
        <f>AVERAGE(AX14,AY14,AZ14,BA14)</f>
        <v>208.625</v>
      </c>
      <c r="BC14" s="1162">
        <f t="shared" ref="BC14:BF14" si="30">AVERAGE(BC9,BC12)</f>
        <v>210.5</v>
      </c>
      <c r="BD14" s="1162">
        <f t="shared" si="30"/>
        <v>210.5</v>
      </c>
      <c r="BE14" s="1162">
        <f t="shared" si="30"/>
        <v>212</v>
      </c>
      <c r="BF14" s="1163">
        <f t="shared" si="30"/>
        <v>214.5</v>
      </c>
      <c r="BG14" s="1062">
        <f>AVERAGE(BC14,BD14,BE14,BF14)</f>
        <v>211.875</v>
      </c>
      <c r="BH14" s="1160">
        <f>AVERAGE(BH9,BH12)</f>
        <v>217.8</v>
      </c>
      <c r="BI14" s="1160">
        <f>AVERAGE(BI9,BI12)</f>
        <v>221.86</v>
      </c>
      <c r="BJ14" s="1160">
        <f>AVERAGE(BJ9,BJ12)</f>
        <v>226.43200000000002</v>
      </c>
      <c r="BK14" s="1160">
        <f>AVERAGE(BK9,BK12)</f>
        <v>231.51839999999999</v>
      </c>
      <c r="BL14" s="1227">
        <f>AVERAGE(BL9,BL12)</f>
        <v>237.02208000000002</v>
      </c>
    </row>
    <row r="15" spans="2:64" x14ac:dyDescent="0.15">
      <c r="B15" s="1138"/>
      <c r="J15" s="1164"/>
      <c r="K15" s="1045"/>
      <c r="L15" s="1045"/>
      <c r="M15" s="1045"/>
      <c r="N15" s="1168"/>
      <c r="O15" s="1013"/>
      <c r="P15" s="1013"/>
      <c r="Q15" s="1013"/>
      <c r="R15" s="1013"/>
      <c r="S15" s="1013"/>
      <c r="T15" s="1013"/>
      <c r="U15" s="1013"/>
      <c r="V15" s="1013"/>
      <c r="W15" s="1013"/>
      <c r="X15" s="1013"/>
      <c r="Y15" s="1013"/>
      <c r="Z15" s="1013"/>
      <c r="AA15" s="1013"/>
      <c r="AB15" s="1013"/>
      <c r="AC15" s="1013"/>
      <c r="AD15" s="1013"/>
      <c r="AE15" s="1013"/>
      <c r="AF15" s="1013"/>
      <c r="AG15" s="1013"/>
      <c r="AH15" s="1013"/>
      <c r="AI15" s="1013"/>
      <c r="AJ15" s="1013"/>
      <c r="AK15" s="1013"/>
      <c r="AL15" s="1013"/>
      <c r="AM15" s="1013"/>
      <c r="AN15" s="1013"/>
      <c r="AO15" s="1013"/>
      <c r="AP15" s="1013"/>
      <c r="AQ15" s="1013"/>
      <c r="AR15" s="1013"/>
      <c r="AS15" s="1013"/>
      <c r="AT15" s="1013"/>
      <c r="AU15" s="1013"/>
      <c r="AV15" s="1013"/>
      <c r="AW15" s="1013"/>
      <c r="AX15" s="1013"/>
      <c r="AY15" s="1013"/>
      <c r="AZ15" s="1013"/>
      <c r="BA15" s="1013"/>
      <c r="BB15" s="1013"/>
      <c r="BC15" s="1013"/>
      <c r="BD15" s="1013"/>
      <c r="BE15" s="1013"/>
      <c r="BF15" s="1013"/>
      <c r="BG15" s="1013"/>
      <c r="BH15" s="1013"/>
      <c r="BI15" s="1013"/>
      <c r="BJ15" s="1013"/>
      <c r="BK15" s="1013"/>
      <c r="BL15" s="1245"/>
    </row>
    <row r="16" spans="2:64" x14ac:dyDescent="0.15">
      <c r="B16" s="1138"/>
      <c r="J16" s="1164"/>
      <c r="K16" s="1045"/>
      <c r="L16" s="1045"/>
      <c r="M16" s="1045"/>
      <c r="N16" s="1168"/>
      <c r="O16" s="1013"/>
      <c r="P16" s="1013"/>
      <c r="Q16" s="1013"/>
      <c r="R16" s="1013"/>
      <c r="S16" s="1013"/>
      <c r="T16" s="1013"/>
      <c r="U16" s="1013"/>
      <c r="V16" s="1013"/>
      <c r="W16" s="1013"/>
      <c r="X16" s="1013"/>
      <c r="Y16" s="1013"/>
      <c r="Z16" s="1013"/>
      <c r="AA16" s="1013"/>
      <c r="AB16" s="1013"/>
      <c r="AC16" s="1013"/>
      <c r="AD16" s="1013"/>
      <c r="AE16" s="1013"/>
      <c r="AF16" s="1013"/>
      <c r="AG16" s="1013"/>
      <c r="AH16" s="1013"/>
      <c r="AI16" s="1013"/>
      <c r="AJ16" s="1013"/>
      <c r="AK16" s="1013"/>
      <c r="AL16" s="1013"/>
      <c r="AM16" s="1013"/>
      <c r="AN16" s="1013"/>
      <c r="AO16" s="1013"/>
      <c r="AP16" s="1013"/>
      <c r="AQ16" s="1013"/>
      <c r="AR16" s="1013"/>
      <c r="AS16" s="1013"/>
      <c r="AT16" s="1013"/>
      <c r="AU16" s="1013"/>
      <c r="AV16" s="1013"/>
      <c r="AW16" s="1013"/>
      <c r="AX16" s="1013"/>
      <c r="AY16" s="1013"/>
      <c r="AZ16" s="1013"/>
      <c r="BA16" s="1013"/>
      <c r="BB16" s="1013"/>
      <c r="BC16" s="1013"/>
      <c r="BD16" s="1013"/>
      <c r="BE16" s="1013"/>
      <c r="BF16" s="1013"/>
      <c r="BG16" s="1013"/>
      <c r="BH16" s="1013"/>
      <c r="BI16" s="1013"/>
      <c r="BJ16" s="1013"/>
      <c r="BK16" s="1013"/>
      <c r="BL16" s="1245"/>
    </row>
    <row r="17" spans="2:64" x14ac:dyDescent="0.15">
      <c r="B17" s="1138" t="s">
        <v>257</v>
      </c>
      <c r="J17" s="1165">
        <v>0</v>
      </c>
      <c r="K17" s="1166">
        <v>0</v>
      </c>
      <c r="L17" s="1166">
        <v>0</v>
      </c>
      <c r="M17" s="1166">
        <v>0</v>
      </c>
      <c r="N17" s="1237">
        <v>8886</v>
      </c>
      <c r="O17" s="1238">
        <v>2301</v>
      </c>
      <c r="P17" s="1238">
        <v>2310</v>
      </c>
      <c r="Q17" s="1238">
        <v>2336</v>
      </c>
      <c r="R17" s="1238">
        <v>2394</v>
      </c>
      <c r="S17" s="1239">
        <v>9341</v>
      </c>
      <c r="T17" s="1238">
        <v>2436</v>
      </c>
      <c r="U17" s="1238">
        <v>2448</v>
      </c>
      <c r="V17" s="1238">
        <v>2457</v>
      </c>
      <c r="W17" s="1163">
        <f>X17-SUM(T17,U17,V17)</f>
        <v>2690</v>
      </c>
      <c r="X17" s="1239">
        <v>10031</v>
      </c>
      <c r="Y17" s="1238">
        <v>2522</v>
      </c>
      <c r="Z17" s="1238">
        <v>2517</v>
      </c>
      <c r="AA17" s="1238">
        <v>2511</v>
      </c>
      <c r="AB17" s="1163">
        <f>AC17-SUM(Y17,Z17,AA17)</f>
        <v>2552</v>
      </c>
      <c r="AC17" s="1239">
        <v>10102</v>
      </c>
      <c r="AD17" s="1238">
        <v>2587</v>
      </c>
      <c r="AE17" s="1238">
        <v>2582</v>
      </c>
      <c r="AF17" s="1238">
        <v>2580</v>
      </c>
      <c r="AG17" s="1238">
        <v>2595</v>
      </c>
      <c r="AH17" s="1239">
        <v>10344</v>
      </c>
      <c r="AI17" s="1238">
        <v>2613</v>
      </c>
      <c r="AJ17" s="1238">
        <v>2624</v>
      </c>
      <c r="AK17" s="1238">
        <v>2628</v>
      </c>
      <c r="AL17" s="1238">
        <v>2655</v>
      </c>
      <c r="AM17" s="1239">
        <v>10520</v>
      </c>
      <c r="AN17" s="1238">
        <v>2674</v>
      </c>
      <c r="AO17" s="1238">
        <v>2640</v>
      </c>
      <c r="AP17" s="1238">
        <v>2662</v>
      </c>
      <c r="AQ17" s="1238">
        <v>2666</v>
      </c>
      <c r="AR17" s="1239">
        <v>10642</v>
      </c>
      <c r="AS17" s="1238">
        <v>2678</v>
      </c>
      <c r="AT17" s="1238">
        <v>2691</v>
      </c>
      <c r="AU17" s="1238">
        <v>2689</v>
      </c>
      <c r="AV17" s="1238">
        <v>2700</v>
      </c>
      <c r="AW17" s="1239">
        <v>10758</v>
      </c>
      <c r="AX17" s="1238">
        <v>2704</v>
      </c>
      <c r="AY17" s="1238">
        <v>2704</v>
      </c>
      <c r="AZ17" s="1238">
        <v>2705</v>
      </c>
      <c r="BA17" s="1238">
        <v>2939</v>
      </c>
      <c r="BB17" s="1239">
        <v>11052</v>
      </c>
      <c r="BC17" s="1238">
        <v>2737</v>
      </c>
      <c r="BD17" s="1238">
        <v>2734</v>
      </c>
      <c r="BE17" s="1238">
        <v>2756</v>
      </c>
      <c r="BF17" s="1238">
        <v>2783</v>
      </c>
      <c r="BG17" s="1239">
        <v>11010</v>
      </c>
      <c r="BH17" s="1246">
        <f>BH14*BH18</f>
        <v>11352.464357667544</v>
      </c>
      <c r="BI17" s="1246">
        <f>BI14*BI18</f>
        <v>11570.325559098805</v>
      </c>
      <c r="BJ17" s="1246">
        <f>BJ14*BJ18</f>
        <v>11828.167634988004</v>
      </c>
      <c r="BK17" s="1246">
        <f>BK14*BK18</f>
        <v>12106.190927843772</v>
      </c>
      <c r="BL17" s="1247">
        <f>BL14*BL18</f>
        <v>12361.507171916104</v>
      </c>
    </row>
    <row r="18" spans="2:64" x14ac:dyDescent="0.15">
      <c r="B18" s="1138" t="s">
        <v>258</v>
      </c>
      <c r="J18" s="1148">
        <f>J17/J14</f>
        <v>0</v>
      </c>
      <c r="K18" s="1149">
        <f t="shared" ref="K18:BG18" si="31">K17/K14</f>
        <v>0</v>
      </c>
      <c r="L18" s="1149">
        <f t="shared" si="31"/>
        <v>0</v>
      </c>
      <c r="M18" s="1149">
        <f t="shared" si="31"/>
        <v>0</v>
      </c>
      <c r="N18" s="1248">
        <f t="shared" si="31"/>
        <v>52.002926115581566</v>
      </c>
      <c r="O18" s="1162">
        <f t="shared" si="31"/>
        <v>13</v>
      </c>
      <c r="P18" s="1162">
        <f t="shared" si="31"/>
        <v>12.97752808988764</v>
      </c>
      <c r="Q18" s="1162">
        <f t="shared" si="31"/>
        <v>12.977777777777778</v>
      </c>
      <c r="R18" s="1162">
        <f t="shared" si="31"/>
        <v>13.010869565217391</v>
      </c>
      <c r="S18" s="1162">
        <f t="shared" si="31"/>
        <v>51.966620305980527</v>
      </c>
      <c r="T18" s="1162">
        <f t="shared" si="31"/>
        <v>12.992000000000001</v>
      </c>
      <c r="U18" s="1162">
        <f t="shared" si="31"/>
        <v>12.986737400530505</v>
      </c>
      <c r="V18" s="1162">
        <f t="shared" si="31"/>
        <v>13</v>
      </c>
      <c r="W18" s="1162">
        <f t="shared" si="31"/>
        <v>14.046997389033942</v>
      </c>
      <c r="X18" s="1162">
        <f t="shared" si="31"/>
        <v>53.038995373430268</v>
      </c>
      <c r="Y18" s="1162">
        <f t="shared" si="31"/>
        <v>13</v>
      </c>
      <c r="Z18" s="1162">
        <f t="shared" si="31"/>
        <v>13.007751937984496</v>
      </c>
      <c r="AA18" s="1162">
        <f t="shared" si="31"/>
        <v>12.976744186046512</v>
      </c>
      <c r="AB18" s="1162">
        <f t="shared" si="31"/>
        <v>12.987277353689567</v>
      </c>
      <c r="AC18" s="1162">
        <f t="shared" si="31"/>
        <v>51.971704180064307</v>
      </c>
      <c r="AD18" s="1162">
        <f t="shared" si="31"/>
        <v>13</v>
      </c>
      <c r="AE18" s="1162">
        <f t="shared" si="31"/>
        <v>13.007556675062972</v>
      </c>
      <c r="AF18" s="1162">
        <f t="shared" si="31"/>
        <v>12.997481108312343</v>
      </c>
      <c r="AG18" s="1162">
        <f t="shared" si="31"/>
        <v>12.975</v>
      </c>
      <c r="AH18" s="1162">
        <f t="shared" si="31"/>
        <v>51.979899497487438</v>
      </c>
      <c r="AI18" s="1162">
        <f t="shared" si="31"/>
        <v>13</v>
      </c>
      <c r="AJ18" s="1162">
        <f t="shared" si="31"/>
        <v>13.022332506203474</v>
      </c>
      <c r="AK18" s="1162">
        <f t="shared" si="31"/>
        <v>12.977777777777778</v>
      </c>
      <c r="AL18" s="1162">
        <f t="shared" si="31"/>
        <v>12.982885085574573</v>
      </c>
      <c r="AM18" s="1162">
        <f t="shared" si="31"/>
        <v>51.982705373687459</v>
      </c>
      <c r="AN18" s="1162">
        <f t="shared" si="31"/>
        <v>12.980582524271844</v>
      </c>
      <c r="AO18" s="1162">
        <f t="shared" si="31"/>
        <v>12.815533980582524</v>
      </c>
      <c r="AP18" s="1162">
        <f t="shared" si="31"/>
        <v>12.953771289537713</v>
      </c>
      <c r="AQ18" s="1162">
        <f t="shared" si="31"/>
        <v>12.973236009732361</v>
      </c>
      <c r="AR18" s="1162">
        <f t="shared" si="31"/>
        <v>51.722964763061967</v>
      </c>
      <c r="AS18" s="1162">
        <f t="shared" si="31"/>
        <v>12.968523002421307</v>
      </c>
      <c r="AT18" s="1162">
        <f t="shared" si="31"/>
        <v>13</v>
      </c>
      <c r="AU18" s="1162">
        <f t="shared" si="31"/>
        <v>12.990338164251208</v>
      </c>
      <c r="AV18" s="1162">
        <f t="shared" si="31"/>
        <v>13.012048192771084</v>
      </c>
      <c r="AW18" s="1162">
        <f t="shared" si="31"/>
        <v>51.971014492753625</v>
      </c>
      <c r="AX18" s="1162">
        <f t="shared" si="31"/>
        <v>13</v>
      </c>
      <c r="AY18" s="1162">
        <f t="shared" si="31"/>
        <v>13</v>
      </c>
      <c r="AZ18" s="1162">
        <f t="shared" si="31"/>
        <v>12.973621103117505</v>
      </c>
      <c r="BA18" s="1162">
        <f t="shared" si="31"/>
        <v>13.995238095238095</v>
      </c>
      <c r="BB18" s="1162">
        <f t="shared" si="31"/>
        <v>52.975434391851408</v>
      </c>
      <c r="BC18" s="1162">
        <f t="shared" si="31"/>
        <v>13.002375296912113</v>
      </c>
      <c r="BD18" s="1162">
        <f t="shared" si="31"/>
        <v>12.98812351543943</v>
      </c>
      <c r="BE18" s="1162">
        <f t="shared" si="31"/>
        <v>13</v>
      </c>
      <c r="BF18" s="1162">
        <f t="shared" si="31"/>
        <v>12.974358974358974</v>
      </c>
      <c r="BG18" s="1162">
        <f t="shared" si="31"/>
        <v>51.964601769911503</v>
      </c>
      <c r="BH18" s="1020">
        <f>AVERAGE(BG18,BB18,AW18,AR18,AM18)</f>
        <v>52.12334415825319</v>
      </c>
      <c r="BI18" s="1020">
        <f>AVERAGE(BH18,BG18,BB18,AW18,AR18)</f>
        <v>52.15147191516634</v>
      </c>
      <c r="BJ18" s="1020">
        <f>AVERAGE(BI18,BH18,BG18,BB18,AW18)</f>
        <v>52.237173345587209</v>
      </c>
      <c r="BK18" s="1020">
        <f>AVERAGE(BJ18,BI18,BH18,BG18,BB18)</f>
        <v>52.290405116153934</v>
      </c>
      <c r="BL18" s="1236">
        <f>AVERAGE(BK18,BJ18,BI18,BH18,BG18)</f>
        <v>52.153399261014428</v>
      </c>
    </row>
    <row r="19" spans="2:64" x14ac:dyDescent="0.15">
      <c r="B19" s="1138"/>
      <c r="J19" s="1148"/>
      <c r="K19" s="1149"/>
      <c r="L19" s="1149"/>
      <c r="M19" s="1149"/>
      <c r="N19" s="1248"/>
      <c r="O19" s="1162"/>
      <c r="P19" s="1162"/>
      <c r="Q19" s="1162"/>
      <c r="R19" s="1162"/>
      <c r="S19" s="1162"/>
      <c r="T19" s="1162"/>
      <c r="U19" s="1162"/>
      <c r="V19" s="1162"/>
      <c r="W19" s="1162"/>
      <c r="X19" s="1162"/>
      <c r="Y19" s="1162"/>
      <c r="Z19" s="1162"/>
      <c r="AA19" s="1162"/>
      <c r="AB19" s="1162"/>
      <c r="AC19" s="1162"/>
      <c r="AD19" s="1162"/>
      <c r="AE19" s="1162"/>
      <c r="AF19" s="1162"/>
      <c r="AG19" s="1162"/>
      <c r="AH19" s="1162"/>
      <c r="AI19" s="1162"/>
      <c r="AJ19" s="1162"/>
      <c r="AK19" s="1162"/>
      <c r="AL19" s="1162"/>
      <c r="AM19" s="1162"/>
      <c r="AN19" s="1162"/>
      <c r="AO19" s="1162"/>
      <c r="AP19" s="1162"/>
      <c r="AQ19" s="1162"/>
      <c r="AR19" s="1162"/>
      <c r="AS19" s="1162"/>
      <c r="AT19" s="1162"/>
      <c r="AU19" s="1162"/>
      <c r="AV19" s="1162"/>
      <c r="AW19" s="1162"/>
      <c r="AX19" s="1162"/>
      <c r="AY19" s="1162"/>
      <c r="AZ19" s="1162"/>
      <c r="BA19" s="1162"/>
      <c r="BB19" s="1162"/>
      <c r="BC19" s="1162"/>
      <c r="BD19" s="1162"/>
      <c r="BE19" s="1162"/>
      <c r="BF19" s="1162"/>
      <c r="BG19" s="1162"/>
      <c r="BH19" s="1013"/>
      <c r="BI19" s="1013"/>
      <c r="BJ19" s="1013"/>
      <c r="BK19" s="1013"/>
      <c r="BL19" s="1245"/>
    </row>
    <row r="20" spans="2:64" x14ac:dyDescent="0.15">
      <c r="B20" s="1167" t="s">
        <v>259</v>
      </c>
      <c r="J20" s="1164"/>
      <c r="K20" s="1045"/>
      <c r="L20" s="1045"/>
      <c r="M20" s="1045"/>
      <c r="N20" s="1168"/>
      <c r="O20" s="1013"/>
      <c r="P20" s="1013"/>
      <c r="Q20" s="1013"/>
      <c r="R20" s="1013"/>
      <c r="S20" s="1013"/>
      <c r="T20" s="1013"/>
      <c r="U20" s="1013"/>
      <c r="V20" s="1013"/>
      <c r="W20" s="1013"/>
      <c r="X20" s="1013"/>
      <c r="Y20" s="1013"/>
      <c r="Z20" s="1013"/>
      <c r="AA20" s="1013"/>
      <c r="AB20" s="1013"/>
      <c r="AC20" s="1013"/>
      <c r="AD20" s="1013"/>
      <c r="AE20" s="1013"/>
      <c r="AF20" s="1013"/>
      <c r="AG20" s="1013"/>
      <c r="AH20" s="1013"/>
      <c r="AI20" s="1013"/>
      <c r="AJ20" s="1013"/>
      <c r="AK20" s="1013"/>
      <c r="AL20" s="1013"/>
      <c r="AM20" s="1013"/>
      <c r="AN20" s="1013"/>
      <c r="AO20" s="1013"/>
      <c r="AP20" s="1013"/>
      <c r="AQ20" s="1013"/>
      <c r="AR20" s="1013"/>
      <c r="AS20" s="1013"/>
      <c r="AT20" s="1013"/>
      <c r="AU20" s="1013"/>
      <c r="AV20" s="1013"/>
      <c r="AW20" s="1013"/>
      <c r="AX20" s="1013"/>
      <c r="AY20" s="1013"/>
      <c r="AZ20" s="1013"/>
      <c r="BA20" s="1013"/>
      <c r="BB20" s="1013"/>
      <c r="BC20" s="1013"/>
      <c r="BD20" s="1013"/>
      <c r="BE20" s="1013"/>
      <c r="BF20" s="1013"/>
      <c r="BG20" s="1013"/>
      <c r="BH20" s="1013"/>
      <c r="BI20" s="1013"/>
      <c r="BJ20" s="1013"/>
      <c r="BK20" s="1013"/>
      <c r="BL20" s="1245"/>
    </row>
    <row r="21" spans="2:64" x14ac:dyDescent="0.15">
      <c r="B21" s="1138" t="s">
        <v>260</v>
      </c>
      <c r="J21" s="1164"/>
      <c r="K21" s="1045"/>
      <c r="L21" s="1045"/>
      <c r="M21" s="1045"/>
      <c r="N21" s="1161">
        <v>0</v>
      </c>
      <c r="O21" s="1062">
        <v>0</v>
      </c>
      <c r="P21" s="1062">
        <v>0</v>
      </c>
      <c r="Q21" s="1062">
        <v>0</v>
      </c>
      <c r="R21" s="1062">
        <v>0</v>
      </c>
      <c r="S21" s="1062">
        <v>0</v>
      </c>
      <c r="T21" s="1062">
        <v>0</v>
      </c>
      <c r="U21" s="1062">
        <v>0</v>
      </c>
      <c r="V21" s="1062">
        <v>0</v>
      </c>
      <c r="W21" s="1062">
        <v>0</v>
      </c>
      <c r="X21" s="1062">
        <v>0</v>
      </c>
      <c r="Y21" s="1062">
        <v>0</v>
      </c>
      <c r="Z21" s="1062">
        <v>0</v>
      </c>
      <c r="AA21" s="1062">
        <v>0</v>
      </c>
      <c r="AB21" s="1062">
        <v>0</v>
      </c>
      <c r="AC21" s="1062">
        <v>0</v>
      </c>
      <c r="AD21" s="1062">
        <v>0</v>
      </c>
      <c r="AE21" s="1062">
        <v>0</v>
      </c>
      <c r="AF21" s="1062">
        <v>0</v>
      </c>
      <c r="AG21" s="1062">
        <v>0</v>
      </c>
      <c r="AH21" s="1062">
        <v>0</v>
      </c>
      <c r="AI21" s="1062">
        <v>0</v>
      </c>
      <c r="AJ21" s="1062">
        <v>0</v>
      </c>
      <c r="AK21" s="1062">
        <v>0</v>
      </c>
      <c r="AL21" s="1062">
        <v>0</v>
      </c>
      <c r="AM21" s="1062">
        <v>0</v>
      </c>
      <c r="AN21" s="1062">
        <v>0</v>
      </c>
      <c r="AO21" s="1062">
        <v>0</v>
      </c>
      <c r="AP21" s="1062">
        <v>0</v>
      </c>
      <c r="AQ21" s="1062">
        <v>0</v>
      </c>
      <c r="AR21" s="1062">
        <v>0</v>
      </c>
      <c r="AS21" s="1062">
        <v>0</v>
      </c>
      <c r="AT21" s="1062">
        <v>0</v>
      </c>
      <c r="AU21" s="1062">
        <v>0</v>
      </c>
      <c r="AV21" s="1062">
        <v>0</v>
      </c>
      <c r="AW21" s="1062">
        <v>0</v>
      </c>
      <c r="AX21" s="1062">
        <v>0</v>
      </c>
      <c r="AY21" s="1062">
        <v>0</v>
      </c>
      <c r="AZ21" s="1062">
        <v>0</v>
      </c>
      <c r="BA21" s="1062">
        <v>0</v>
      </c>
      <c r="BB21" s="1062">
        <v>0</v>
      </c>
      <c r="BC21" s="1013"/>
      <c r="BD21" s="1013"/>
      <c r="BE21" s="1013"/>
      <c r="BF21" s="1013"/>
      <c r="BG21" s="1239">
        <f>BG41</f>
        <v>30.54</v>
      </c>
      <c r="BH21" s="1249">
        <f>BH41</f>
        <v>32.215905999999997</v>
      </c>
      <c r="BI21" s="1249">
        <f t="shared" ref="BI21:BL21" si="32">BI41</f>
        <v>33.791066700000002</v>
      </c>
      <c r="BJ21" s="1249">
        <f t="shared" si="32"/>
        <v>35.307629561799999</v>
      </c>
      <c r="BK21" s="1249">
        <f t="shared" si="32"/>
        <v>36.767202543886</v>
      </c>
      <c r="BL21" s="1250">
        <f t="shared" si="32"/>
        <v>38.271456479243859</v>
      </c>
    </row>
    <row r="22" spans="2:64" x14ac:dyDescent="0.15">
      <c r="B22" s="1138" t="s">
        <v>261</v>
      </c>
      <c r="J22" s="1164"/>
      <c r="K22" s="1045"/>
      <c r="L22" s="1045"/>
      <c r="M22" s="1045"/>
      <c r="N22" s="1161">
        <v>0</v>
      </c>
      <c r="O22" s="1062">
        <v>0</v>
      </c>
      <c r="P22" s="1062">
        <v>0</v>
      </c>
      <c r="Q22" s="1062">
        <v>0</v>
      </c>
      <c r="R22" s="1062">
        <v>0</v>
      </c>
      <c r="S22" s="1062">
        <v>0</v>
      </c>
      <c r="T22" s="1062">
        <v>0</v>
      </c>
      <c r="U22" s="1062">
        <v>0</v>
      </c>
      <c r="V22" s="1062">
        <v>0</v>
      </c>
      <c r="W22" s="1062">
        <v>0</v>
      </c>
      <c r="X22" s="1062">
        <v>0</v>
      </c>
      <c r="Y22" s="1062">
        <v>0</v>
      </c>
      <c r="Z22" s="1062">
        <v>0</v>
      </c>
      <c r="AA22" s="1062">
        <v>0</v>
      </c>
      <c r="AB22" s="1062">
        <v>0</v>
      </c>
      <c r="AC22" s="1062">
        <v>0</v>
      </c>
      <c r="AD22" s="1062">
        <v>0</v>
      </c>
      <c r="AE22" s="1062">
        <v>0</v>
      </c>
      <c r="AF22" s="1062">
        <v>0</v>
      </c>
      <c r="AG22" s="1062">
        <v>0</v>
      </c>
      <c r="AH22" s="1062">
        <v>0</v>
      </c>
      <c r="AI22" s="1062">
        <v>0</v>
      </c>
      <c r="AJ22" s="1062">
        <v>0</v>
      </c>
      <c r="AK22" s="1062">
        <v>0</v>
      </c>
      <c r="AL22" s="1062">
        <v>0</v>
      </c>
      <c r="AM22" s="1062">
        <v>0</v>
      </c>
      <c r="AN22" s="1062">
        <v>0</v>
      </c>
      <c r="AO22" s="1062">
        <v>0</v>
      </c>
      <c r="AP22" s="1062">
        <v>0</v>
      </c>
      <c r="AQ22" s="1062">
        <v>0</v>
      </c>
      <c r="AR22" s="1062">
        <v>0</v>
      </c>
      <c r="AS22" s="1062">
        <v>0</v>
      </c>
      <c r="AT22" s="1062">
        <v>0</v>
      </c>
      <c r="AU22" s="1062">
        <v>0</v>
      </c>
      <c r="AV22" s="1062">
        <v>0</v>
      </c>
      <c r="AW22" s="1062">
        <v>0</v>
      </c>
      <c r="AX22" s="1062">
        <v>0</v>
      </c>
      <c r="AY22" s="1062">
        <v>0</v>
      </c>
      <c r="AZ22" s="1062">
        <v>0</v>
      </c>
      <c r="BA22" s="1062">
        <v>0</v>
      </c>
      <c r="BB22" s="1062">
        <v>0</v>
      </c>
      <c r="BC22" s="1013"/>
      <c r="BD22" s="1013"/>
      <c r="BE22" s="1013"/>
      <c r="BF22" s="1013"/>
      <c r="BG22" s="1251">
        <f>BG50/BG21*1000</f>
        <v>7717.7739829303237</v>
      </c>
      <c r="BH22" s="1252">
        <f>BH24*BH23</f>
        <v>7824.9600000000009</v>
      </c>
      <c r="BI22" s="1252">
        <f t="shared" ref="BI22:BL22" si="33">BI24*BI23</f>
        <v>7925.2800000000016</v>
      </c>
      <c r="BJ22" s="1252">
        <f t="shared" si="33"/>
        <v>8025.6</v>
      </c>
      <c r="BK22" s="1252">
        <f t="shared" si="33"/>
        <v>8125.92</v>
      </c>
      <c r="BL22" s="1253">
        <f t="shared" si="33"/>
        <v>8226.24</v>
      </c>
    </row>
    <row r="23" spans="2:64" x14ac:dyDescent="0.15">
      <c r="B23" s="1138" t="s">
        <v>262</v>
      </c>
      <c r="J23" s="1164"/>
      <c r="K23" s="1045"/>
      <c r="L23" s="1045"/>
      <c r="M23" s="1045"/>
      <c r="N23" s="1161">
        <v>0</v>
      </c>
      <c r="O23" s="1062">
        <v>0</v>
      </c>
      <c r="P23" s="1062">
        <v>0</v>
      </c>
      <c r="Q23" s="1062">
        <v>0</v>
      </c>
      <c r="R23" s="1062">
        <v>0</v>
      </c>
      <c r="S23" s="1062">
        <v>0</v>
      </c>
      <c r="T23" s="1062">
        <v>0</v>
      </c>
      <c r="U23" s="1062">
        <v>0</v>
      </c>
      <c r="V23" s="1062">
        <v>0</v>
      </c>
      <c r="W23" s="1062">
        <v>0</v>
      </c>
      <c r="X23" s="1062">
        <v>0</v>
      </c>
      <c r="Y23" s="1062">
        <v>0</v>
      </c>
      <c r="Z23" s="1062">
        <v>0</v>
      </c>
      <c r="AA23" s="1062">
        <v>0</v>
      </c>
      <c r="AB23" s="1062">
        <v>0</v>
      </c>
      <c r="AC23" s="1062">
        <v>0</v>
      </c>
      <c r="AD23" s="1062">
        <v>0</v>
      </c>
      <c r="AE23" s="1062">
        <v>0</v>
      </c>
      <c r="AF23" s="1062">
        <v>0</v>
      </c>
      <c r="AG23" s="1062">
        <v>0</v>
      </c>
      <c r="AH23" s="1062">
        <v>0</v>
      </c>
      <c r="AI23" s="1062">
        <v>0</v>
      </c>
      <c r="AJ23" s="1062">
        <v>0</v>
      </c>
      <c r="AK23" s="1062">
        <v>0</v>
      </c>
      <c r="AL23" s="1062">
        <v>0</v>
      </c>
      <c r="AM23" s="1062">
        <v>0</v>
      </c>
      <c r="AN23" s="1062">
        <v>0</v>
      </c>
      <c r="AO23" s="1062">
        <v>0</v>
      </c>
      <c r="AP23" s="1062">
        <v>0</v>
      </c>
      <c r="AQ23" s="1062">
        <v>0</v>
      </c>
      <c r="AR23" s="1062">
        <v>0</v>
      </c>
      <c r="AS23" s="1062">
        <v>0</v>
      </c>
      <c r="AT23" s="1062">
        <v>0</v>
      </c>
      <c r="AU23" s="1062">
        <v>0</v>
      </c>
      <c r="AV23" s="1062">
        <v>0</v>
      </c>
      <c r="AW23" s="1062">
        <v>0</v>
      </c>
      <c r="AX23" s="1062">
        <v>0</v>
      </c>
      <c r="AY23" s="1062">
        <v>0</v>
      </c>
      <c r="AZ23" s="1062">
        <v>0</v>
      </c>
      <c r="BA23" s="1062">
        <v>0</v>
      </c>
      <c r="BB23" s="1062">
        <v>0</v>
      </c>
      <c r="BC23" s="1013"/>
      <c r="BD23" s="1013"/>
      <c r="BE23" s="1013"/>
      <c r="BF23" s="1013"/>
      <c r="BG23" s="1254">
        <v>4.4000000000000004</v>
      </c>
      <c r="BH23" s="1254">
        <v>4.4000000000000004</v>
      </c>
      <c r="BI23" s="1254">
        <v>4.4000000000000004</v>
      </c>
      <c r="BJ23" s="1254">
        <v>4.4000000000000004</v>
      </c>
      <c r="BK23" s="1254">
        <v>4.4000000000000004</v>
      </c>
      <c r="BL23" s="1255">
        <v>4.4000000000000004</v>
      </c>
    </row>
    <row r="24" spans="2:64" x14ac:dyDescent="0.15">
      <c r="B24" s="1138" t="s">
        <v>263</v>
      </c>
      <c r="J24" s="1164"/>
      <c r="K24" s="1045"/>
      <c r="L24" s="1045"/>
      <c r="M24" s="1045"/>
      <c r="N24" s="1161">
        <v>0</v>
      </c>
      <c r="O24" s="1062">
        <v>0</v>
      </c>
      <c r="P24" s="1062">
        <v>0</v>
      </c>
      <c r="Q24" s="1062">
        <v>0</v>
      </c>
      <c r="R24" s="1062">
        <v>0</v>
      </c>
      <c r="S24" s="1062">
        <v>0</v>
      </c>
      <c r="T24" s="1062">
        <v>0</v>
      </c>
      <c r="U24" s="1062">
        <v>0</v>
      </c>
      <c r="V24" s="1062">
        <v>0</v>
      </c>
      <c r="W24" s="1062">
        <v>0</v>
      </c>
      <c r="X24" s="1062">
        <v>0</v>
      </c>
      <c r="Y24" s="1062">
        <v>0</v>
      </c>
      <c r="Z24" s="1062">
        <v>0</v>
      </c>
      <c r="AA24" s="1062">
        <v>0</v>
      </c>
      <c r="AB24" s="1062">
        <v>0</v>
      </c>
      <c r="AC24" s="1062">
        <v>0</v>
      </c>
      <c r="AD24" s="1062">
        <v>0</v>
      </c>
      <c r="AE24" s="1062">
        <v>0</v>
      </c>
      <c r="AF24" s="1062">
        <v>0</v>
      </c>
      <c r="AG24" s="1062">
        <v>0</v>
      </c>
      <c r="AH24" s="1062">
        <v>0</v>
      </c>
      <c r="AI24" s="1062">
        <v>0</v>
      </c>
      <c r="AJ24" s="1062">
        <v>0</v>
      </c>
      <c r="AK24" s="1062">
        <v>0</v>
      </c>
      <c r="AL24" s="1062">
        <v>0</v>
      </c>
      <c r="AM24" s="1062">
        <v>0</v>
      </c>
      <c r="AN24" s="1062">
        <v>0</v>
      </c>
      <c r="AO24" s="1062">
        <v>0</v>
      </c>
      <c r="AP24" s="1062">
        <v>0</v>
      </c>
      <c r="AQ24" s="1062">
        <v>0</v>
      </c>
      <c r="AR24" s="1062">
        <v>0</v>
      </c>
      <c r="AS24" s="1062">
        <v>0</v>
      </c>
      <c r="AT24" s="1062">
        <v>0</v>
      </c>
      <c r="AU24" s="1062">
        <v>0</v>
      </c>
      <c r="AV24" s="1062">
        <v>0</v>
      </c>
      <c r="AW24" s="1062">
        <v>0</v>
      </c>
      <c r="AX24" s="1062">
        <v>0</v>
      </c>
      <c r="AY24" s="1062">
        <v>0</v>
      </c>
      <c r="AZ24" s="1062">
        <v>0</v>
      </c>
      <c r="BA24" s="1062">
        <v>0</v>
      </c>
      <c r="BB24" s="1062">
        <v>0</v>
      </c>
      <c r="BC24" s="1013"/>
      <c r="BD24" s="1013"/>
      <c r="BE24" s="1013"/>
      <c r="BF24" s="1013"/>
      <c r="BG24" s="1251">
        <f>BG22/BG23</f>
        <v>1754.0395415750734</v>
      </c>
      <c r="BH24" s="1013">
        <f>BH27*BH25</f>
        <v>1778.4</v>
      </c>
      <c r="BI24" s="1013">
        <f t="shared" ref="BI24:BL24" si="34">BI27*BI25</f>
        <v>1801.2000000000003</v>
      </c>
      <c r="BJ24" s="1013">
        <f t="shared" si="34"/>
        <v>1824</v>
      </c>
      <c r="BK24" s="1013">
        <f t="shared" si="34"/>
        <v>1846.8</v>
      </c>
      <c r="BL24" s="1245">
        <f t="shared" si="34"/>
        <v>1869.6</v>
      </c>
    </row>
    <row r="25" spans="2:64" x14ac:dyDescent="0.15">
      <c r="B25" s="1138" t="s">
        <v>264</v>
      </c>
      <c r="J25" s="1164"/>
      <c r="K25" s="1045"/>
      <c r="L25" s="1045"/>
      <c r="M25" s="1045"/>
      <c r="N25" s="1161">
        <v>0</v>
      </c>
      <c r="O25" s="1062">
        <v>0</v>
      </c>
      <c r="P25" s="1062">
        <v>0</v>
      </c>
      <c r="Q25" s="1062">
        <v>0</v>
      </c>
      <c r="R25" s="1062">
        <v>0</v>
      </c>
      <c r="S25" s="1062">
        <v>0</v>
      </c>
      <c r="T25" s="1062">
        <v>0</v>
      </c>
      <c r="U25" s="1062">
        <v>0</v>
      </c>
      <c r="V25" s="1062">
        <v>0</v>
      </c>
      <c r="W25" s="1062">
        <v>0</v>
      </c>
      <c r="X25" s="1062">
        <v>0</v>
      </c>
      <c r="Y25" s="1062">
        <v>0</v>
      </c>
      <c r="Z25" s="1062">
        <v>0</v>
      </c>
      <c r="AA25" s="1062">
        <v>0</v>
      </c>
      <c r="AB25" s="1062">
        <v>0</v>
      </c>
      <c r="AC25" s="1062">
        <v>0</v>
      </c>
      <c r="AD25" s="1062">
        <v>0</v>
      </c>
      <c r="AE25" s="1062">
        <v>0</v>
      </c>
      <c r="AF25" s="1062">
        <v>0</v>
      </c>
      <c r="AG25" s="1062">
        <v>0</v>
      </c>
      <c r="AH25" s="1062">
        <v>0</v>
      </c>
      <c r="AI25" s="1062">
        <v>0</v>
      </c>
      <c r="AJ25" s="1062">
        <v>0</v>
      </c>
      <c r="AK25" s="1062">
        <v>0</v>
      </c>
      <c r="AL25" s="1062">
        <v>0</v>
      </c>
      <c r="AM25" s="1062">
        <v>0</v>
      </c>
      <c r="AN25" s="1062">
        <v>0</v>
      </c>
      <c r="AO25" s="1062">
        <v>0</v>
      </c>
      <c r="AP25" s="1062">
        <v>0</v>
      </c>
      <c r="AQ25" s="1062">
        <v>0</v>
      </c>
      <c r="AR25" s="1062">
        <v>0</v>
      </c>
      <c r="AS25" s="1062">
        <v>0</v>
      </c>
      <c r="AT25" s="1062">
        <v>0</v>
      </c>
      <c r="AU25" s="1062">
        <v>0</v>
      </c>
      <c r="AV25" s="1062">
        <v>0</v>
      </c>
      <c r="AW25" s="1062">
        <v>0</v>
      </c>
      <c r="AX25" s="1062">
        <v>0</v>
      </c>
      <c r="AY25" s="1062">
        <v>0</v>
      </c>
      <c r="AZ25" s="1062">
        <v>0</v>
      </c>
      <c r="BA25" s="1062">
        <v>0</v>
      </c>
      <c r="BB25" s="1062">
        <v>0</v>
      </c>
      <c r="BC25" s="1013"/>
      <c r="BD25" s="1013"/>
      <c r="BE25" s="1013"/>
      <c r="BF25" s="1013"/>
      <c r="BG25" s="1239">
        <v>76</v>
      </c>
      <c r="BH25" s="1239">
        <v>76</v>
      </c>
      <c r="BI25" s="1239">
        <v>76</v>
      </c>
      <c r="BJ25" s="1239">
        <v>76</v>
      </c>
      <c r="BK25" s="1239">
        <v>76</v>
      </c>
      <c r="BL25" s="1256">
        <v>76</v>
      </c>
    </row>
    <row r="26" spans="2:64" x14ac:dyDescent="0.15">
      <c r="B26" s="1138" t="s">
        <v>265</v>
      </c>
      <c r="J26" s="1164"/>
      <c r="K26" s="1045"/>
      <c r="L26" s="1045"/>
      <c r="M26" s="1045"/>
      <c r="N26" s="1161">
        <v>0</v>
      </c>
      <c r="O26" s="1062">
        <v>0</v>
      </c>
      <c r="P26" s="1062">
        <v>0</v>
      </c>
      <c r="Q26" s="1062">
        <v>0</v>
      </c>
      <c r="R26" s="1062">
        <v>0</v>
      </c>
      <c r="S26" s="1062">
        <v>0</v>
      </c>
      <c r="T26" s="1062">
        <v>0</v>
      </c>
      <c r="U26" s="1062">
        <v>0</v>
      </c>
      <c r="V26" s="1062">
        <v>0</v>
      </c>
      <c r="W26" s="1062">
        <v>0</v>
      </c>
      <c r="X26" s="1062">
        <v>0</v>
      </c>
      <c r="Y26" s="1062">
        <v>0</v>
      </c>
      <c r="Z26" s="1062">
        <v>0</v>
      </c>
      <c r="AA26" s="1062">
        <v>0</v>
      </c>
      <c r="AB26" s="1062">
        <v>0</v>
      </c>
      <c r="AC26" s="1062">
        <v>0</v>
      </c>
      <c r="AD26" s="1062">
        <v>0</v>
      </c>
      <c r="AE26" s="1062">
        <v>0</v>
      </c>
      <c r="AF26" s="1062">
        <v>0</v>
      </c>
      <c r="AG26" s="1062">
        <v>0</v>
      </c>
      <c r="AH26" s="1062">
        <v>0</v>
      </c>
      <c r="AI26" s="1062">
        <v>0</v>
      </c>
      <c r="AJ26" s="1062">
        <v>0</v>
      </c>
      <c r="AK26" s="1062">
        <v>0</v>
      </c>
      <c r="AL26" s="1062">
        <v>0</v>
      </c>
      <c r="AM26" s="1062">
        <v>0</v>
      </c>
      <c r="AN26" s="1062">
        <v>0</v>
      </c>
      <c r="AO26" s="1062">
        <v>0</v>
      </c>
      <c r="AP26" s="1062">
        <v>0</v>
      </c>
      <c r="AQ26" s="1062">
        <v>0</v>
      </c>
      <c r="AR26" s="1062">
        <v>0</v>
      </c>
      <c r="AS26" s="1062">
        <v>0</v>
      </c>
      <c r="AT26" s="1062">
        <v>0</v>
      </c>
      <c r="AU26" s="1062">
        <v>0</v>
      </c>
      <c r="AV26" s="1062">
        <v>0</v>
      </c>
      <c r="AW26" s="1062">
        <v>0</v>
      </c>
      <c r="AX26" s="1062">
        <v>0</v>
      </c>
      <c r="AY26" s="1062">
        <v>0</v>
      </c>
      <c r="AZ26" s="1062">
        <v>0</v>
      </c>
      <c r="BA26" s="1062">
        <v>0</v>
      </c>
      <c r="BB26" s="1062">
        <v>0</v>
      </c>
      <c r="BC26" s="1013"/>
      <c r="BD26" s="1013"/>
      <c r="BE26" s="1013"/>
      <c r="BF26" s="1013"/>
      <c r="BG26" s="1239">
        <v>60</v>
      </c>
      <c r="BH26" s="1239">
        <v>60</v>
      </c>
      <c r="BI26" s="1239">
        <v>60</v>
      </c>
      <c r="BJ26" s="1239">
        <v>60</v>
      </c>
      <c r="BK26" s="1239">
        <v>60</v>
      </c>
      <c r="BL26" s="1256">
        <v>60</v>
      </c>
    </row>
    <row r="27" spans="2:64" x14ac:dyDescent="0.15">
      <c r="B27" s="1138" t="s">
        <v>266</v>
      </c>
      <c r="J27" s="1164"/>
      <c r="K27" s="1045"/>
      <c r="L27" s="1045"/>
      <c r="M27" s="1045"/>
      <c r="N27" s="1161">
        <v>0</v>
      </c>
      <c r="O27" s="1062">
        <v>0</v>
      </c>
      <c r="P27" s="1062">
        <v>0</v>
      </c>
      <c r="Q27" s="1062">
        <v>0</v>
      </c>
      <c r="R27" s="1062">
        <v>0</v>
      </c>
      <c r="S27" s="1062">
        <v>0</v>
      </c>
      <c r="T27" s="1062">
        <v>0</v>
      </c>
      <c r="U27" s="1062">
        <v>0</v>
      </c>
      <c r="V27" s="1062">
        <v>0</v>
      </c>
      <c r="W27" s="1062">
        <v>0</v>
      </c>
      <c r="X27" s="1062">
        <v>0</v>
      </c>
      <c r="Y27" s="1062">
        <v>0</v>
      </c>
      <c r="Z27" s="1062">
        <v>0</v>
      </c>
      <c r="AA27" s="1062">
        <v>0</v>
      </c>
      <c r="AB27" s="1062">
        <v>0</v>
      </c>
      <c r="AC27" s="1062">
        <v>0</v>
      </c>
      <c r="AD27" s="1062">
        <v>0</v>
      </c>
      <c r="AE27" s="1062">
        <v>0</v>
      </c>
      <c r="AF27" s="1062">
        <v>0</v>
      </c>
      <c r="AG27" s="1062">
        <v>0</v>
      </c>
      <c r="AH27" s="1062">
        <v>0</v>
      </c>
      <c r="AI27" s="1062">
        <v>0</v>
      </c>
      <c r="AJ27" s="1062">
        <v>0</v>
      </c>
      <c r="AK27" s="1062">
        <v>0</v>
      </c>
      <c r="AL27" s="1062">
        <v>0</v>
      </c>
      <c r="AM27" s="1062">
        <v>0</v>
      </c>
      <c r="AN27" s="1062">
        <v>0</v>
      </c>
      <c r="AO27" s="1062">
        <v>0</v>
      </c>
      <c r="AP27" s="1062">
        <v>0</v>
      </c>
      <c r="AQ27" s="1062">
        <v>0</v>
      </c>
      <c r="AR27" s="1062">
        <v>0</v>
      </c>
      <c r="AS27" s="1062">
        <v>0</v>
      </c>
      <c r="AT27" s="1062">
        <v>0</v>
      </c>
      <c r="AU27" s="1062">
        <v>0</v>
      </c>
      <c r="AV27" s="1062">
        <v>0</v>
      </c>
      <c r="AW27" s="1062">
        <v>0</v>
      </c>
      <c r="AX27" s="1062">
        <v>0</v>
      </c>
      <c r="AY27" s="1062">
        <v>0</v>
      </c>
      <c r="AZ27" s="1062">
        <v>0</v>
      </c>
      <c r="BA27" s="1062">
        <v>0</v>
      </c>
      <c r="BB27" s="1062">
        <v>0</v>
      </c>
      <c r="BC27" s="1013"/>
      <c r="BD27" s="1013"/>
      <c r="BE27" s="1013"/>
      <c r="BF27" s="1013"/>
      <c r="BG27" s="1257">
        <f>BG24/BG25</f>
        <v>23.079467652303595</v>
      </c>
      <c r="BH27" s="1252">
        <f>BH26*BH28</f>
        <v>23.400000000000002</v>
      </c>
      <c r="BI27" s="1252">
        <f t="shared" ref="BI27:BL27" si="35">BI26*BI28</f>
        <v>23.700000000000003</v>
      </c>
      <c r="BJ27" s="1252">
        <f t="shared" si="35"/>
        <v>24</v>
      </c>
      <c r="BK27" s="1252">
        <f t="shared" si="35"/>
        <v>24.3</v>
      </c>
      <c r="BL27" s="1253">
        <f t="shared" si="35"/>
        <v>24.599999999999998</v>
      </c>
    </row>
    <row r="28" spans="2:64" x14ac:dyDescent="0.15">
      <c r="B28" s="1168" t="s">
        <v>267</v>
      </c>
      <c r="C28" s="1013"/>
      <c r="D28" s="1013"/>
      <c r="E28" s="1013"/>
      <c r="F28" s="1013"/>
      <c r="G28" s="1013"/>
      <c r="H28" s="1013"/>
      <c r="I28" s="1013"/>
      <c r="J28" s="1168"/>
      <c r="K28" s="1013"/>
      <c r="L28" s="1013"/>
      <c r="M28" s="1013"/>
      <c r="N28" s="1161">
        <v>0</v>
      </c>
      <c r="O28" s="1062">
        <v>0</v>
      </c>
      <c r="P28" s="1062">
        <v>0</v>
      </c>
      <c r="Q28" s="1062">
        <v>0</v>
      </c>
      <c r="R28" s="1062">
        <v>0</v>
      </c>
      <c r="S28" s="1062">
        <v>0</v>
      </c>
      <c r="T28" s="1062">
        <v>0</v>
      </c>
      <c r="U28" s="1062">
        <v>0</v>
      </c>
      <c r="V28" s="1062">
        <v>0</v>
      </c>
      <c r="W28" s="1062">
        <v>0</v>
      </c>
      <c r="X28" s="1062">
        <v>0</v>
      </c>
      <c r="Y28" s="1062">
        <v>0</v>
      </c>
      <c r="Z28" s="1062">
        <v>0</v>
      </c>
      <c r="AA28" s="1062">
        <v>0</v>
      </c>
      <c r="AB28" s="1062">
        <v>0</v>
      </c>
      <c r="AC28" s="1062">
        <v>0</v>
      </c>
      <c r="AD28" s="1062">
        <v>0</v>
      </c>
      <c r="AE28" s="1062">
        <v>0</v>
      </c>
      <c r="AF28" s="1062">
        <v>0</v>
      </c>
      <c r="AG28" s="1062">
        <v>0</v>
      </c>
      <c r="AH28" s="1062">
        <v>0</v>
      </c>
      <c r="AI28" s="1062">
        <v>0</v>
      </c>
      <c r="AJ28" s="1062">
        <v>0</v>
      </c>
      <c r="AK28" s="1062">
        <v>0</v>
      </c>
      <c r="AL28" s="1062">
        <v>0</v>
      </c>
      <c r="AM28" s="1062">
        <v>0</v>
      </c>
      <c r="AN28" s="1062">
        <v>0</v>
      </c>
      <c r="AO28" s="1062">
        <v>0</v>
      </c>
      <c r="AP28" s="1062">
        <v>0</v>
      </c>
      <c r="AQ28" s="1062">
        <v>0</v>
      </c>
      <c r="AR28" s="1062">
        <v>0</v>
      </c>
      <c r="AS28" s="1062">
        <v>0</v>
      </c>
      <c r="AT28" s="1062">
        <v>0</v>
      </c>
      <c r="AU28" s="1062">
        <v>0</v>
      </c>
      <c r="AV28" s="1062">
        <v>0</v>
      </c>
      <c r="AW28" s="1062">
        <v>0</v>
      </c>
      <c r="AX28" s="1062">
        <v>0</v>
      </c>
      <c r="AY28" s="1062">
        <v>0</v>
      </c>
      <c r="AZ28" s="1062">
        <v>0</v>
      </c>
      <c r="BA28" s="1062">
        <v>0</v>
      </c>
      <c r="BB28" s="1062">
        <v>0</v>
      </c>
      <c r="BC28" s="1013"/>
      <c r="BD28" s="1013"/>
      <c r="BE28" s="1013"/>
      <c r="BF28" s="1013"/>
      <c r="BG28" s="1206">
        <f>BG27/BG26</f>
        <v>0.38465779420505991</v>
      </c>
      <c r="BH28" s="1017">
        <f>'Forecast Assumptions'!G8</f>
        <v>0.39</v>
      </c>
      <c r="BI28" s="1017">
        <f>'Forecast Assumptions'!H8</f>
        <v>0.39500000000000002</v>
      </c>
      <c r="BJ28" s="1017">
        <f>'Forecast Assumptions'!I8</f>
        <v>0.4</v>
      </c>
      <c r="BK28" s="1017">
        <f>'Forecast Assumptions'!J8</f>
        <v>0.40500000000000003</v>
      </c>
      <c r="BL28" s="1258">
        <f>'Forecast Assumptions'!K8</f>
        <v>0.41</v>
      </c>
    </row>
    <row r="29" spans="2:64" x14ac:dyDescent="0.15">
      <c r="B29" s="1138"/>
      <c r="J29" s="1164"/>
      <c r="K29" s="1045"/>
      <c r="L29" s="1045"/>
      <c r="M29" s="1045"/>
      <c r="N29" s="1168"/>
      <c r="O29" s="1013"/>
      <c r="P29" s="1013"/>
      <c r="Q29" s="1013"/>
      <c r="R29" s="1013"/>
      <c r="S29" s="1013"/>
      <c r="T29" s="1013"/>
      <c r="U29" s="1013"/>
      <c r="V29" s="1013"/>
      <c r="W29" s="1013"/>
      <c r="X29" s="1013"/>
      <c r="Y29" s="1013"/>
      <c r="Z29" s="1013"/>
      <c r="AA29" s="1013"/>
      <c r="AB29" s="1013"/>
      <c r="AC29" s="1013"/>
      <c r="AD29" s="1013"/>
      <c r="AE29" s="1013"/>
      <c r="AF29" s="1013"/>
      <c r="AG29" s="1013"/>
      <c r="AH29" s="1013"/>
      <c r="AI29" s="1013"/>
      <c r="AJ29" s="1013"/>
      <c r="AK29" s="1013"/>
      <c r="AL29" s="1013"/>
      <c r="AM29" s="1013"/>
      <c r="AN29" s="1013"/>
      <c r="AO29" s="1013"/>
      <c r="AP29" s="1013"/>
      <c r="AQ29" s="1013"/>
      <c r="AR29" s="1013"/>
      <c r="AS29" s="1013"/>
      <c r="AT29" s="1013"/>
      <c r="AU29" s="1013"/>
      <c r="AV29" s="1013"/>
      <c r="AW29" s="1013"/>
      <c r="AX29" s="1013"/>
      <c r="AY29" s="1013"/>
      <c r="AZ29" s="1013"/>
      <c r="BA29" s="1013"/>
      <c r="BB29" s="1013"/>
      <c r="BC29" s="1013"/>
      <c r="BD29" s="1013"/>
      <c r="BE29" s="1013"/>
      <c r="BF29" s="1013"/>
      <c r="BG29" s="1013"/>
      <c r="BH29" s="1013"/>
      <c r="BI29" s="1013"/>
      <c r="BJ29" s="1013"/>
      <c r="BK29" s="1013"/>
      <c r="BL29" s="1245"/>
    </row>
    <row r="30" spans="2:64" x14ac:dyDescent="0.15">
      <c r="B30" s="1167" t="s">
        <v>268</v>
      </c>
      <c r="J30" s="1164"/>
      <c r="K30" s="1045"/>
      <c r="L30" s="1045"/>
      <c r="M30" s="1045"/>
      <c r="N30" s="1168"/>
      <c r="O30" s="1013"/>
      <c r="P30" s="1013"/>
      <c r="Q30" s="1013"/>
      <c r="R30" s="1013"/>
      <c r="S30" s="1013"/>
      <c r="T30" s="1013"/>
      <c r="U30" s="1013"/>
      <c r="V30" s="1013"/>
      <c r="W30" s="1013"/>
      <c r="X30" s="1013"/>
      <c r="Y30" s="1013"/>
      <c r="Z30" s="1013"/>
      <c r="AA30" s="1013"/>
      <c r="AB30" s="1013"/>
      <c r="AC30" s="1013"/>
      <c r="AD30" s="1013"/>
      <c r="AE30" s="1013"/>
      <c r="AF30" s="1013"/>
      <c r="AG30" s="1013"/>
      <c r="AH30" s="1013"/>
      <c r="AI30" s="1013"/>
      <c r="AJ30" s="1013"/>
      <c r="AK30" s="1013"/>
      <c r="AL30" s="1013"/>
      <c r="AM30" s="1013"/>
      <c r="AN30" s="1013"/>
      <c r="AO30" s="1013"/>
      <c r="AP30" s="1013"/>
      <c r="AQ30" s="1013"/>
      <c r="AR30" s="1013"/>
      <c r="AS30" s="1013"/>
      <c r="AT30" s="1013"/>
      <c r="AU30" s="1013"/>
      <c r="AV30" s="1013"/>
      <c r="AW30" s="1013"/>
      <c r="AX30" s="1013"/>
      <c r="AY30" s="1013"/>
      <c r="AZ30" s="1013"/>
      <c r="BA30" s="1013"/>
      <c r="BB30" s="1013"/>
      <c r="BC30" s="1013"/>
      <c r="BD30" s="1013"/>
      <c r="BE30" s="1013"/>
      <c r="BF30" s="1013"/>
      <c r="BG30" s="1013"/>
      <c r="BH30" s="1013"/>
      <c r="BI30" s="1013"/>
      <c r="BJ30" s="1013"/>
      <c r="BK30" s="1013"/>
      <c r="BL30" s="1245"/>
    </row>
    <row r="31" spans="2:64" x14ac:dyDescent="0.15">
      <c r="B31" s="1169" t="s">
        <v>269</v>
      </c>
      <c r="C31" s="1170"/>
      <c r="J31" s="1164"/>
      <c r="K31" s="1045"/>
      <c r="L31" s="1045"/>
      <c r="M31" s="1045"/>
      <c r="N31" s="1259"/>
      <c r="O31" s="1260"/>
      <c r="P31" s="1260"/>
      <c r="Q31" s="1260"/>
      <c r="R31" s="1260"/>
      <c r="S31" s="1261">
        <v>0.09</v>
      </c>
      <c r="T31" s="1260"/>
      <c r="U31" s="1260"/>
      <c r="V31" s="1260"/>
      <c r="W31" s="1260"/>
      <c r="X31" s="1261">
        <v>0.11</v>
      </c>
      <c r="Y31" s="1260"/>
      <c r="Z31" s="1260"/>
      <c r="AA31" s="1260"/>
      <c r="AB31" s="1260"/>
      <c r="AC31" s="1261">
        <v>0.12</v>
      </c>
      <c r="AD31" s="1260"/>
      <c r="AE31" s="1260"/>
      <c r="AF31" s="1262">
        <v>0.13500000000000001</v>
      </c>
      <c r="AG31" s="1262">
        <v>0.15</v>
      </c>
      <c r="AH31" s="1261">
        <v>0.14000000000000001</v>
      </c>
      <c r="AI31" s="1262">
        <v>0.16</v>
      </c>
      <c r="AJ31" s="1262">
        <v>0.16</v>
      </c>
      <c r="AK31" s="1262">
        <v>0.16</v>
      </c>
      <c r="AL31" s="1262">
        <v>0.17</v>
      </c>
      <c r="AM31" s="1261">
        <v>0.16</v>
      </c>
      <c r="AN31" s="1262">
        <v>0.22</v>
      </c>
      <c r="AO31" s="1262">
        <v>0.79</v>
      </c>
      <c r="AP31" s="1262">
        <v>0.45</v>
      </c>
      <c r="AQ31" s="1262">
        <v>0.44700000000000001</v>
      </c>
      <c r="AR31" s="1261">
        <v>0.43</v>
      </c>
      <c r="AS31" s="1262">
        <v>0.43</v>
      </c>
      <c r="AT31" s="1262">
        <v>0.31</v>
      </c>
      <c r="AU31" s="1262">
        <v>0.28000000000000003</v>
      </c>
      <c r="AV31" s="1262">
        <v>0.27800000000000002</v>
      </c>
      <c r="AW31" s="1261">
        <v>0.32</v>
      </c>
      <c r="AX31" s="1262">
        <v>0.28000000000000003</v>
      </c>
      <c r="AY31" s="1262">
        <v>0.25</v>
      </c>
      <c r="AZ31" s="1262">
        <v>0.23</v>
      </c>
      <c r="BA31" s="1262">
        <v>0.24075352834163863</v>
      </c>
      <c r="BB31" s="1261">
        <v>0.25</v>
      </c>
      <c r="BC31" s="1262">
        <v>0.23</v>
      </c>
      <c r="BD31" s="1262">
        <v>0.22</v>
      </c>
      <c r="BE31" s="1262">
        <v>0.21</v>
      </c>
      <c r="BF31" s="1262">
        <v>0.22</v>
      </c>
      <c r="BG31" s="1261">
        <v>0.22</v>
      </c>
      <c r="BH31" s="1034"/>
      <c r="BI31" s="1034"/>
      <c r="BJ31" s="1034"/>
      <c r="BK31" s="1034"/>
      <c r="BL31" s="1244"/>
    </row>
    <row r="32" spans="2:64" x14ac:dyDescent="0.15">
      <c r="B32" s="1169" t="s">
        <v>270</v>
      </c>
      <c r="C32" s="1170"/>
      <c r="J32" s="1164"/>
      <c r="K32" s="1045"/>
      <c r="L32" s="1045"/>
      <c r="M32" s="1045"/>
      <c r="N32" s="1259"/>
      <c r="O32" s="1260"/>
      <c r="P32" s="1260"/>
      <c r="Q32" s="1260"/>
      <c r="R32" s="1260"/>
      <c r="S32" s="1261">
        <v>0.13</v>
      </c>
      <c r="T32" s="1260"/>
      <c r="U32" s="1260"/>
      <c r="V32" s="1260"/>
      <c r="W32" s="1260"/>
      <c r="X32" s="1261">
        <v>0.13</v>
      </c>
      <c r="Y32" s="1260"/>
      <c r="Z32" s="1260"/>
      <c r="AA32" s="1260"/>
      <c r="AB32" s="1260"/>
      <c r="AC32" s="1261">
        <v>0.13</v>
      </c>
      <c r="AD32" s="1260"/>
      <c r="AE32" s="1260"/>
      <c r="AF32" s="1260"/>
      <c r="AG32" s="1260"/>
      <c r="AH32" s="1261">
        <v>0.12</v>
      </c>
      <c r="AI32" s="1260"/>
      <c r="AJ32" s="1260"/>
      <c r="AK32" s="1260"/>
      <c r="AL32" s="1260"/>
      <c r="AM32" s="1261">
        <v>0.12</v>
      </c>
      <c r="AN32" s="1260"/>
      <c r="AO32" s="1260"/>
      <c r="AP32" s="1260"/>
      <c r="AQ32" s="1260"/>
      <c r="AR32" s="1261">
        <v>0.09</v>
      </c>
      <c r="AS32" s="1260"/>
      <c r="AT32" s="1260"/>
      <c r="AU32" s="1260"/>
      <c r="AV32" s="1260"/>
      <c r="AW32" s="1261">
        <v>0.11</v>
      </c>
      <c r="AX32" s="1260"/>
      <c r="AY32" s="1260"/>
      <c r="AZ32" s="1260"/>
      <c r="BA32" s="1260"/>
      <c r="BB32" s="1261">
        <v>0.12</v>
      </c>
      <c r="BC32" s="1260"/>
      <c r="BD32" s="1260"/>
      <c r="BE32" s="1260"/>
      <c r="BF32" s="1260"/>
      <c r="BG32" s="1261">
        <v>0.11</v>
      </c>
      <c r="BH32" s="1263">
        <f>BH33/(BH33+BH35+BH37)</f>
        <v>0.12416226940816132</v>
      </c>
      <c r="BI32" s="1263">
        <f t="shared" ref="BI32:BL32" si="36">BI33/(BI33+BI35+BI37)</f>
        <v>0.13317129168935055</v>
      </c>
      <c r="BJ32" s="1263">
        <f t="shared" si="36"/>
        <v>0.13878020305564223</v>
      </c>
      <c r="BK32" s="1263">
        <f t="shared" si="36"/>
        <v>0.14143039557587189</v>
      </c>
      <c r="BL32" s="1264">
        <f t="shared" si="36"/>
        <v>0.14371023488439405</v>
      </c>
    </row>
    <row r="33" spans="2:64" x14ac:dyDescent="0.15">
      <c r="B33" s="1169" t="s">
        <v>271</v>
      </c>
      <c r="C33" s="1170"/>
      <c r="J33" s="1164"/>
      <c r="K33" s="1045"/>
      <c r="L33" s="1045"/>
      <c r="M33" s="1045"/>
      <c r="N33" s="1259"/>
      <c r="O33" s="1260"/>
      <c r="P33" s="1260"/>
      <c r="Q33" s="1260"/>
      <c r="R33" s="1260"/>
      <c r="S33" s="1206">
        <f>S32*S41</f>
        <v>2.7040000000000002</v>
      </c>
      <c r="T33" s="1206">
        <f t="shared" ref="T33:BG33" si="37">T32*T41</f>
        <v>0</v>
      </c>
      <c r="U33" s="1206">
        <f t="shared" si="37"/>
        <v>0</v>
      </c>
      <c r="V33" s="1206">
        <f t="shared" si="37"/>
        <v>0</v>
      </c>
      <c r="W33" s="1206">
        <f t="shared" si="37"/>
        <v>0</v>
      </c>
      <c r="X33" s="1206">
        <f t="shared" si="37"/>
        <v>2.782</v>
      </c>
      <c r="Y33" s="1206">
        <f t="shared" si="37"/>
        <v>0</v>
      </c>
      <c r="Z33" s="1206">
        <f t="shared" si="37"/>
        <v>0</v>
      </c>
      <c r="AA33" s="1206">
        <f t="shared" si="37"/>
        <v>0</v>
      </c>
      <c r="AB33" s="1206">
        <f t="shared" si="37"/>
        <v>0</v>
      </c>
      <c r="AC33" s="1206">
        <f t="shared" si="37"/>
        <v>2.8405000000000005</v>
      </c>
      <c r="AD33" s="1206">
        <f t="shared" si="37"/>
        <v>0</v>
      </c>
      <c r="AE33" s="1206">
        <f t="shared" si="37"/>
        <v>0</v>
      </c>
      <c r="AF33" s="1206">
        <f t="shared" si="37"/>
        <v>0</v>
      </c>
      <c r="AG33" s="1206">
        <f t="shared" si="37"/>
        <v>0</v>
      </c>
      <c r="AH33" s="1206">
        <f t="shared" si="37"/>
        <v>2.7120000000000002</v>
      </c>
      <c r="AI33" s="1206">
        <f t="shared" si="37"/>
        <v>0</v>
      </c>
      <c r="AJ33" s="1206">
        <f t="shared" si="37"/>
        <v>0</v>
      </c>
      <c r="AK33" s="1206">
        <f t="shared" si="37"/>
        <v>0</v>
      </c>
      <c r="AL33" s="1206">
        <f t="shared" si="37"/>
        <v>0</v>
      </c>
      <c r="AM33" s="1206">
        <f t="shared" si="37"/>
        <v>2.82</v>
      </c>
      <c r="AN33" s="1206">
        <f t="shared" si="37"/>
        <v>0</v>
      </c>
      <c r="AO33" s="1206">
        <f t="shared" si="37"/>
        <v>0</v>
      </c>
      <c r="AP33" s="1206">
        <f t="shared" si="37"/>
        <v>0</v>
      </c>
      <c r="AQ33" s="1206">
        <f t="shared" si="37"/>
        <v>0</v>
      </c>
      <c r="AR33" s="1206">
        <f t="shared" si="37"/>
        <v>2.601</v>
      </c>
      <c r="AS33" s="1206">
        <f t="shared" si="37"/>
        <v>0</v>
      </c>
      <c r="AT33" s="1206">
        <f t="shared" si="37"/>
        <v>0</v>
      </c>
      <c r="AU33" s="1206">
        <f t="shared" si="37"/>
        <v>0</v>
      </c>
      <c r="AV33" s="1206">
        <f t="shared" si="37"/>
        <v>0</v>
      </c>
      <c r="AW33" s="1206">
        <f t="shared" si="37"/>
        <v>3.2230000000000003</v>
      </c>
      <c r="AX33" s="1206">
        <f t="shared" si="37"/>
        <v>0</v>
      </c>
      <c r="AY33" s="1206">
        <f t="shared" si="37"/>
        <v>0</v>
      </c>
      <c r="AZ33" s="1206">
        <f t="shared" si="37"/>
        <v>0</v>
      </c>
      <c r="BA33" s="1206">
        <f t="shared" si="37"/>
        <v>0</v>
      </c>
      <c r="BB33" s="1206">
        <f t="shared" si="37"/>
        <v>3.5279999999999996</v>
      </c>
      <c r="BC33" s="1206">
        <f t="shared" si="37"/>
        <v>0</v>
      </c>
      <c r="BD33" s="1206">
        <f t="shared" si="37"/>
        <v>0</v>
      </c>
      <c r="BE33" s="1206">
        <f t="shared" si="37"/>
        <v>0</v>
      </c>
      <c r="BF33" s="1206">
        <f t="shared" si="37"/>
        <v>0</v>
      </c>
      <c r="BG33" s="1206">
        <f t="shared" si="37"/>
        <v>3.3593999999999999</v>
      </c>
      <c r="BH33" s="1265">
        <f>'Forecast Assumptions'!G5</f>
        <v>4</v>
      </c>
      <c r="BI33" s="1265">
        <f>'Forecast Assumptions'!H5</f>
        <v>4.5</v>
      </c>
      <c r="BJ33" s="1265">
        <f>'Forecast Assumptions'!I5</f>
        <v>4.9000000000000004</v>
      </c>
      <c r="BK33" s="1265">
        <f>'Forecast Assumptions'!J5</f>
        <v>5.2</v>
      </c>
      <c r="BL33" s="1266">
        <f>'Forecast Assumptions'!K5</f>
        <v>5.5</v>
      </c>
    </row>
    <row r="34" spans="2:64" x14ac:dyDescent="0.15">
      <c r="B34" s="1169" t="s">
        <v>272</v>
      </c>
      <c r="C34" s="1170"/>
      <c r="J34" s="1164"/>
      <c r="K34" s="1045"/>
      <c r="L34" s="1045"/>
      <c r="M34" s="1045"/>
      <c r="N34" s="1259"/>
      <c r="O34" s="1260"/>
      <c r="P34" s="1260"/>
      <c r="Q34" s="1260"/>
      <c r="R34" s="1260"/>
      <c r="S34" s="1261">
        <v>0.16</v>
      </c>
      <c r="T34" s="1260"/>
      <c r="U34" s="1260"/>
      <c r="V34" s="1260"/>
      <c r="W34" s="1260"/>
      <c r="X34" s="1261">
        <v>0.16</v>
      </c>
      <c r="Y34" s="1260"/>
      <c r="Z34" s="1260"/>
      <c r="AA34" s="1260"/>
      <c r="AB34" s="1260"/>
      <c r="AC34" s="1261">
        <v>0.16</v>
      </c>
      <c r="AD34" s="1260"/>
      <c r="AE34" s="1260"/>
      <c r="AF34" s="1260"/>
      <c r="AG34" s="1260"/>
      <c r="AH34" s="1261">
        <v>0.16</v>
      </c>
      <c r="AI34" s="1260"/>
      <c r="AJ34" s="1260"/>
      <c r="AK34" s="1260"/>
      <c r="AL34" s="1260"/>
      <c r="AM34" s="1261">
        <v>0.16</v>
      </c>
      <c r="AN34" s="1260"/>
      <c r="AO34" s="1260"/>
      <c r="AP34" s="1260"/>
      <c r="AQ34" s="1260"/>
      <c r="AR34" s="1261">
        <v>0.21</v>
      </c>
      <c r="AS34" s="1260"/>
      <c r="AT34" s="1260"/>
      <c r="AU34" s="1260"/>
      <c r="AV34" s="1260"/>
      <c r="AW34" s="1261">
        <v>0.19</v>
      </c>
      <c r="AX34" s="1260"/>
      <c r="AY34" s="1260"/>
      <c r="AZ34" s="1260"/>
      <c r="BA34" s="1260"/>
      <c r="BB34" s="1261">
        <v>0.17</v>
      </c>
      <c r="BC34" s="1260"/>
      <c r="BD34" s="1260"/>
      <c r="BE34" s="1260"/>
      <c r="BF34" s="1260"/>
      <c r="BG34" s="1261">
        <v>0.17</v>
      </c>
      <c r="BH34" s="1034">
        <f>BH35/(BH35+BH33+BH37)</f>
        <v>0.16599111010567269</v>
      </c>
      <c r="BI34" s="1034">
        <f t="shared" ref="BI34:BL34" si="38">BI35/(BI35+BI33+BI37)</f>
        <v>0.1630010875034022</v>
      </c>
      <c r="BJ34" s="1034">
        <f t="shared" si="38"/>
        <v>0.16067972019107074</v>
      </c>
      <c r="BK34" s="1034">
        <f t="shared" si="38"/>
        <v>0.15893013978377044</v>
      </c>
      <c r="BL34" s="1244">
        <f t="shared" si="38"/>
        <v>0.15726391657487437</v>
      </c>
    </row>
    <row r="35" spans="2:64" x14ac:dyDescent="0.15">
      <c r="B35" s="1169" t="s">
        <v>271</v>
      </c>
      <c r="C35" s="1170"/>
      <c r="J35" s="1164"/>
      <c r="K35" s="1045"/>
      <c r="L35" s="1045"/>
      <c r="M35" s="1045"/>
      <c r="N35" s="1259"/>
      <c r="O35" s="1260"/>
      <c r="P35" s="1260"/>
      <c r="Q35" s="1260"/>
      <c r="R35" s="1260"/>
      <c r="S35" s="1206">
        <f>S34*S41</f>
        <v>3.3280000000000003</v>
      </c>
      <c r="T35" s="1206">
        <f t="shared" ref="T35:BG35" si="39">T34*T41</f>
        <v>0</v>
      </c>
      <c r="U35" s="1206">
        <f t="shared" si="39"/>
        <v>0</v>
      </c>
      <c r="V35" s="1206">
        <f t="shared" si="39"/>
        <v>0</v>
      </c>
      <c r="W35" s="1206">
        <f t="shared" si="39"/>
        <v>0</v>
      </c>
      <c r="X35" s="1206">
        <f t="shared" si="39"/>
        <v>3.4239999999999999</v>
      </c>
      <c r="Y35" s="1206">
        <f t="shared" si="39"/>
        <v>0</v>
      </c>
      <c r="Z35" s="1206">
        <f t="shared" si="39"/>
        <v>0</v>
      </c>
      <c r="AA35" s="1206">
        <f t="shared" si="39"/>
        <v>0</v>
      </c>
      <c r="AB35" s="1206">
        <f t="shared" si="39"/>
        <v>0</v>
      </c>
      <c r="AC35" s="1206">
        <f t="shared" si="39"/>
        <v>3.4960000000000004</v>
      </c>
      <c r="AD35" s="1206">
        <f t="shared" si="39"/>
        <v>0</v>
      </c>
      <c r="AE35" s="1206">
        <f t="shared" si="39"/>
        <v>0</v>
      </c>
      <c r="AF35" s="1206">
        <f t="shared" si="39"/>
        <v>0</v>
      </c>
      <c r="AG35" s="1206">
        <f t="shared" si="39"/>
        <v>0</v>
      </c>
      <c r="AH35" s="1206">
        <f t="shared" si="39"/>
        <v>3.6160000000000001</v>
      </c>
      <c r="AI35" s="1206">
        <f t="shared" si="39"/>
        <v>0</v>
      </c>
      <c r="AJ35" s="1206">
        <f t="shared" si="39"/>
        <v>0</v>
      </c>
      <c r="AK35" s="1206">
        <f t="shared" si="39"/>
        <v>0</v>
      </c>
      <c r="AL35" s="1206">
        <f t="shared" si="39"/>
        <v>0</v>
      </c>
      <c r="AM35" s="1206">
        <f t="shared" si="39"/>
        <v>3.7600000000000002</v>
      </c>
      <c r="AN35" s="1206">
        <f t="shared" si="39"/>
        <v>0</v>
      </c>
      <c r="AO35" s="1206">
        <f t="shared" si="39"/>
        <v>0</v>
      </c>
      <c r="AP35" s="1206">
        <f t="shared" si="39"/>
        <v>0</v>
      </c>
      <c r="AQ35" s="1206">
        <f t="shared" si="39"/>
        <v>0</v>
      </c>
      <c r="AR35" s="1206">
        <f t="shared" si="39"/>
        <v>6.0689999999999991</v>
      </c>
      <c r="AS35" s="1206">
        <f t="shared" si="39"/>
        <v>0</v>
      </c>
      <c r="AT35" s="1206">
        <f t="shared" si="39"/>
        <v>0</v>
      </c>
      <c r="AU35" s="1206">
        <f t="shared" si="39"/>
        <v>0</v>
      </c>
      <c r="AV35" s="1206">
        <f t="shared" si="39"/>
        <v>0</v>
      </c>
      <c r="AW35" s="1206">
        <f t="shared" si="39"/>
        <v>5.5670000000000002</v>
      </c>
      <c r="AX35" s="1206">
        <f t="shared" si="39"/>
        <v>0</v>
      </c>
      <c r="AY35" s="1206">
        <f t="shared" si="39"/>
        <v>0</v>
      </c>
      <c r="AZ35" s="1206">
        <f t="shared" si="39"/>
        <v>0</v>
      </c>
      <c r="BA35" s="1206">
        <f t="shared" si="39"/>
        <v>0</v>
      </c>
      <c r="BB35" s="1206">
        <f t="shared" si="39"/>
        <v>4.9980000000000002</v>
      </c>
      <c r="BC35" s="1206">
        <f t="shared" si="39"/>
        <v>0</v>
      </c>
      <c r="BD35" s="1206">
        <f t="shared" si="39"/>
        <v>0</v>
      </c>
      <c r="BE35" s="1206">
        <f t="shared" si="39"/>
        <v>0</v>
      </c>
      <c r="BF35" s="1206">
        <f t="shared" si="39"/>
        <v>0</v>
      </c>
      <c r="BG35" s="1206">
        <f t="shared" si="39"/>
        <v>5.1918000000000006</v>
      </c>
      <c r="BH35" s="1249">
        <f>'Forecast Assumptions'!G7</f>
        <v>5.3475540000000006</v>
      </c>
      <c r="BI35" s="1249">
        <f>'Forecast Assumptions'!H7</f>
        <v>5.5079806200000005</v>
      </c>
      <c r="BJ35" s="1249">
        <f>'Forecast Assumptions'!I7</f>
        <v>5.6732200386000011</v>
      </c>
      <c r="BK35" s="1249">
        <f>'Forecast Assumptions'!J7</f>
        <v>5.8434166397580016</v>
      </c>
      <c r="BL35" s="1250">
        <f>'Forecast Assumptions'!K7</f>
        <v>6.0187191389507415</v>
      </c>
    </row>
    <row r="36" spans="2:64" x14ac:dyDescent="0.15">
      <c r="B36" s="1169" t="s">
        <v>273</v>
      </c>
      <c r="C36" s="1170"/>
      <c r="J36" s="1164"/>
      <c r="K36" s="1045"/>
      <c r="L36" s="1045"/>
      <c r="M36" s="1045"/>
      <c r="N36" s="1259"/>
      <c r="O36" s="1260"/>
      <c r="P36" s="1260"/>
      <c r="Q36" s="1260"/>
      <c r="R36" s="1260"/>
      <c r="S36" s="1267">
        <f>1-S34-S32</f>
        <v>0.71</v>
      </c>
      <c r="T36" s="1267">
        <f t="shared" ref="T36:BG36" si="40">1-T34-T32</f>
        <v>1</v>
      </c>
      <c r="U36" s="1267">
        <f t="shared" si="40"/>
        <v>1</v>
      </c>
      <c r="V36" s="1267">
        <f t="shared" si="40"/>
        <v>1</v>
      </c>
      <c r="W36" s="1267">
        <f t="shared" si="40"/>
        <v>1</v>
      </c>
      <c r="X36" s="1267">
        <f t="shared" si="40"/>
        <v>0.71</v>
      </c>
      <c r="Y36" s="1267">
        <f t="shared" si="40"/>
        <v>1</v>
      </c>
      <c r="Z36" s="1267">
        <f t="shared" si="40"/>
        <v>1</v>
      </c>
      <c r="AA36" s="1267">
        <f t="shared" si="40"/>
        <v>1</v>
      </c>
      <c r="AB36" s="1267">
        <f t="shared" si="40"/>
        <v>1</v>
      </c>
      <c r="AC36" s="1267">
        <f t="shared" si="40"/>
        <v>0.71</v>
      </c>
      <c r="AD36" s="1267">
        <f t="shared" si="40"/>
        <v>1</v>
      </c>
      <c r="AE36" s="1267">
        <f t="shared" si="40"/>
        <v>1</v>
      </c>
      <c r="AF36" s="1267">
        <f t="shared" si="40"/>
        <v>1</v>
      </c>
      <c r="AG36" s="1267">
        <f t="shared" si="40"/>
        <v>1</v>
      </c>
      <c r="AH36" s="1267">
        <f t="shared" si="40"/>
        <v>0.72</v>
      </c>
      <c r="AI36" s="1267">
        <f t="shared" si="40"/>
        <v>1</v>
      </c>
      <c r="AJ36" s="1267">
        <f t="shared" si="40"/>
        <v>1</v>
      </c>
      <c r="AK36" s="1267">
        <f t="shared" si="40"/>
        <v>1</v>
      </c>
      <c r="AL36" s="1267">
        <f t="shared" si="40"/>
        <v>1</v>
      </c>
      <c r="AM36" s="1267">
        <f t="shared" si="40"/>
        <v>0.72</v>
      </c>
      <c r="AN36" s="1267">
        <f t="shared" si="40"/>
        <v>1</v>
      </c>
      <c r="AO36" s="1267">
        <f t="shared" si="40"/>
        <v>1</v>
      </c>
      <c r="AP36" s="1267">
        <f t="shared" si="40"/>
        <v>1</v>
      </c>
      <c r="AQ36" s="1267">
        <f t="shared" si="40"/>
        <v>1</v>
      </c>
      <c r="AR36" s="1267">
        <f t="shared" si="40"/>
        <v>0.70000000000000007</v>
      </c>
      <c r="AS36" s="1267">
        <f t="shared" si="40"/>
        <v>1</v>
      </c>
      <c r="AT36" s="1267">
        <f t="shared" si="40"/>
        <v>1</v>
      </c>
      <c r="AU36" s="1267">
        <f t="shared" si="40"/>
        <v>1</v>
      </c>
      <c r="AV36" s="1267">
        <f t="shared" si="40"/>
        <v>1</v>
      </c>
      <c r="AW36" s="1267">
        <f t="shared" si="40"/>
        <v>0.70000000000000007</v>
      </c>
      <c r="AX36" s="1267">
        <f t="shared" si="40"/>
        <v>1</v>
      </c>
      <c r="AY36" s="1267">
        <f t="shared" si="40"/>
        <v>1</v>
      </c>
      <c r="AZ36" s="1267">
        <f t="shared" si="40"/>
        <v>1</v>
      </c>
      <c r="BA36" s="1267">
        <f t="shared" si="40"/>
        <v>1</v>
      </c>
      <c r="BB36" s="1267">
        <f t="shared" si="40"/>
        <v>0.71</v>
      </c>
      <c r="BC36" s="1267">
        <f t="shared" si="40"/>
        <v>1</v>
      </c>
      <c r="BD36" s="1267">
        <f t="shared" si="40"/>
        <v>1</v>
      </c>
      <c r="BE36" s="1267">
        <f t="shared" si="40"/>
        <v>1</v>
      </c>
      <c r="BF36" s="1267">
        <f t="shared" si="40"/>
        <v>1</v>
      </c>
      <c r="BG36" s="1268">
        <f t="shared" si="40"/>
        <v>0.72</v>
      </c>
      <c r="BH36" s="1269">
        <f>1-BH34-BH32</f>
        <v>0.70984662048616598</v>
      </c>
      <c r="BI36" s="1269">
        <f t="shared" ref="BI36:BL36" si="41">1-BI34-BI32</f>
        <v>0.70382762080724715</v>
      </c>
      <c r="BJ36" s="1269">
        <f t="shared" si="41"/>
        <v>0.700540076753287</v>
      </c>
      <c r="BK36" s="1269">
        <f t="shared" si="41"/>
        <v>0.69963946464035764</v>
      </c>
      <c r="BL36" s="1270">
        <f t="shared" si="41"/>
        <v>0.69902584854073158</v>
      </c>
    </row>
    <row r="37" spans="2:64" x14ac:dyDescent="0.15">
      <c r="B37" s="1171" t="s">
        <v>274</v>
      </c>
      <c r="C37" s="1170"/>
      <c r="J37" s="1164"/>
      <c r="K37" s="1045"/>
      <c r="L37" s="1045"/>
      <c r="M37" s="1045"/>
      <c r="N37" s="1259"/>
      <c r="O37" s="1260"/>
      <c r="P37" s="1260"/>
      <c r="Q37" s="1260"/>
      <c r="R37" s="1260"/>
      <c r="S37" s="1206">
        <f>S36*S41</f>
        <v>14.767999999999999</v>
      </c>
      <c r="T37" s="1206">
        <f t="shared" ref="T37:BG37" si="42">T36*T41</f>
        <v>0</v>
      </c>
      <c r="U37" s="1206">
        <f t="shared" si="42"/>
        <v>0</v>
      </c>
      <c r="V37" s="1206">
        <f t="shared" si="42"/>
        <v>0</v>
      </c>
      <c r="W37" s="1206">
        <f t="shared" si="42"/>
        <v>0</v>
      </c>
      <c r="X37" s="1206">
        <f t="shared" si="42"/>
        <v>15.193999999999999</v>
      </c>
      <c r="Y37" s="1206">
        <f t="shared" si="42"/>
        <v>0</v>
      </c>
      <c r="Z37" s="1206">
        <f t="shared" si="42"/>
        <v>0</v>
      </c>
      <c r="AA37" s="1206">
        <f t="shared" si="42"/>
        <v>0</v>
      </c>
      <c r="AB37" s="1206">
        <f t="shared" si="42"/>
        <v>0</v>
      </c>
      <c r="AC37" s="1206">
        <f t="shared" si="42"/>
        <v>15.513500000000001</v>
      </c>
      <c r="AD37" s="1206">
        <f t="shared" si="42"/>
        <v>0</v>
      </c>
      <c r="AE37" s="1206">
        <f t="shared" si="42"/>
        <v>0</v>
      </c>
      <c r="AF37" s="1206">
        <f t="shared" si="42"/>
        <v>0</v>
      </c>
      <c r="AG37" s="1206">
        <f t="shared" si="42"/>
        <v>0</v>
      </c>
      <c r="AH37" s="1206">
        <f t="shared" si="42"/>
        <v>16.272000000000002</v>
      </c>
      <c r="AI37" s="1206">
        <f t="shared" si="42"/>
        <v>0</v>
      </c>
      <c r="AJ37" s="1206">
        <f t="shared" si="42"/>
        <v>0</v>
      </c>
      <c r="AK37" s="1206">
        <f t="shared" si="42"/>
        <v>0</v>
      </c>
      <c r="AL37" s="1206">
        <f t="shared" si="42"/>
        <v>0</v>
      </c>
      <c r="AM37" s="1206">
        <f t="shared" si="42"/>
        <v>16.919999999999998</v>
      </c>
      <c r="AN37" s="1206">
        <f t="shared" si="42"/>
        <v>0</v>
      </c>
      <c r="AO37" s="1206">
        <f t="shared" si="42"/>
        <v>0</v>
      </c>
      <c r="AP37" s="1206">
        <f t="shared" si="42"/>
        <v>0</v>
      </c>
      <c r="AQ37" s="1206">
        <f t="shared" si="42"/>
        <v>0</v>
      </c>
      <c r="AR37" s="1206">
        <f t="shared" si="42"/>
        <v>20.23</v>
      </c>
      <c r="AS37" s="1206">
        <f t="shared" si="42"/>
        <v>0</v>
      </c>
      <c r="AT37" s="1206">
        <f t="shared" si="42"/>
        <v>0</v>
      </c>
      <c r="AU37" s="1206">
        <f t="shared" si="42"/>
        <v>0</v>
      </c>
      <c r="AV37" s="1206">
        <f t="shared" si="42"/>
        <v>0</v>
      </c>
      <c r="AW37" s="1206">
        <f t="shared" si="42"/>
        <v>20.51</v>
      </c>
      <c r="AX37" s="1206">
        <f t="shared" si="42"/>
        <v>0</v>
      </c>
      <c r="AY37" s="1206">
        <f t="shared" si="42"/>
        <v>0</v>
      </c>
      <c r="AZ37" s="1206">
        <f t="shared" si="42"/>
        <v>0</v>
      </c>
      <c r="BA37" s="1206">
        <f t="shared" si="42"/>
        <v>0</v>
      </c>
      <c r="BB37" s="1206">
        <f t="shared" si="42"/>
        <v>20.873999999999999</v>
      </c>
      <c r="BC37" s="1206">
        <f t="shared" si="42"/>
        <v>0</v>
      </c>
      <c r="BD37" s="1206">
        <f t="shared" si="42"/>
        <v>0</v>
      </c>
      <c r="BE37" s="1206">
        <f t="shared" si="42"/>
        <v>0</v>
      </c>
      <c r="BF37" s="1206">
        <f t="shared" si="42"/>
        <v>0</v>
      </c>
      <c r="BG37" s="1206">
        <f t="shared" si="42"/>
        <v>21.988799999999998</v>
      </c>
      <c r="BH37" s="1206">
        <f>'Forecast Assumptions'!G6</f>
        <v>22.868351999999998</v>
      </c>
      <c r="BI37" s="1206">
        <f>'Forecast Assumptions'!H6</f>
        <v>23.78308608</v>
      </c>
      <c r="BJ37" s="1206">
        <f>'Forecast Assumptions'!I6</f>
        <v>24.7344095232</v>
      </c>
      <c r="BK37" s="1206">
        <f>'Forecast Assumptions'!J6</f>
        <v>25.723785904128</v>
      </c>
      <c r="BL37" s="1271">
        <f>'Forecast Assumptions'!K6</f>
        <v>26.75273734029312</v>
      </c>
    </row>
    <row r="38" spans="2:64" x14ac:dyDescent="0.15">
      <c r="B38" s="1172"/>
      <c r="C38" s="1173"/>
      <c r="J38" s="1164"/>
      <c r="K38" s="1045"/>
      <c r="L38" s="1045"/>
      <c r="M38" s="1045"/>
      <c r="N38" s="1259"/>
      <c r="O38" s="1260"/>
      <c r="P38" s="1260"/>
      <c r="Q38" s="1260"/>
      <c r="R38" s="1260"/>
      <c r="S38" s="1272"/>
      <c r="T38" s="1260"/>
      <c r="U38" s="1260"/>
      <c r="V38" s="1260"/>
      <c r="W38" s="1260"/>
      <c r="X38" s="1272"/>
      <c r="Y38" s="1260"/>
      <c r="Z38" s="1260"/>
      <c r="AA38" s="1260"/>
      <c r="AB38" s="1260"/>
      <c r="AC38" s="1272"/>
      <c r="AD38" s="1260"/>
      <c r="AE38" s="1260"/>
      <c r="AF38" s="1260"/>
      <c r="AG38" s="1260"/>
      <c r="AH38" s="1272"/>
      <c r="AI38" s="1260"/>
      <c r="AJ38" s="1260"/>
      <c r="AK38" s="1260"/>
      <c r="AL38" s="1260"/>
      <c r="AM38" s="1272"/>
      <c r="AN38" s="1260"/>
      <c r="AO38" s="1260"/>
      <c r="AP38" s="1260"/>
      <c r="AQ38" s="1260"/>
      <c r="AR38" s="1272"/>
      <c r="AS38" s="1260"/>
      <c r="AT38" s="1260"/>
      <c r="AU38" s="1260"/>
      <c r="AV38" s="1260"/>
      <c r="AW38" s="1272"/>
      <c r="AX38" s="1260"/>
      <c r="AY38" s="1260"/>
      <c r="AZ38" s="1260"/>
      <c r="BA38" s="1260"/>
      <c r="BB38" s="1272"/>
      <c r="BC38" s="1260"/>
      <c r="BD38" s="1260"/>
      <c r="BE38" s="1260"/>
      <c r="BF38" s="1260"/>
      <c r="BG38" s="1272"/>
      <c r="BH38" s="1013"/>
      <c r="BI38" s="1013"/>
      <c r="BJ38" s="1013"/>
      <c r="BK38" s="1013"/>
      <c r="BL38" s="1245"/>
    </row>
    <row r="39" spans="2:64" x14ac:dyDescent="0.15">
      <c r="B39" s="1174" t="s">
        <v>275</v>
      </c>
      <c r="C39" s="1175"/>
      <c r="J39" s="1164"/>
      <c r="K39" s="1045"/>
      <c r="L39" s="1045"/>
      <c r="M39" s="1045"/>
      <c r="N39" s="1273">
        <v>10.5</v>
      </c>
      <c r="O39" s="1274"/>
      <c r="P39" s="1274"/>
      <c r="Q39" s="1274"/>
      <c r="R39" s="1274"/>
      <c r="S39" s="1275">
        <v>10.6</v>
      </c>
      <c r="T39" s="1274"/>
      <c r="U39" s="1274"/>
      <c r="V39" s="1274"/>
      <c r="W39" s="1274"/>
      <c r="X39" s="1275">
        <v>10.7</v>
      </c>
      <c r="Y39" s="1274"/>
      <c r="Z39" s="1274"/>
      <c r="AA39" s="1274"/>
      <c r="AB39" s="1274"/>
      <c r="AC39" s="1275">
        <v>10.6</v>
      </c>
      <c r="AD39" s="1274"/>
      <c r="AE39" s="1274"/>
      <c r="AF39" s="1274"/>
      <c r="AG39" s="1274"/>
      <c r="AH39" s="1275">
        <v>10.7</v>
      </c>
      <c r="AI39" s="1274"/>
      <c r="AJ39" s="1274"/>
      <c r="AK39" s="1274"/>
      <c r="AL39" s="1274"/>
      <c r="AM39" s="1275">
        <v>10.7</v>
      </c>
      <c r="AN39" s="1274"/>
      <c r="AO39" s="1274"/>
      <c r="AP39" s="1274"/>
      <c r="AQ39" s="1274"/>
      <c r="AR39" s="1275">
        <v>7.8</v>
      </c>
      <c r="AS39" s="1274"/>
      <c r="AT39" s="1274"/>
      <c r="AU39" s="1274"/>
      <c r="AV39" s="1274"/>
      <c r="AW39" s="1275">
        <v>11.1</v>
      </c>
      <c r="AX39" s="1274"/>
      <c r="AY39" s="1274"/>
      <c r="AZ39" s="1274"/>
      <c r="BA39" s="1274"/>
      <c r="BB39" s="1275">
        <v>12.1</v>
      </c>
      <c r="BC39" s="1274"/>
      <c r="BD39" s="1274"/>
      <c r="BE39" s="1274"/>
      <c r="BF39" s="1274"/>
      <c r="BG39" s="1275">
        <v>12.2</v>
      </c>
      <c r="BH39" s="1013"/>
      <c r="BI39" s="1013"/>
      <c r="BJ39" s="1013"/>
      <c r="BK39" s="1013"/>
      <c r="BL39" s="1245"/>
    </row>
    <row r="40" spans="2:64" x14ac:dyDescent="0.15">
      <c r="B40" s="1176" t="s">
        <v>276</v>
      </c>
      <c r="C40" s="1177"/>
      <c r="J40" s="1164"/>
      <c r="K40" s="1045"/>
      <c r="L40" s="1045"/>
      <c r="M40" s="1045"/>
      <c r="N40" s="1276">
        <v>942</v>
      </c>
      <c r="O40" s="1277"/>
      <c r="P40" s="1277"/>
      <c r="Q40" s="1277"/>
      <c r="R40" s="1277"/>
      <c r="S40" s="1278">
        <v>967</v>
      </c>
      <c r="T40" s="1277"/>
      <c r="U40" s="1277"/>
      <c r="V40" s="1277"/>
      <c r="W40" s="1277"/>
      <c r="X40" s="1278">
        <v>971</v>
      </c>
      <c r="Y40" s="1277"/>
      <c r="Z40" s="1277"/>
      <c r="AA40" s="1277"/>
      <c r="AB40" s="1277"/>
      <c r="AC40" s="1278">
        <v>962</v>
      </c>
      <c r="AD40" s="1277"/>
      <c r="AE40" s="1277"/>
      <c r="AF40" s="1277"/>
      <c r="AG40" s="1277"/>
      <c r="AH40" s="1278">
        <v>978</v>
      </c>
      <c r="AI40" s="1277"/>
      <c r="AJ40" s="1277"/>
      <c r="AK40" s="1277"/>
      <c r="AL40" s="1277"/>
      <c r="AM40" s="1278">
        <v>986</v>
      </c>
      <c r="AN40" s="1277"/>
      <c r="AO40" s="1277"/>
      <c r="AP40" s="1277"/>
      <c r="AQ40" s="1277"/>
      <c r="AR40" s="1278">
        <v>716</v>
      </c>
      <c r="AS40" s="1277"/>
      <c r="AT40" s="1277"/>
      <c r="AU40" s="1277"/>
      <c r="AV40" s="1277"/>
      <c r="AW40" s="1278">
        <v>1019</v>
      </c>
      <c r="AX40" s="1277"/>
      <c r="AY40" s="1277"/>
      <c r="AZ40" s="1277"/>
      <c r="BA40" s="1277"/>
      <c r="BB40" s="1278">
        <v>1116</v>
      </c>
      <c r="BC40" s="1277"/>
      <c r="BD40" s="1277"/>
      <c r="BE40" s="1277"/>
      <c r="BF40" s="1277"/>
      <c r="BG40" s="1278">
        <v>1132</v>
      </c>
      <c r="BH40" s="1013"/>
      <c r="BI40" s="1013"/>
      <c r="BJ40" s="1013"/>
      <c r="BK40" s="1013"/>
      <c r="BL40" s="1245"/>
    </row>
    <row r="41" spans="2:64" x14ac:dyDescent="0.15">
      <c r="B41" s="1178" t="s">
        <v>277</v>
      </c>
      <c r="C41" s="1179"/>
      <c r="D41" s="1013"/>
      <c r="E41" s="1013"/>
      <c r="F41" s="1013"/>
      <c r="G41" s="1013"/>
      <c r="H41" s="1013"/>
      <c r="I41" s="1013"/>
      <c r="J41" s="1168"/>
      <c r="K41" s="1013"/>
      <c r="L41" s="1013"/>
      <c r="M41" s="1013"/>
      <c r="N41" s="1180"/>
      <c r="O41" s="1181"/>
      <c r="P41" s="1181"/>
      <c r="Q41" s="1181"/>
      <c r="R41" s="1181"/>
      <c r="S41" s="1182">
        <v>20.8</v>
      </c>
      <c r="T41" s="1181"/>
      <c r="U41" s="1181"/>
      <c r="V41" s="1181"/>
      <c r="W41" s="1181"/>
      <c r="X41" s="1182">
        <v>21.4</v>
      </c>
      <c r="Y41" s="1181"/>
      <c r="Z41" s="1181"/>
      <c r="AA41" s="1181"/>
      <c r="AB41" s="1181"/>
      <c r="AC41" s="1182">
        <v>21.85</v>
      </c>
      <c r="AD41" s="1181"/>
      <c r="AE41" s="1181"/>
      <c r="AF41" s="1181"/>
      <c r="AG41" s="1181"/>
      <c r="AH41" s="1182">
        <v>22.6</v>
      </c>
      <c r="AI41" s="1181"/>
      <c r="AJ41" s="1181"/>
      <c r="AK41" s="1181"/>
      <c r="AL41" s="1181"/>
      <c r="AM41" s="1182">
        <v>23.5</v>
      </c>
      <c r="AN41" s="1181"/>
      <c r="AO41" s="1181"/>
      <c r="AP41" s="1181"/>
      <c r="AQ41" s="1181"/>
      <c r="AR41" s="1182">
        <v>28.9</v>
      </c>
      <c r="AS41" s="1181"/>
      <c r="AT41" s="1181"/>
      <c r="AU41" s="1181"/>
      <c r="AV41" s="1181"/>
      <c r="AW41" s="1182">
        <v>29.3</v>
      </c>
      <c r="AX41" s="1181"/>
      <c r="AY41" s="1181"/>
      <c r="AZ41" s="1181"/>
      <c r="BA41" s="1181"/>
      <c r="BB41" s="1182">
        <v>29.4</v>
      </c>
      <c r="BC41" s="1181"/>
      <c r="BD41" s="1181"/>
      <c r="BE41" s="1181"/>
      <c r="BF41" s="1181"/>
      <c r="BG41" s="1182">
        <v>30.54</v>
      </c>
      <c r="BH41" s="1279">
        <f>BH37+BH35+BH33</f>
        <v>32.215905999999997</v>
      </c>
      <c r="BI41" s="1279">
        <f t="shared" ref="BI41:BL41" si="43">BI37+BI35+BI33</f>
        <v>33.791066700000002</v>
      </c>
      <c r="BJ41" s="1279">
        <f t="shared" si="43"/>
        <v>35.307629561799999</v>
      </c>
      <c r="BK41" s="1279">
        <f t="shared" si="43"/>
        <v>36.767202543886</v>
      </c>
      <c r="BL41" s="1280">
        <f t="shared" si="43"/>
        <v>38.271456479243859</v>
      </c>
    </row>
    <row r="42" spans="2:64" x14ac:dyDescent="0.15">
      <c r="B42" s="1138"/>
      <c r="J42" s="1164"/>
      <c r="K42" s="1045"/>
      <c r="L42" s="1045"/>
      <c r="M42" s="1045"/>
      <c r="N42" s="1168"/>
      <c r="O42" s="1013"/>
      <c r="P42" s="1013"/>
      <c r="Q42" s="1013"/>
      <c r="R42" s="1013"/>
      <c r="S42" s="1013"/>
      <c r="T42" s="1013"/>
      <c r="U42" s="1013"/>
      <c r="V42" s="1013"/>
      <c r="W42" s="1013"/>
      <c r="X42" s="1013"/>
      <c r="Y42" s="1013"/>
      <c r="Z42" s="1013"/>
      <c r="AA42" s="1013"/>
      <c r="AB42" s="1013"/>
      <c r="AC42" s="1013"/>
      <c r="AD42" s="1013"/>
      <c r="AE42" s="1013"/>
      <c r="AF42" s="1013"/>
      <c r="AG42" s="1013"/>
      <c r="AH42" s="1013"/>
      <c r="AI42" s="1013"/>
      <c r="AJ42" s="1013"/>
      <c r="AK42" s="1013"/>
      <c r="AL42" s="1013"/>
      <c r="AM42" s="1013"/>
      <c r="AN42" s="1013"/>
      <c r="AO42" s="1013"/>
      <c r="AP42" s="1013"/>
      <c r="AQ42" s="1013"/>
      <c r="AR42" s="1013"/>
      <c r="AS42" s="1013"/>
      <c r="AT42" s="1013"/>
      <c r="AU42" s="1013"/>
      <c r="AV42" s="1013"/>
      <c r="AW42" s="1013"/>
      <c r="AX42" s="1013"/>
      <c r="AY42" s="1013"/>
      <c r="AZ42" s="1013"/>
      <c r="BA42" s="1013"/>
      <c r="BB42" s="1013"/>
      <c r="BC42" s="1013"/>
      <c r="BD42" s="1013"/>
      <c r="BE42" s="1013"/>
      <c r="BF42" s="1013"/>
      <c r="BG42" s="1013"/>
      <c r="BH42" s="1013"/>
      <c r="BI42" s="1013"/>
      <c r="BJ42" s="1013"/>
      <c r="BK42" s="1013"/>
      <c r="BL42" s="1245"/>
    </row>
    <row r="43" spans="2:64" x14ac:dyDescent="0.15">
      <c r="B43" s="1167" t="s">
        <v>278</v>
      </c>
      <c r="J43" s="1164"/>
      <c r="K43" s="1045"/>
      <c r="L43" s="1045"/>
      <c r="M43" s="1045"/>
      <c r="N43" s="1168"/>
      <c r="O43" s="1013"/>
      <c r="P43" s="1013"/>
      <c r="Q43" s="1013"/>
      <c r="R43" s="1013"/>
      <c r="S43" s="1013"/>
      <c r="T43" s="1013"/>
      <c r="U43" s="1013"/>
      <c r="V43" s="1013"/>
      <c r="W43" s="1013"/>
      <c r="X43" s="1013"/>
      <c r="Y43" s="1013"/>
      <c r="Z43" s="1013"/>
      <c r="AA43" s="1013"/>
      <c r="AB43" s="1013"/>
      <c r="AC43" s="1013"/>
      <c r="AD43" s="1013"/>
      <c r="AE43" s="1013"/>
      <c r="AF43" s="1013"/>
      <c r="AG43" s="1013"/>
      <c r="AH43" s="1013"/>
      <c r="AI43" s="1013"/>
      <c r="AJ43" s="1013"/>
      <c r="AK43" s="1013"/>
      <c r="AL43" s="1013"/>
      <c r="AM43" s="1013"/>
      <c r="AN43" s="1013"/>
      <c r="AO43" s="1013"/>
      <c r="AP43" s="1013"/>
      <c r="AQ43" s="1013"/>
      <c r="AR43" s="1013"/>
      <c r="AS43" s="1013"/>
      <c r="AT43" s="1013"/>
      <c r="AU43" s="1013"/>
      <c r="AV43" s="1013"/>
      <c r="AW43" s="1013"/>
      <c r="AX43" s="1013"/>
      <c r="AY43" s="1013"/>
      <c r="AZ43" s="1013"/>
      <c r="BA43" s="1013"/>
      <c r="BB43" s="1013"/>
      <c r="BC43" s="1013"/>
      <c r="BD43" s="1013"/>
      <c r="BE43" s="1013"/>
      <c r="BF43" s="1013"/>
      <c r="BG43" s="1013"/>
      <c r="BH43" s="1013"/>
      <c r="BI43" s="1013"/>
      <c r="BJ43" s="1013"/>
      <c r="BK43" s="1013"/>
      <c r="BL43" s="1245"/>
    </row>
    <row r="44" spans="2:64" x14ac:dyDescent="0.15">
      <c r="B44" s="1172" t="s">
        <v>279</v>
      </c>
      <c r="C44" s="1173"/>
      <c r="J44" s="1183"/>
      <c r="K44" s="1184"/>
      <c r="L44" s="1184"/>
      <c r="M44" s="1184"/>
      <c r="N44" s="1281">
        <v>0.02</v>
      </c>
      <c r="O44" s="1262">
        <v>0.02</v>
      </c>
      <c r="P44" s="1262">
        <v>0.02</v>
      </c>
      <c r="Q44" s="1262">
        <v>2.1000000000000001E-2</v>
      </c>
      <c r="R44" s="1262">
        <v>2.5000000000000001E-2</v>
      </c>
      <c r="S44" s="1261">
        <v>2.1999999999999999E-2</v>
      </c>
      <c r="T44" s="1262">
        <v>2.7E-2</v>
      </c>
      <c r="U44" s="1262">
        <v>2.9000000000000001E-2</v>
      </c>
      <c r="V44" s="1262">
        <v>2.5999999999999999E-2</v>
      </c>
      <c r="W44" s="1262">
        <v>2.5000000000000001E-2</v>
      </c>
      <c r="X44" s="1261">
        <v>2.7E-2</v>
      </c>
      <c r="Y44" s="1262">
        <v>2.4E-2</v>
      </c>
      <c r="Z44" s="1262">
        <v>2.1999999999999999E-2</v>
      </c>
      <c r="AA44" s="1262">
        <v>2.4E-2</v>
      </c>
      <c r="AB44" s="1262">
        <v>2.5000000000000001E-2</v>
      </c>
      <c r="AC44" s="1261">
        <v>2.4E-2</v>
      </c>
      <c r="AD44" s="1262">
        <v>2.7E-2</v>
      </c>
      <c r="AE44" s="1262">
        <v>2.9000000000000001E-2</v>
      </c>
      <c r="AF44" s="1262">
        <v>2.9000000000000001E-2</v>
      </c>
      <c r="AG44" s="1262">
        <v>2.9000000000000001E-2</v>
      </c>
      <c r="AH44" s="1261">
        <v>2.8000000000000001E-2</v>
      </c>
      <c r="AI44" s="1262">
        <v>0.03</v>
      </c>
      <c r="AJ44" s="1262">
        <v>3.1E-2</v>
      </c>
      <c r="AK44" s="1262">
        <v>3.2000000000000001E-2</v>
      </c>
      <c r="AL44" s="1262">
        <v>3.2000000000000001E-2</v>
      </c>
      <c r="AM44" s="1261">
        <v>3.1E-2</v>
      </c>
      <c r="AN44" s="1262">
        <v>3.2000000000000001E-2</v>
      </c>
      <c r="AO44" s="1262">
        <v>3.1E-2</v>
      </c>
      <c r="AP44" s="1262">
        <v>0.03</v>
      </c>
      <c r="AQ44" s="1262">
        <v>3.1E-2</v>
      </c>
      <c r="AR44" s="1261">
        <v>3.1E-2</v>
      </c>
      <c r="AS44" s="1262">
        <v>0.03</v>
      </c>
      <c r="AT44" s="1262">
        <v>0.03</v>
      </c>
      <c r="AU44" s="1262">
        <v>0.03</v>
      </c>
      <c r="AV44" s="1262">
        <v>0.03</v>
      </c>
      <c r="AW44" s="1261">
        <v>0.03</v>
      </c>
      <c r="AX44" s="1262">
        <v>3.5999999999999997E-2</v>
      </c>
      <c r="AY44" s="1262">
        <v>4.7E-2</v>
      </c>
      <c r="AZ44" s="1262">
        <v>0.06</v>
      </c>
      <c r="BA44" s="1262">
        <v>0.06</v>
      </c>
      <c r="BB44" s="1261">
        <v>5.8999999999999997E-2</v>
      </c>
      <c r="BC44" s="1262">
        <v>0.104</v>
      </c>
      <c r="BD44" s="1262">
        <v>0.106</v>
      </c>
      <c r="BE44" s="1262">
        <v>9.5000000000000001E-2</v>
      </c>
      <c r="BF44" s="1260">
        <v>7.1191850496244907E-2</v>
      </c>
      <c r="BG44" s="1261">
        <v>9.4E-2</v>
      </c>
      <c r="BH44" s="1034"/>
      <c r="BI44" s="1034"/>
      <c r="BJ44" s="1034"/>
      <c r="BK44" s="1034"/>
      <c r="BL44" s="1244"/>
    </row>
    <row r="45" spans="2:64" x14ac:dyDescent="0.15">
      <c r="B45" s="1172" t="s">
        <v>280</v>
      </c>
      <c r="C45" s="1173"/>
      <c r="J45" s="1183"/>
      <c r="K45" s="1184"/>
      <c r="L45" s="1184"/>
      <c r="M45" s="1184"/>
      <c r="N45" s="1281">
        <v>5.0000000000000001E-3</v>
      </c>
      <c r="O45" s="1262">
        <v>1.2999999999999999E-2</v>
      </c>
      <c r="P45" s="1262">
        <v>0.01</v>
      </c>
      <c r="Q45" s="1262">
        <v>6.0000000000000001E-3</v>
      </c>
      <c r="R45" s="1262">
        <v>5.0000000000000001E-3</v>
      </c>
      <c r="S45" s="1261">
        <v>8.0000000000000002E-3</v>
      </c>
      <c r="T45" s="1262">
        <v>-5.0000000000000001E-3</v>
      </c>
      <c r="U45" s="1262">
        <v>1E-3</v>
      </c>
      <c r="V45" s="1262">
        <v>5.0000000000000001E-3</v>
      </c>
      <c r="W45" s="1262">
        <v>4.0000000000000001E-3</v>
      </c>
      <c r="X45" s="1261">
        <v>1E-3</v>
      </c>
      <c r="Y45" s="1262">
        <v>2E-3</v>
      </c>
      <c r="Z45" s="1262">
        <v>-3.0000000000000001E-3</v>
      </c>
      <c r="AA45" s="1262">
        <v>-4.0000000000000001E-3</v>
      </c>
      <c r="AB45" s="1262">
        <v>-6.0000000000000001E-3</v>
      </c>
      <c r="AC45" s="1261">
        <v>-3.0000000000000001E-3</v>
      </c>
      <c r="AD45" s="1262">
        <v>0</v>
      </c>
      <c r="AE45" s="1262">
        <v>6.0000000000000001E-3</v>
      </c>
      <c r="AF45" s="1262">
        <v>6.0000000000000001E-3</v>
      </c>
      <c r="AG45" s="1262">
        <v>6.0000000000000001E-3</v>
      </c>
      <c r="AH45" s="1261">
        <v>5.0000000000000001E-3</v>
      </c>
      <c r="AI45" s="1262">
        <v>8.0000000000000002E-3</v>
      </c>
      <c r="AJ45" s="1262">
        <v>7.0000000000000001E-3</v>
      </c>
      <c r="AK45" s="1262">
        <v>8.9999999999999993E-3</v>
      </c>
      <c r="AL45" s="1262">
        <v>1.2E-2</v>
      </c>
      <c r="AM45" s="1261">
        <v>8.9999999999999993E-3</v>
      </c>
      <c r="AN45" s="1262">
        <v>1.9E-2</v>
      </c>
      <c r="AO45" s="1262">
        <v>0.11700000000000001</v>
      </c>
      <c r="AP45" s="1262">
        <v>0.14099999999999999</v>
      </c>
      <c r="AQ45" s="1262">
        <v>0.11700000000000001</v>
      </c>
      <c r="AR45" s="1261">
        <v>0.10199999999999999</v>
      </c>
      <c r="AS45" s="1262">
        <v>0.16600000000000001</v>
      </c>
      <c r="AT45" s="1262">
        <v>-0.55700000000000005</v>
      </c>
      <c r="AU45" s="1262">
        <v>2.1000000000000001E-2</v>
      </c>
      <c r="AV45" s="1262">
        <v>2.1000000000000001E-2</v>
      </c>
      <c r="AW45" s="1261">
        <v>-4.0000000000000001E-3</v>
      </c>
      <c r="AX45" s="1262">
        <v>-8.2000000000000003E-2</v>
      </c>
      <c r="AY45" s="1262">
        <v>-5.7000000000000002E-2</v>
      </c>
      <c r="AZ45" s="1262">
        <v>-0.05</v>
      </c>
      <c r="BA45" s="1262">
        <v>-0.05</v>
      </c>
      <c r="BB45" s="1261">
        <v>-5.7000000000000002E-2</v>
      </c>
      <c r="BC45" s="1262">
        <v>-5.7000000000000002E-2</v>
      </c>
      <c r="BD45" s="1262">
        <v>-5.3999999999999999E-2</v>
      </c>
      <c r="BE45" s="1262">
        <v>-6.0999999999999999E-2</v>
      </c>
      <c r="BF45" s="1260">
        <v>-4.433331561481977E-2</v>
      </c>
      <c r="BG45" s="1261">
        <v>-5.3999999999999999E-2</v>
      </c>
      <c r="BH45" s="1034"/>
      <c r="BI45" s="1034"/>
      <c r="BJ45" s="1034"/>
      <c r="BK45" s="1034"/>
      <c r="BL45" s="1244"/>
    </row>
    <row r="46" spans="2:64" x14ac:dyDescent="0.15">
      <c r="B46" s="1172" t="s">
        <v>281</v>
      </c>
      <c r="C46" s="1173"/>
      <c r="J46" s="1183"/>
      <c r="K46" s="1184"/>
      <c r="L46" s="1184"/>
      <c r="M46" s="1184"/>
      <c r="N46" s="1259">
        <f t="shared" ref="N46:BG46" si="44">N44+N45</f>
        <v>2.5000000000000001E-2</v>
      </c>
      <c r="O46" s="1260">
        <f t="shared" si="44"/>
        <v>3.3000000000000002E-2</v>
      </c>
      <c r="P46" s="1260">
        <f t="shared" si="44"/>
        <v>0.03</v>
      </c>
      <c r="Q46" s="1260">
        <f t="shared" si="44"/>
        <v>2.7000000000000003E-2</v>
      </c>
      <c r="R46" s="1260">
        <f t="shared" si="44"/>
        <v>3.0000000000000002E-2</v>
      </c>
      <c r="S46" s="1272">
        <f t="shared" si="44"/>
        <v>0.03</v>
      </c>
      <c r="T46" s="1260">
        <f t="shared" si="44"/>
        <v>2.1999999999999999E-2</v>
      </c>
      <c r="U46" s="1260">
        <f t="shared" si="44"/>
        <v>3.0000000000000002E-2</v>
      </c>
      <c r="V46" s="1260">
        <f t="shared" si="44"/>
        <v>3.1E-2</v>
      </c>
      <c r="W46" s="1260">
        <f t="shared" si="44"/>
        <v>2.9000000000000001E-2</v>
      </c>
      <c r="X46" s="1272">
        <f t="shared" si="44"/>
        <v>2.8000000000000001E-2</v>
      </c>
      <c r="Y46" s="1260">
        <f t="shared" si="44"/>
        <v>2.6000000000000002E-2</v>
      </c>
      <c r="Z46" s="1260">
        <f t="shared" si="44"/>
        <v>1.9E-2</v>
      </c>
      <c r="AA46" s="1260">
        <f t="shared" si="44"/>
        <v>0.02</v>
      </c>
      <c r="AB46" s="1260">
        <f t="shared" si="44"/>
        <v>1.9000000000000003E-2</v>
      </c>
      <c r="AC46" s="1272">
        <f t="shared" si="44"/>
        <v>2.1000000000000001E-2</v>
      </c>
      <c r="AD46" s="1260">
        <f t="shared" si="44"/>
        <v>2.7E-2</v>
      </c>
      <c r="AE46" s="1260">
        <f t="shared" si="44"/>
        <v>3.5000000000000003E-2</v>
      </c>
      <c r="AF46" s="1260">
        <f t="shared" si="44"/>
        <v>3.5000000000000003E-2</v>
      </c>
      <c r="AG46" s="1260">
        <f t="shared" si="44"/>
        <v>3.5000000000000003E-2</v>
      </c>
      <c r="AH46" s="1272">
        <f t="shared" si="44"/>
        <v>3.3000000000000002E-2</v>
      </c>
      <c r="AI46" s="1260">
        <f t="shared" si="44"/>
        <v>3.7999999999999999E-2</v>
      </c>
      <c r="AJ46" s="1260">
        <f t="shared" si="44"/>
        <v>3.7999999999999999E-2</v>
      </c>
      <c r="AK46" s="1260">
        <f t="shared" si="44"/>
        <v>4.1000000000000002E-2</v>
      </c>
      <c r="AL46" s="1260">
        <f t="shared" si="44"/>
        <v>4.3999999999999997E-2</v>
      </c>
      <c r="AM46" s="1272">
        <f t="shared" si="44"/>
        <v>0.04</v>
      </c>
      <c r="AN46" s="1260">
        <f t="shared" si="44"/>
        <v>5.1000000000000004E-2</v>
      </c>
      <c r="AO46" s="1260">
        <f t="shared" si="44"/>
        <v>0.14800000000000002</v>
      </c>
      <c r="AP46" s="1260">
        <f t="shared" si="44"/>
        <v>0.17099999999999999</v>
      </c>
      <c r="AQ46" s="1260">
        <v>0.14800000000000002</v>
      </c>
      <c r="AR46" s="1272">
        <f t="shared" si="44"/>
        <v>0.13300000000000001</v>
      </c>
      <c r="AS46" s="1260">
        <f t="shared" si="44"/>
        <v>0.19600000000000001</v>
      </c>
      <c r="AT46" s="1260">
        <f t="shared" si="44"/>
        <v>-0.52700000000000002</v>
      </c>
      <c r="AU46" s="1260">
        <f t="shared" si="44"/>
        <v>5.1000000000000004E-2</v>
      </c>
      <c r="AV46" s="1260">
        <f t="shared" ref="AV46" si="45">AV44+AV45</f>
        <v>5.1000000000000004E-2</v>
      </c>
      <c r="AW46" s="1272">
        <f t="shared" si="44"/>
        <v>2.5999999999999999E-2</v>
      </c>
      <c r="AX46" s="1260">
        <f t="shared" si="44"/>
        <v>-4.6000000000000006E-2</v>
      </c>
      <c r="AY46" s="1260">
        <f t="shared" si="44"/>
        <v>-1.0000000000000002E-2</v>
      </c>
      <c r="AZ46" s="1260">
        <f t="shared" si="44"/>
        <v>9.999999999999995E-3</v>
      </c>
      <c r="BA46" s="1260">
        <f t="shared" ref="BA46" si="46">BA44+BA45</f>
        <v>9.999999999999995E-3</v>
      </c>
      <c r="BB46" s="1272">
        <f t="shared" si="44"/>
        <v>1.9999999999999948E-3</v>
      </c>
      <c r="BC46" s="1260">
        <f t="shared" si="44"/>
        <v>4.6999999999999993E-2</v>
      </c>
      <c r="BD46" s="1260">
        <f t="shared" si="44"/>
        <v>5.1999999999999998E-2</v>
      </c>
      <c r="BE46" s="1260">
        <f t="shared" si="44"/>
        <v>3.4000000000000002E-2</v>
      </c>
      <c r="BF46" s="1260">
        <v>2.6858534881425138E-2</v>
      </c>
      <c r="BG46" s="1272">
        <f t="shared" si="44"/>
        <v>0.04</v>
      </c>
      <c r="BH46" s="1034"/>
      <c r="BI46" s="1034"/>
      <c r="BJ46" s="1034"/>
      <c r="BK46" s="1034"/>
      <c r="BL46" s="1244"/>
    </row>
    <row r="47" spans="2:64" x14ac:dyDescent="0.15">
      <c r="B47" s="1172" t="s">
        <v>282</v>
      </c>
      <c r="C47" s="1173"/>
      <c r="J47" s="1183"/>
      <c r="K47" s="1184"/>
      <c r="L47" s="1184"/>
      <c r="M47" s="1184"/>
      <c r="N47" s="1281">
        <v>-0.01</v>
      </c>
      <c r="O47" s="1262">
        <v>8.9999999999999993E-3</v>
      </c>
      <c r="P47" s="1262">
        <v>-2E-3</v>
      </c>
      <c r="Q47" s="1262">
        <v>-5.0000000000000001E-3</v>
      </c>
      <c r="R47" s="1262">
        <v>-1.9E-2</v>
      </c>
      <c r="S47" s="1261">
        <v>-4.0000000000000001E-3</v>
      </c>
      <c r="T47" s="1262">
        <v>-5.0000000000000001E-3</v>
      </c>
      <c r="U47" s="1262">
        <v>-2.7E-2</v>
      </c>
      <c r="V47" s="1262">
        <v>-1.4E-2</v>
      </c>
      <c r="W47" s="1262">
        <v>-1.7999999999999999E-2</v>
      </c>
      <c r="X47" s="1261">
        <v>-1.6E-2</v>
      </c>
      <c r="Y47" s="1262">
        <v>-2.3E-2</v>
      </c>
      <c r="Z47" s="1262">
        <v>-2.4E-2</v>
      </c>
      <c r="AA47" s="1262">
        <v>-4.2999999999999997E-2</v>
      </c>
      <c r="AB47" s="1262">
        <v>-2.8000000000000001E-2</v>
      </c>
      <c r="AC47" s="1261">
        <v>-2.9000000000000001E-2</v>
      </c>
      <c r="AD47" s="1262">
        <v>-6.0000000000000001E-3</v>
      </c>
      <c r="AE47" s="1262">
        <v>-2.1000000000000001E-2</v>
      </c>
      <c r="AF47" s="1262">
        <v>-0.02</v>
      </c>
      <c r="AG47" s="1262">
        <v>-1.6E-2</v>
      </c>
      <c r="AH47" s="1261">
        <v>-1.6E-2</v>
      </c>
      <c r="AI47" s="1262">
        <v>-2.5000000000000001E-2</v>
      </c>
      <c r="AJ47" s="1262">
        <v>-2.8000000000000001E-2</v>
      </c>
      <c r="AK47" s="1262">
        <v>-3.6999999999999998E-2</v>
      </c>
      <c r="AL47" s="1262">
        <v>-3.7999999999999999E-2</v>
      </c>
      <c r="AM47" s="1261">
        <v>-3.2000000000000001E-2</v>
      </c>
      <c r="AN47" s="1262">
        <v>-0.18</v>
      </c>
      <c r="AO47" s="1262">
        <v>-0.71699999999999997</v>
      </c>
      <c r="AP47" s="1262">
        <v>-0.40400000000000003</v>
      </c>
      <c r="AQ47" s="1262">
        <v>-0.71699999999999997</v>
      </c>
      <c r="AR47" s="1261">
        <v>-0.41499999999999998</v>
      </c>
      <c r="AS47" s="1262">
        <v>-0.16800000000000001</v>
      </c>
      <c r="AT47" s="1262">
        <v>2.0270000000000001</v>
      </c>
      <c r="AU47" s="1262">
        <v>0.42899999999999999</v>
      </c>
      <c r="AV47" s="1262">
        <v>0.42899999999999999</v>
      </c>
      <c r="AW47" s="1261">
        <v>0.41399999999999998</v>
      </c>
      <c r="AX47" s="1262">
        <v>0.253</v>
      </c>
      <c r="AY47" s="1262">
        <v>5.7000000000000002E-2</v>
      </c>
      <c r="AZ47" s="1262">
        <v>1E-3</v>
      </c>
      <c r="BA47" s="1262">
        <v>1E-3</v>
      </c>
      <c r="BB47" s="1261">
        <v>6.8000000000000005E-2</v>
      </c>
      <c r="BC47" s="1262">
        <v>0.01</v>
      </c>
      <c r="BD47" s="1262">
        <v>-3.6999999999999998E-2</v>
      </c>
      <c r="BE47" s="1262">
        <v>-0.01</v>
      </c>
      <c r="BF47" s="1260">
        <v>-1.8585348814251362E-3</v>
      </c>
      <c r="BG47" s="1261">
        <v>-0.01</v>
      </c>
      <c r="BH47" s="1034"/>
      <c r="BI47" s="1034"/>
      <c r="BJ47" s="1034"/>
      <c r="BK47" s="1034"/>
      <c r="BL47" s="1244"/>
    </row>
    <row r="48" spans="2:64" x14ac:dyDescent="0.15">
      <c r="B48" s="1138"/>
      <c r="J48" s="1164"/>
      <c r="K48" s="1045"/>
      <c r="L48" s="1045"/>
      <c r="M48" s="1045"/>
      <c r="N48" s="1168"/>
      <c r="O48" s="1013"/>
      <c r="P48" s="1013"/>
      <c r="Q48" s="1013"/>
      <c r="R48" s="1013"/>
      <c r="S48" s="1013"/>
      <c r="T48" s="1013"/>
      <c r="U48" s="1013"/>
      <c r="V48" s="1013"/>
      <c r="W48" s="1013"/>
      <c r="X48" s="1013"/>
      <c r="Y48" s="1013"/>
      <c r="Z48" s="1013"/>
      <c r="AA48" s="1013"/>
      <c r="AB48" s="1013"/>
      <c r="AC48" s="1013"/>
      <c r="AD48" s="1013"/>
      <c r="AE48" s="1013"/>
      <c r="AF48" s="1013"/>
      <c r="AG48" s="1013"/>
      <c r="AH48" s="1013"/>
      <c r="AI48" s="1013"/>
      <c r="AJ48" s="1013"/>
      <c r="AK48" s="1013"/>
      <c r="AL48" s="1013"/>
      <c r="AM48" s="1013"/>
      <c r="AN48" s="1013"/>
      <c r="AO48" s="1013"/>
      <c r="AP48" s="1013"/>
      <c r="AQ48" s="1013"/>
      <c r="AR48" s="1013"/>
      <c r="AS48" s="1013"/>
      <c r="AT48" s="1013"/>
      <c r="AU48" s="1013"/>
      <c r="AV48" s="1013"/>
      <c r="AW48" s="1013"/>
      <c r="AX48" s="1013"/>
      <c r="AY48" s="1013"/>
      <c r="AZ48" s="1013"/>
      <c r="BA48" s="1013"/>
      <c r="BB48" s="1013"/>
      <c r="BC48" s="1013"/>
      <c r="BD48" s="1013"/>
      <c r="BE48" s="1013"/>
      <c r="BF48" s="1013"/>
      <c r="BG48" s="1013"/>
      <c r="BH48" s="1013"/>
      <c r="BI48" s="1013"/>
      <c r="BJ48" s="1013"/>
      <c r="BK48" s="1013"/>
      <c r="BL48" s="1245"/>
    </row>
    <row r="49" spans="2:64" x14ac:dyDescent="0.15">
      <c r="B49" s="1167" t="s">
        <v>283</v>
      </c>
      <c r="J49" s="1164"/>
      <c r="K49" s="1045"/>
      <c r="L49" s="1045"/>
      <c r="M49" s="1045"/>
      <c r="N49" s="1168"/>
      <c r="O49" s="1013"/>
      <c r="P49" s="1013"/>
      <c r="Q49" s="1013"/>
      <c r="R49" s="1013"/>
      <c r="S49" s="1013"/>
      <c r="T49" s="1013"/>
      <c r="U49" s="1013"/>
      <c r="V49" s="1013"/>
      <c r="W49" s="1013"/>
      <c r="X49" s="1013"/>
      <c r="Y49" s="1013"/>
      <c r="Z49" s="1013"/>
      <c r="AA49" s="1013"/>
      <c r="AB49" s="1013"/>
      <c r="AC49" s="1013"/>
      <c r="AD49" s="1013"/>
      <c r="AE49" s="1013"/>
      <c r="AF49" s="1013"/>
      <c r="AG49" s="1013"/>
      <c r="AH49" s="1013"/>
      <c r="AI49" s="1013"/>
      <c r="AJ49" s="1013"/>
      <c r="AK49" s="1013"/>
      <c r="AL49" s="1013"/>
      <c r="AM49" s="1013"/>
      <c r="AN49" s="1013"/>
      <c r="AO49" s="1013"/>
      <c r="AP49" s="1013"/>
      <c r="AQ49" s="1013"/>
      <c r="AR49" s="1013"/>
      <c r="AS49" s="1013"/>
      <c r="AT49" s="1013"/>
      <c r="AU49" s="1013"/>
      <c r="AV49" s="1013"/>
      <c r="AW49" s="1013"/>
      <c r="AX49" s="1013"/>
      <c r="AY49" s="1013"/>
      <c r="AZ49" s="1013"/>
      <c r="BA49" s="1013"/>
      <c r="BB49" s="1013"/>
      <c r="BC49" s="1013"/>
      <c r="BD49" s="1013"/>
      <c r="BE49" s="1013"/>
      <c r="BF49" s="1013"/>
      <c r="BG49" s="1013"/>
      <c r="BH49" s="1013"/>
      <c r="BI49" s="1013"/>
      <c r="BJ49" s="1013"/>
      <c r="BK49" s="1013"/>
      <c r="BL49" s="1245"/>
    </row>
    <row r="50" spans="2:64" x14ac:dyDescent="0.15">
      <c r="B50" s="1172" t="s">
        <v>284</v>
      </c>
      <c r="C50" s="1173"/>
      <c r="J50" s="1148">
        <v>0</v>
      </c>
      <c r="K50" s="1149">
        <v>0</v>
      </c>
      <c r="L50" s="1149">
        <v>0</v>
      </c>
      <c r="M50" s="1149">
        <v>0</v>
      </c>
      <c r="N50" s="1282">
        <f t="shared" ref="N50:BG50" si="47">N53/N17*1000</f>
        <v>201.75512041413461</v>
      </c>
      <c r="O50" s="1257">
        <f t="shared" si="47"/>
        <v>205.48326814428512</v>
      </c>
      <c r="P50" s="1257">
        <f t="shared" si="47"/>
        <v>209.21428571428572</v>
      </c>
      <c r="Q50" s="1257">
        <f t="shared" si="47"/>
        <v>205.9400684931507</v>
      </c>
      <c r="R50" s="1257">
        <f t="shared" si="47"/>
        <v>199.07268170426065</v>
      </c>
      <c r="S50" s="1257">
        <f t="shared" si="47"/>
        <v>204.87720800770796</v>
      </c>
      <c r="T50" s="1257">
        <f t="shared" si="47"/>
        <v>207.84729064039408</v>
      </c>
      <c r="U50" s="1257">
        <f t="shared" si="47"/>
        <v>209.11683006535947</v>
      </c>
      <c r="V50" s="1257">
        <f t="shared" si="47"/>
        <v>208.4004884004884</v>
      </c>
      <c r="W50" s="1257">
        <f t="shared" si="47"/>
        <v>203.64646840148697</v>
      </c>
      <c r="X50" s="1257">
        <f t="shared" si="47"/>
        <v>207.16608513607818</v>
      </c>
      <c r="Y50" s="1257">
        <f t="shared" si="47"/>
        <v>204.29579698651864</v>
      </c>
      <c r="Z50" s="1257">
        <f t="shared" si="47"/>
        <v>206.68573698847834</v>
      </c>
      <c r="AA50" s="1257">
        <f t="shared" si="47"/>
        <v>202.13938669852649</v>
      </c>
      <c r="AB50" s="1257">
        <f t="shared" si="47"/>
        <v>201.71708463949844</v>
      </c>
      <c r="AC50" s="1257">
        <f t="shared" si="47"/>
        <v>203.70382102553947</v>
      </c>
      <c r="AD50" s="1257">
        <f t="shared" si="47"/>
        <v>209.03478933127175</v>
      </c>
      <c r="AE50" s="1257">
        <f t="shared" si="47"/>
        <v>209.95429899302863</v>
      </c>
      <c r="AF50" s="1257">
        <f t="shared" si="47"/>
        <v>205.50775193798452</v>
      </c>
      <c r="AG50" s="1257">
        <f t="shared" si="47"/>
        <v>204.54181117533719</v>
      </c>
      <c r="AH50" s="1257">
        <f t="shared" si="47"/>
        <v>205.65999613302398</v>
      </c>
      <c r="AI50" s="1257">
        <f t="shared" si="47"/>
        <v>209.96287791810181</v>
      </c>
      <c r="AJ50" s="1257">
        <f t="shared" si="47"/>
        <v>210.18254573170734</v>
      </c>
      <c r="AK50" s="1257">
        <f t="shared" si="47"/>
        <v>203.99581430745815</v>
      </c>
      <c r="AL50" s="1257">
        <f t="shared" si="47"/>
        <v>205.1333333333333</v>
      </c>
      <c r="AM50" s="1257">
        <f t="shared" si="47"/>
        <v>207.30817490494297</v>
      </c>
      <c r="AN50" s="1257">
        <f t="shared" si="47"/>
        <v>182.67427075542258</v>
      </c>
      <c r="AO50" s="1257">
        <f t="shared" si="47"/>
        <v>91.313636363636377</v>
      </c>
      <c r="AP50" s="1257">
        <f t="shared" si="47"/>
        <v>156.64312546957174</v>
      </c>
      <c r="AQ50" s="1257">
        <f t="shared" si="47"/>
        <v>164.47299324831212</v>
      </c>
      <c r="AR50" s="1257">
        <f t="shared" si="47"/>
        <v>148.93892125540313</v>
      </c>
      <c r="AS50" s="1257">
        <f t="shared" si="47"/>
        <v>186.4783420463032</v>
      </c>
      <c r="AT50" s="1257">
        <f t="shared" si="47"/>
        <v>225.45187662578968</v>
      </c>
      <c r="AU50" s="1257">
        <f t="shared" si="47"/>
        <v>220.36258832279657</v>
      </c>
      <c r="AV50" s="1257">
        <f t="shared" si="47"/>
        <v>220.21851851851855</v>
      </c>
      <c r="AW50" s="1257">
        <f t="shared" si="47"/>
        <v>213.16462167689158</v>
      </c>
      <c r="AX50" s="1257">
        <f t="shared" si="47"/>
        <v>225.52366863905326</v>
      </c>
      <c r="AY50" s="1257">
        <f t="shared" si="47"/>
        <v>237.00369822485203</v>
      </c>
      <c r="AZ50" s="1257">
        <f t="shared" si="47"/>
        <v>222.88428835489836</v>
      </c>
      <c r="BA50" s="1257">
        <f t="shared" si="47"/>
        <v>229.48860156515823</v>
      </c>
      <c r="BB50" s="1257">
        <f t="shared" si="47"/>
        <v>228.74077090119434</v>
      </c>
      <c r="BC50" s="1257">
        <f t="shared" si="47"/>
        <v>239.67848008768723</v>
      </c>
      <c r="BD50" s="1257">
        <f t="shared" si="47"/>
        <v>238.65435259692757</v>
      </c>
      <c r="BE50" s="1257">
        <f t="shared" si="47"/>
        <v>227.91727140783743</v>
      </c>
      <c r="BF50" s="1257">
        <f t="shared" si="47"/>
        <v>236.59540064678393</v>
      </c>
      <c r="BG50" s="1257">
        <f t="shared" si="47"/>
        <v>235.7008174386921</v>
      </c>
      <c r="BH50" s="1257">
        <f>BH22*BH41/1000</f>
        <v>252.08817581375999</v>
      </c>
      <c r="BI50" s="1257">
        <f t="shared" ref="BI50:BL50" si="48">BI22*BI41/1000</f>
        <v>267.80366509617608</v>
      </c>
      <c r="BJ50" s="1257">
        <f t="shared" si="48"/>
        <v>283.36491181118208</v>
      </c>
      <c r="BK50" s="1257">
        <f t="shared" si="48"/>
        <v>298.76734649541413</v>
      </c>
      <c r="BL50" s="1283">
        <f t="shared" si="48"/>
        <v>314.83018614781503</v>
      </c>
    </row>
    <row r="51" spans="2:64" x14ac:dyDescent="0.15">
      <c r="B51" s="1172" t="s">
        <v>285</v>
      </c>
      <c r="C51" s="1173"/>
      <c r="J51" s="1148">
        <f t="shared" ref="J51:AO51" si="49">J50*J18/1000</f>
        <v>0</v>
      </c>
      <c r="K51" s="1149">
        <f t="shared" si="49"/>
        <v>0</v>
      </c>
      <c r="L51" s="1149">
        <f t="shared" si="49"/>
        <v>0</v>
      </c>
      <c r="M51" s="1149">
        <f t="shared" si="49"/>
        <v>0</v>
      </c>
      <c r="N51" s="1282">
        <f t="shared" si="49"/>
        <v>10.491856620336504</v>
      </c>
      <c r="O51" s="1257">
        <f t="shared" si="49"/>
        <v>2.6712824858757065</v>
      </c>
      <c r="P51" s="1257">
        <f t="shared" si="49"/>
        <v>2.7150842696629214</v>
      </c>
      <c r="Q51" s="1257">
        <f t="shared" si="49"/>
        <v>2.6726444444444448</v>
      </c>
      <c r="R51" s="1257">
        <f t="shared" si="49"/>
        <v>2.5901086956521735</v>
      </c>
      <c r="S51" s="1257">
        <f t="shared" si="49"/>
        <v>10.646776077885955</v>
      </c>
      <c r="T51" s="1257">
        <f t="shared" si="49"/>
        <v>2.7003519999999996</v>
      </c>
      <c r="U51" s="1257">
        <f t="shared" si="49"/>
        <v>2.7157453580901856</v>
      </c>
      <c r="V51" s="1257">
        <f t="shared" si="49"/>
        <v>2.7092063492063492</v>
      </c>
      <c r="W51" s="1257">
        <f t="shared" si="49"/>
        <v>2.8606214099216709</v>
      </c>
      <c r="X51" s="1257">
        <f t="shared" si="49"/>
        <v>10.987881031064111</v>
      </c>
      <c r="Y51" s="1257">
        <f t="shared" si="49"/>
        <v>2.6558453608247423</v>
      </c>
      <c r="Z51" s="1257">
        <f t="shared" si="49"/>
        <v>2.6885167958656329</v>
      </c>
      <c r="AA51" s="1257">
        <f t="shared" si="49"/>
        <v>2.6231111111111112</v>
      </c>
      <c r="AB51" s="1257">
        <f t="shared" si="49"/>
        <v>2.6197557251908399</v>
      </c>
      <c r="AC51" s="1257">
        <f t="shared" si="49"/>
        <v>10.586834726688101</v>
      </c>
      <c r="AD51" s="1257">
        <f t="shared" si="49"/>
        <v>2.7174522613065326</v>
      </c>
      <c r="AE51" s="1257">
        <f t="shared" si="49"/>
        <v>2.7309924433249368</v>
      </c>
      <c r="AF51" s="1257">
        <f t="shared" si="49"/>
        <v>2.6710831234256931</v>
      </c>
      <c r="AG51" s="1257">
        <f t="shared" si="49"/>
        <v>2.6539299999999999</v>
      </c>
      <c r="AH51" s="1257">
        <f t="shared" si="49"/>
        <v>10.690185929648242</v>
      </c>
      <c r="AI51" s="1257">
        <f t="shared" si="49"/>
        <v>2.7295174129353237</v>
      </c>
      <c r="AJ51" s="1257">
        <f t="shared" si="49"/>
        <v>2.7370669975186108</v>
      </c>
      <c r="AK51" s="1257">
        <f t="shared" si="49"/>
        <v>2.6474123456790126</v>
      </c>
      <c r="AL51" s="1257">
        <f t="shared" si="49"/>
        <v>2.6632224938875302</v>
      </c>
      <c r="AM51" s="1257">
        <f t="shared" si="49"/>
        <v>10.776439777640519</v>
      </c>
      <c r="AN51" s="1257">
        <f t="shared" si="49"/>
        <v>2.3712184466019415</v>
      </c>
      <c r="AO51" s="1257">
        <f t="shared" si="49"/>
        <v>1.1702330097087381</v>
      </c>
      <c r="AP51" s="1257">
        <f t="shared" ref="AP51:BG51" si="50">AP50*AP18/1000</f>
        <v>2.0291192214111922</v>
      </c>
      <c r="AQ51" s="1257">
        <f t="shared" si="50"/>
        <v>2.1337469586374707</v>
      </c>
      <c r="AR51" s="1257">
        <f t="shared" si="50"/>
        <v>7.7035625759416773</v>
      </c>
      <c r="AS51" s="1257">
        <f t="shared" si="50"/>
        <v>2.4183486682808715</v>
      </c>
      <c r="AT51" s="1257">
        <f t="shared" si="50"/>
        <v>2.9308743961352657</v>
      </c>
      <c r="AU51" s="1257">
        <f t="shared" si="50"/>
        <v>2.8625845410628017</v>
      </c>
      <c r="AV51" s="1257">
        <f t="shared" si="50"/>
        <v>2.8654939759036147</v>
      </c>
      <c r="AW51" s="1257">
        <f t="shared" si="50"/>
        <v>11.078381642512078</v>
      </c>
      <c r="AX51" s="1257">
        <f t="shared" si="50"/>
        <v>2.9318076923076926</v>
      </c>
      <c r="AY51" s="1257">
        <f t="shared" si="50"/>
        <v>3.0810480769230764</v>
      </c>
      <c r="AZ51" s="1257">
        <f t="shared" si="50"/>
        <v>2.8916163069544365</v>
      </c>
      <c r="BA51" s="1257">
        <f t="shared" si="50"/>
        <v>3.2117476190476193</v>
      </c>
      <c r="BB51" s="1257">
        <f t="shared" si="50"/>
        <v>12.117641701617735</v>
      </c>
      <c r="BC51" s="1257">
        <f t="shared" si="50"/>
        <v>3.1163895486935864</v>
      </c>
      <c r="BD51" s="1257">
        <f t="shared" si="50"/>
        <v>3.0996722090261284</v>
      </c>
      <c r="BE51" s="1257">
        <f t="shared" si="50"/>
        <v>2.9629245283018868</v>
      </c>
      <c r="BF51" s="1257">
        <f t="shared" si="50"/>
        <v>3.0696736596736582</v>
      </c>
      <c r="BG51" s="1257">
        <f t="shared" si="50"/>
        <v>12.248099115044248</v>
      </c>
      <c r="BH51" s="1257">
        <f>BH50*BH18/1000</f>
        <v>13.139678746166849</v>
      </c>
      <c r="BI51" s="1257">
        <f t="shared" ref="BI51:BL51" si="51">BI50*BI18/1000</f>
        <v>13.966355319041838</v>
      </c>
      <c r="BJ51" s="1257">
        <f t="shared" si="51"/>
        <v>14.802182018337751</v>
      </c>
      <c r="BK51" s="1257">
        <f t="shared" si="51"/>
        <v>15.622665583723538</v>
      </c>
      <c r="BL51" s="1283">
        <f t="shared" si="51"/>
        <v>16.419464397586491</v>
      </c>
    </row>
    <row r="52" spans="2:64" x14ac:dyDescent="0.15">
      <c r="B52" s="1138"/>
      <c r="J52" s="1164"/>
      <c r="K52" s="1045"/>
      <c r="L52" s="1045"/>
      <c r="M52" s="1045"/>
      <c r="N52" s="1168"/>
      <c r="O52" s="1013"/>
      <c r="P52" s="1013"/>
      <c r="Q52" s="1013"/>
      <c r="R52" s="1013"/>
      <c r="S52" s="1013"/>
      <c r="T52" s="1013"/>
      <c r="U52" s="1013"/>
      <c r="V52" s="1013"/>
      <c r="W52" s="1013"/>
      <c r="X52" s="1013"/>
      <c r="Y52" s="1013"/>
      <c r="Z52" s="1013"/>
      <c r="AA52" s="1013"/>
      <c r="AB52" s="1013"/>
      <c r="AC52" s="1013"/>
      <c r="AD52" s="1013"/>
      <c r="AE52" s="1013"/>
      <c r="AF52" s="1013"/>
      <c r="AG52" s="1013"/>
      <c r="AH52" s="1013"/>
      <c r="AI52" s="1013"/>
      <c r="AJ52" s="1013"/>
      <c r="AK52" s="1013"/>
      <c r="AL52" s="1013"/>
      <c r="AM52" s="1013"/>
      <c r="AN52" s="1013"/>
      <c r="AO52" s="1013"/>
      <c r="AP52" s="1013"/>
      <c r="AQ52" s="1013"/>
      <c r="AR52" s="1013"/>
      <c r="AS52" s="1013"/>
      <c r="AT52" s="1013"/>
      <c r="AU52" s="1013"/>
      <c r="AV52" s="1013"/>
      <c r="AW52" s="1013"/>
      <c r="AX52" s="1013"/>
      <c r="AY52" s="1013"/>
      <c r="AZ52" s="1013"/>
      <c r="BA52" s="1013"/>
      <c r="BB52" s="1013"/>
      <c r="BC52" s="1013"/>
      <c r="BD52" s="1013"/>
      <c r="BE52" s="1013"/>
      <c r="BF52" s="1013"/>
      <c r="BG52" s="1013"/>
      <c r="BH52" s="1013"/>
      <c r="BI52" s="1013"/>
      <c r="BJ52" s="1013"/>
      <c r="BK52" s="1013"/>
      <c r="BL52" s="1245"/>
    </row>
    <row r="53" spans="2:64" ht="15" thickBot="1" x14ac:dyDescent="0.2">
      <c r="B53" s="1185" t="s">
        <v>286</v>
      </c>
      <c r="C53" s="1186"/>
      <c r="D53" s="1187"/>
      <c r="E53" s="1187"/>
      <c r="F53" s="1188"/>
      <c r="G53" s="1188"/>
      <c r="H53" s="1188"/>
      <c r="I53" s="1188"/>
      <c r="J53" s="1189">
        <v>436.60599999999999</v>
      </c>
      <c r="K53" s="1190">
        <v>451.45400000000001</v>
      </c>
      <c r="L53" s="1190">
        <v>454.27100000000002</v>
      </c>
      <c r="M53" s="1190">
        <v>450.46499999999997</v>
      </c>
      <c r="N53" s="1191">
        <v>1792.796</v>
      </c>
      <c r="O53" s="1190">
        <v>472.81700000000001</v>
      </c>
      <c r="P53" s="1190">
        <v>483.28500000000003</v>
      </c>
      <c r="Q53" s="1190">
        <v>481.07600000000002</v>
      </c>
      <c r="R53" s="1190">
        <v>476.58</v>
      </c>
      <c r="S53" s="1192">
        <v>1913.758</v>
      </c>
      <c r="T53" s="1190">
        <v>506.31599999999997</v>
      </c>
      <c r="U53" s="1190">
        <v>511.91800000000001</v>
      </c>
      <c r="V53" s="1190">
        <v>512.04</v>
      </c>
      <c r="W53" s="1190">
        <v>547.80899999999997</v>
      </c>
      <c r="X53" s="1192">
        <v>2078.0830000000001</v>
      </c>
      <c r="Y53" s="1190">
        <v>515.23400000000004</v>
      </c>
      <c r="Z53" s="1190">
        <v>520.22799999999995</v>
      </c>
      <c r="AA53" s="1190">
        <v>507.572</v>
      </c>
      <c r="AB53" s="1190">
        <v>514.78200000000004</v>
      </c>
      <c r="AC53" s="1192">
        <v>2057.8159999999998</v>
      </c>
      <c r="AD53" s="1190">
        <v>540.77300000000002</v>
      </c>
      <c r="AE53" s="1190">
        <v>542.10199999999998</v>
      </c>
      <c r="AF53" s="1190">
        <v>530.21</v>
      </c>
      <c r="AG53" s="1190">
        <v>530.78599999999994</v>
      </c>
      <c r="AH53" s="1192">
        <v>2127.3470000000002</v>
      </c>
      <c r="AI53" s="1190">
        <v>548.63300000000004</v>
      </c>
      <c r="AJ53" s="1190">
        <v>551.51900000000001</v>
      </c>
      <c r="AK53" s="1190">
        <v>536.101</v>
      </c>
      <c r="AL53" s="1193">
        <f t="shared" ref="AL53" si="52">AM53-SUM(AI53,AJ53,AK53)</f>
        <v>544.62899999999991</v>
      </c>
      <c r="AM53" s="1192">
        <v>2180.8820000000001</v>
      </c>
      <c r="AN53" s="1190">
        <v>488.471</v>
      </c>
      <c r="AO53" s="1190">
        <v>241.06800000000001</v>
      </c>
      <c r="AP53" s="1190">
        <v>416.98399999999998</v>
      </c>
      <c r="AQ53" s="1193">
        <f t="shared" ref="AQ53" si="53">AR53-SUM(AN53,AO53,AP53)</f>
        <v>438.48500000000013</v>
      </c>
      <c r="AR53" s="1192">
        <v>1585.008</v>
      </c>
      <c r="AS53" s="1190">
        <v>499.38900000000001</v>
      </c>
      <c r="AT53" s="1190">
        <v>606.69100000000003</v>
      </c>
      <c r="AU53" s="1190">
        <v>592.55499999999995</v>
      </c>
      <c r="AV53" s="1193">
        <f t="shared" ref="AV53" si="54">AW53-SUM(AS53,AT53,AU53)</f>
        <v>594.59000000000015</v>
      </c>
      <c r="AW53" s="1192">
        <v>2293.2249999999999</v>
      </c>
      <c r="AX53" s="1190">
        <v>609.81600000000003</v>
      </c>
      <c r="AY53" s="1190">
        <v>640.85799999999995</v>
      </c>
      <c r="AZ53" s="1190">
        <v>602.90200000000004</v>
      </c>
      <c r="BA53" s="1193">
        <f t="shared" ref="BA53" si="55">BB53-SUM(AX53,AY53,AZ53)</f>
        <v>674.4670000000001</v>
      </c>
      <c r="BB53" s="1192">
        <v>2528.0430000000001</v>
      </c>
      <c r="BC53" s="1190">
        <v>656</v>
      </c>
      <c r="BD53" s="1190">
        <v>652.48099999999999</v>
      </c>
      <c r="BE53" s="1190">
        <v>628.14</v>
      </c>
      <c r="BF53" s="1193">
        <f t="shared" ref="BF53" si="56">BG53-SUM(BC53,BD53,BE53)</f>
        <v>658.44499999999971</v>
      </c>
      <c r="BG53" s="1284">
        <v>2595.0659999999998</v>
      </c>
      <c r="BH53" s="1285">
        <f>BH51*BH14</f>
        <v>2861.8220309151397</v>
      </c>
      <c r="BI53" s="1285">
        <f t="shared" ref="BI53:BL53" si="57">BI51*BI14</f>
        <v>3098.5755910826224</v>
      </c>
      <c r="BJ53" s="1285">
        <f t="shared" si="57"/>
        <v>3351.687678776254</v>
      </c>
      <c r="BK53" s="1285">
        <f t="shared" si="57"/>
        <v>3616.9345396787394</v>
      </c>
      <c r="BL53" s="1286">
        <f t="shared" si="57"/>
        <v>3891.7756040018976</v>
      </c>
    </row>
  </sheetData>
  <mergeCells count="1">
    <mergeCell ref="N2:BG2"/>
  </mergeCells>
  <pageMargins left="0.7" right="0.7" top="0.75" bottom="0.75" header="0.3" footer="0.3"/>
  <pageSetup orientation="portrait" horizontalDpi="1200" verticalDpi="1200" r:id="rId1"/>
  <ignoredErrors>
    <ignoredError sqref="N9:BG10 N12:BG14 N11:BA11 BC11:BG11" formula="1"/>
  </ignoredError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8D1F-DD34-4A50-BB0B-81A6B0C870B4}">
  <dimension ref="B2:BI24"/>
  <sheetViews>
    <sheetView showGridLines="0" zoomScale="85" zoomScaleNormal="85" workbookViewId="0">
      <selection activeCell="B31" sqref="B31"/>
    </sheetView>
  </sheetViews>
  <sheetFormatPr baseColWidth="10" defaultColWidth="8.83203125" defaultRowHeight="15" outlineLevelCol="1" x14ac:dyDescent="0.2"/>
  <cols>
    <col min="10" max="29" width="9.1640625" hidden="1" customWidth="1" outlineLevel="1"/>
    <col min="30" max="30" width="9.1640625" collapsed="1"/>
    <col min="31" max="34" width="9.1640625" hidden="1" customWidth="1" outlineLevel="1"/>
    <col min="35" max="35" width="9.1640625" collapsed="1"/>
    <col min="36" max="39" width="9.1640625" hidden="1" customWidth="1" outlineLevel="1"/>
    <col min="40" max="40" width="9.1640625" collapsed="1"/>
    <col min="41" max="44" width="9.1640625" hidden="1" customWidth="1" outlineLevel="1"/>
    <col min="45" max="45" width="9.1640625" collapsed="1"/>
    <col min="46" max="49" width="9.1640625" hidden="1" customWidth="1" outlineLevel="1"/>
    <col min="50" max="50" width="9.1640625" collapsed="1"/>
    <col min="51" max="54" width="9.1640625" hidden="1" customWidth="1" outlineLevel="1"/>
    <col min="55" max="55" width="9.5" bestFit="1" customWidth="1" collapsed="1"/>
    <col min="56" max="60" width="8.83203125" bestFit="1" customWidth="1"/>
  </cols>
  <sheetData>
    <row r="2" spans="2:61" x14ac:dyDescent="0.2">
      <c r="N2" s="1567"/>
      <c r="O2" s="1567"/>
      <c r="P2" s="1567"/>
      <c r="Q2" s="1567"/>
      <c r="R2" s="1567"/>
      <c r="S2" s="1567"/>
      <c r="T2" s="1567"/>
      <c r="U2" s="1567"/>
      <c r="V2" s="1567"/>
      <c r="W2" s="1567"/>
      <c r="X2" s="1567"/>
      <c r="Y2" s="1567"/>
      <c r="Z2" s="1567"/>
      <c r="AA2" s="1567"/>
      <c r="AB2" s="1567"/>
      <c r="AC2" s="1567"/>
      <c r="AD2" s="1567"/>
      <c r="AE2" s="1567"/>
      <c r="AF2" s="1567"/>
      <c r="AG2" s="1567"/>
      <c r="AH2" s="1567"/>
      <c r="AI2" s="1567"/>
      <c r="AJ2" s="1567"/>
      <c r="AK2" s="1567"/>
      <c r="AL2" s="1567"/>
      <c r="AM2" s="1567"/>
      <c r="AN2" s="1567"/>
      <c r="AO2" s="1567"/>
      <c r="AP2" s="1567"/>
      <c r="AQ2" s="1567"/>
      <c r="AR2" s="1567"/>
      <c r="AS2" s="1567"/>
      <c r="AT2" s="1567"/>
      <c r="AU2" s="1567"/>
      <c r="AV2" s="1567"/>
      <c r="AW2" s="1567"/>
      <c r="AX2" s="1567"/>
      <c r="AY2" s="1567"/>
      <c r="AZ2" s="1567"/>
      <c r="BA2" s="1567"/>
      <c r="BB2" s="1567"/>
      <c r="BC2" s="1567"/>
    </row>
    <row r="3" spans="2:61" ht="16" thickBot="1" x14ac:dyDescent="0.25"/>
    <row r="4" spans="2:61" x14ac:dyDescent="0.2">
      <c r="B4" s="636" t="s">
        <v>155</v>
      </c>
      <c r="C4" s="637"/>
      <c r="D4" s="637"/>
      <c r="E4" s="637"/>
      <c r="F4" s="637"/>
      <c r="G4" s="637"/>
      <c r="H4" s="637"/>
      <c r="I4" s="637"/>
      <c r="J4" s="638">
        <v>41730</v>
      </c>
      <c r="K4" s="638">
        <v>41821</v>
      </c>
      <c r="L4" s="638">
        <v>41912</v>
      </c>
      <c r="M4" s="638">
        <v>42003</v>
      </c>
      <c r="N4" s="638">
        <v>42094</v>
      </c>
      <c r="O4" s="638">
        <v>42185</v>
      </c>
      <c r="P4" s="638">
        <v>42276</v>
      </c>
      <c r="Q4" s="638">
        <v>42367</v>
      </c>
      <c r="R4" s="638">
        <v>42458</v>
      </c>
      <c r="S4" s="638">
        <v>42549</v>
      </c>
      <c r="T4" s="638">
        <v>42640</v>
      </c>
      <c r="U4" s="638">
        <v>42738</v>
      </c>
      <c r="V4" s="638">
        <v>42829</v>
      </c>
      <c r="W4" s="638">
        <v>42920</v>
      </c>
      <c r="X4" s="638">
        <v>43011</v>
      </c>
      <c r="Y4" s="638">
        <v>43102</v>
      </c>
      <c r="Z4" s="638">
        <v>43193</v>
      </c>
      <c r="AA4" s="638">
        <v>43284</v>
      </c>
      <c r="AB4" s="638">
        <v>43375</v>
      </c>
      <c r="AC4" s="638">
        <v>43466</v>
      </c>
      <c r="AD4" s="638">
        <v>43466</v>
      </c>
      <c r="AE4" s="638">
        <v>43557</v>
      </c>
      <c r="AF4" s="638">
        <v>43648</v>
      </c>
      <c r="AG4" s="638">
        <v>43739</v>
      </c>
      <c r="AH4" s="638">
        <v>43830</v>
      </c>
      <c r="AI4" s="638">
        <v>43830</v>
      </c>
      <c r="AJ4" s="638">
        <v>43921</v>
      </c>
      <c r="AK4" s="638">
        <v>44012</v>
      </c>
      <c r="AL4" s="638">
        <v>44103</v>
      </c>
      <c r="AM4" s="638">
        <v>44194</v>
      </c>
      <c r="AN4" s="638">
        <v>44194</v>
      </c>
      <c r="AO4" s="638">
        <v>44285</v>
      </c>
      <c r="AP4" s="638">
        <v>44376</v>
      </c>
      <c r="AQ4" s="638">
        <v>44467</v>
      </c>
      <c r="AR4" s="638">
        <v>44558</v>
      </c>
      <c r="AS4" s="638">
        <v>44558</v>
      </c>
      <c r="AT4" s="638">
        <v>44649</v>
      </c>
      <c r="AU4" s="638">
        <v>44740</v>
      </c>
      <c r="AV4" s="638">
        <v>44831</v>
      </c>
      <c r="AW4" s="638">
        <v>44929</v>
      </c>
      <c r="AX4" s="638">
        <v>44929</v>
      </c>
      <c r="AY4" s="638">
        <v>45019</v>
      </c>
      <c r="AZ4" s="638">
        <v>45111</v>
      </c>
      <c r="BA4" s="638">
        <v>45202</v>
      </c>
      <c r="BB4" s="638">
        <v>45293</v>
      </c>
      <c r="BC4" s="1287">
        <v>45293</v>
      </c>
      <c r="BD4" s="1288"/>
      <c r="BE4" s="1288"/>
      <c r="BF4" s="1288"/>
      <c r="BG4" s="1288"/>
      <c r="BH4" s="1289"/>
    </row>
    <row r="5" spans="2:61" x14ac:dyDescent="0.2">
      <c r="B5" s="639"/>
      <c r="C5" s="592"/>
      <c r="D5" s="592"/>
      <c r="E5" s="592"/>
      <c r="F5" s="592"/>
      <c r="G5" s="592"/>
      <c r="H5" s="592"/>
      <c r="I5" s="592"/>
      <c r="J5" s="592" t="s">
        <v>157</v>
      </c>
      <c r="K5" s="592" t="s">
        <v>158</v>
      </c>
      <c r="L5" s="592" t="s">
        <v>159</v>
      </c>
      <c r="M5" s="592" t="s">
        <v>160</v>
      </c>
      <c r="N5" s="593" t="s">
        <v>162</v>
      </c>
      <c r="O5" s="593" t="s">
        <v>163</v>
      </c>
      <c r="P5" s="593" t="s">
        <v>164</v>
      </c>
      <c r="Q5" s="593" t="s">
        <v>165</v>
      </c>
      <c r="R5" s="593" t="s">
        <v>167</v>
      </c>
      <c r="S5" s="593" t="s">
        <v>168</v>
      </c>
      <c r="T5" s="593" t="s">
        <v>169</v>
      </c>
      <c r="U5" s="593" t="s">
        <v>170</v>
      </c>
      <c r="V5" s="593" t="s">
        <v>172</v>
      </c>
      <c r="W5" s="593" t="s">
        <v>173</v>
      </c>
      <c r="X5" s="593" t="s">
        <v>174</v>
      </c>
      <c r="Y5" s="593" t="s">
        <v>175</v>
      </c>
      <c r="Z5" s="593" t="s">
        <v>177</v>
      </c>
      <c r="AA5" s="593" t="s">
        <v>178</v>
      </c>
      <c r="AB5" s="593" t="s">
        <v>179</v>
      </c>
      <c r="AC5" s="593" t="s">
        <v>180</v>
      </c>
      <c r="AD5" s="593" t="s">
        <v>181</v>
      </c>
      <c r="AE5" s="593" t="s">
        <v>182</v>
      </c>
      <c r="AF5" s="593" t="s">
        <v>183</v>
      </c>
      <c r="AG5" s="593" t="s">
        <v>184</v>
      </c>
      <c r="AH5" s="593" t="s">
        <v>185</v>
      </c>
      <c r="AI5" s="593" t="s">
        <v>186</v>
      </c>
      <c r="AJ5" s="593" t="s">
        <v>187</v>
      </c>
      <c r="AK5" s="593" t="s">
        <v>188</v>
      </c>
      <c r="AL5" s="593" t="s">
        <v>189</v>
      </c>
      <c r="AM5" s="593" t="s">
        <v>190</v>
      </c>
      <c r="AN5" s="593" t="s">
        <v>191</v>
      </c>
      <c r="AO5" s="593" t="s">
        <v>192</v>
      </c>
      <c r="AP5" s="593" t="s">
        <v>193</v>
      </c>
      <c r="AQ5" s="593" t="s">
        <v>194</v>
      </c>
      <c r="AR5" s="593" t="s">
        <v>195</v>
      </c>
      <c r="AS5" s="593" t="s">
        <v>196</v>
      </c>
      <c r="AT5" s="593" t="s">
        <v>197</v>
      </c>
      <c r="AU5" s="593" t="s">
        <v>198</v>
      </c>
      <c r="AV5" s="593" t="s">
        <v>199</v>
      </c>
      <c r="AW5" s="593" t="s">
        <v>200</v>
      </c>
      <c r="AX5" s="593" t="s">
        <v>201</v>
      </c>
      <c r="AY5" s="593" t="s">
        <v>202</v>
      </c>
      <c r="AZ5" s="593" t="s">
        <v>203</v>
      </c>
      <c r="BA5" s="593" t="s">
        <v>204</v>
      </c>
      <c r="BB5" s="593" t="s">
        <v>205</v>
      </c>
      <c r="BC5" s="593" t="s">
        <v>206</v>
      </c>
      <c r="BD5" s="593" t="s">
        <v>207</v>
      </c>
      <c r="BE5" s="593" t="s">
        <v>208</v>
      </c>
      <c r="BF5" s="593" t="s">
        <v>209</v>
      </c>
      <c r="BG5" s="593" t="s">
        <v>210</v>
      </c>
      <c r="BH5" s="640" t="s">
        <v>211</v>
      </c>
    </row>
    <row r="6" spans="2:61" x14ac:dyDescent="0.2">
      <c r="B6" s="641"/>
      <c r="BH6" s="642"/>
    </row>
    <row r="7" spans="2:61" x14ac:dyDescent="0.2">
      <c r="B7" s="1290" t="s">
        <v>287</v>
      </c>
      <c r="C7" s="1291"/>
      <c r="D7" s="1292"/>
      <c r="E7" s="1292"/>
      <c r="F7" s="1292"/>
      <c r="G7" s="1292"/>
      <c r="H7" s="1292"/>
      <c r="I7" s="1292"/>
      <c r="J7" s="1292"/>
      <c r="K7" s="1292"/>
      <c r="L7" s="1292"/>
      <c r="M7" s="1292"/>
      <c r="N7" s="1292"/>
      <c r="O7" s="1292"/>
      <c r="P7" s="1292"/>
      <c r="Q7" s="1292"/>
      <c r="R7" s="1292"/>
      <c r="S7" s="1292"/>
      <c r="T7" s="1292"/>
      <c r="U7" s="1292"/>
      <c r="V7" s="1292"/>
      <c r="W7" s="1292"/>
      <c r="X7" s="1292"/>
      <c r="Y7" s="1292"/>
      <c r="Z7" s="1292"/>
      <c r="AA7" s="1292"/>
      <c r="AB7" s="1292"/>
      <c r="AC7" s="1292"/>
      <c r="AD7" s="1292"/>
      <c r="AE7" s="1292"/>
      <c r="AF7" s="1292"/>
      <c r="AG7" s="1292"/>
      <c r="AH7" s="1292"/>
      <c r="AI7" s="1292"/>
      <c r="AJ7" s="1292"/>
      <c r="AK7" s="1292"/>
      <c r="AL7" s="1292"/>
      <c r="AM7" s="1292"/>
      <c r="AN7" s="1292"/>
      <c r="AO7" s="1292"/>
      <c r="AP7" s="1292"/>
      <c r="AQ7" s="1292"/>
      <c r="AR7" s="1292"/>
      <c r="AS7" s="1292"/>
      <c r="AT7" s="1292"/>
      <c r="AU7" s="1292"/>
      <c r="AV7" s="1292"/>
      <c r="AW7" s="1292"/>
      <c r="AX7" s="1292"/>
      <c r="AY7" s="1292"/>
      <c r="AZ7" s="1292"/>
      <c r="BA7" s="1292"/>
      <c r="BB7" s="1292"/>
      <c r="BC7" s="1292"/>
      <c r="BD7" s="1292"/>
      <c r="BE7" s="1292"/>
      <c r="BF7" s="1292"/>
      <c r="BG7" s="1292"/>
      <c r="BH7" s="1293"/>
    </row>
    <row r="8" spans="2:61" ht="16" thickBot="1" x14ac:dyDescent="0.25">
      <c r="B8" s="641"/>
      <c r="BH8" s="642"/>
    </row>
    <row r="9" spans="2:61" x14ac:dyDescent="0.2">
      <c r="B9" s="643" t="s">
        <v>288</v>
      </c>
      <c r="J9" s="121">
        <v>0</v>
      </c>
      <c r="K9" s="121">
        <v>0</v>
      </c>
      <c r="L9" s="121">
        <v>0</v>
      </c>
      <c r="M9" s="121">
        <v>0</v>
      </c>
      <c r="N9" s="627">
        <v>0</v>
      </c>
      <c r="O9" s="627">
        <v>0</v>
      </c>
      <c r="P9" s="627">
        <v>0</v>
      </c>
      <c r="Q9" s="627">
        <v>0</v>
      </c>
      <c r="R9" s="627">
        <v>0</v>
      </c>
      <c r="S9" s="627">
        <v>0</v>
      </c>
      <c r="T9" s="627">
        <v>0</v>
      </c>
      <c r="U9" s="627">
        <v>0</v>
      </c>
      <c r="V9" s="627">
        <v>0</v>
      </c>
      <c r="W9" s="627">
        <v>0</v>
      </c>
      <c r="X9" s="627">
        <v>0</v>
      </c>
      <c r="Y9" s="627">
        <v>0</v>
      </c>
      <c r="Z9" s="627">
        <v>0</v>
      </c>
      <c r="AA9" s="627">
        <v>0</v>
      </c>
      <c r="AB9" s="627">
        <v>0</v>
      </c>
      <c r="AC9" s="627">
        <v>0</v>
      </c>
      <c r="AD9" s="1304">
        <v>0</v>
      </c>
      <c r="AE9" s="1295"/>
      <c r="AF9" s="1295"/>
      <c r="AG9" s="1295"/>
      <c r="AH9" s="1295">
        <f>AG12</f>
        <v>21</v>
      </c>
      <c r="AI9" s="1294">
        <f>AD12</f>
        <v>0</v>
      </c>
      <c r="AJ9" s="1295">
        <f t="shared" ref="AJ9:AM9" si="0">AI12</f>
        <v>22</v>
      </c>
      <c r="AK9" s="1295">
        <f t="shared" si="0"/>
        <v>23</v>
      </c>
      <c r="AL9" s="1295">
        <f t="shared" si="0"/>
        <v>23</v>
      </c>
      <c r="AM9" s="1295">
        <f t="shared" si="0"/>
        <v>23</v>
      </c>
      <c r="AN9" s="1294">
        <f>AI12</f>
        <v>22</v>
      </c>
      <c r="AO9" s="1295">
        <f t="shared" ref="AO9:AR9" si="1">AN12</f>
        <v>23</v>
      </c>
      <c r="AP9" s="1295">
        <f t="shared" si="1"/>
        <v>24</v>
      </c>
      <c r="AQ9" s="1295">
        <f t="shared" si="1"/>
        <v>26</v>
      </c>
      <c r="AR9" s="1295">
        <f t="shared" si="1"/>
        <v>28</v>
      </c>
      <c r="AS9" s="1294">
        <f>AN12</f>
        <v>23</v>
      </c>
      <c r="AT9" s="1295">
        <f t="shared" ref="AT9:AW9" si="2">AS12</f>
        <v>29</v>
      </c>
      <c r="AU9" s="1295">
        <f t="shared" si="2"/>
        <v>29</v>
      </c>
      <c r="AV9" s="1295">
        <f t="shared" si="2"/>
        <v>30</v>
      </c>
      <c r="AW9" s="1295">
        <f t="shared" si="2"/>
        <v>31</v>
      </c>
      <c r="AX9" s="1294">
        <f>AS12</f>
        <v>29</v>
      </c>
      <c r="AY9" s="1295">
        <f t="shared" ref="AY9:BB9" si="3">AX12</f>
        <v>33</v>
      </c>
      <c r="AZ9" s="1295">
        <f t="shared" si="3"/>
        <v>33</v>
      </c>
      <c r="BA9" s="1295">
        <f t="shared" si="3"/>
        <v>33</v>
      </c>
      <c r="BB9" s="1295">
        <f t="shared" si="3"/>
        <v>33</v>
      </c>
      <c r="BC9" s="1294">
        <f>AX12</f>
        <v>33</v>
      </c>
      <c r="BD9" s="1308">
        <f>BC12</f>
        <v>36</v>
      </c>
      <c r="BE9" s="1308">
        <f>BD12</f>
        <v>40</v>
      </c>
      <c r="BF9" s="1308">
        <f>BE12</f>
        <v>44</v>
      </c>
      <c r="BG9" s="1308">
        <f>BF12</f>
        <v>48</v>
      </c>
      <c r="BH9" s="1309">
        <f>BG12</f>
        <v>53</v>
      </c>
    </row>
    <row r="10" spans="2:61" x14ac:dyDescent="0.2">
      <c r="B10" s="644" t="s">
        <v>289</v>
      </c>
      <c r="J10" s="121">
        <v>0</v>
      </c>
      <c r="K10" s="121">
        <v>0</v>
      </c>
      <c r="L10" s="121">
        <v>0</v>
      </c>
      <c r="M10" s="121">
        <v>0</v>
      </c>
      <c r="N10" s="121">
        <v>0</v>
      </c>
      <c r="O10" s="121">
        <v>0</v>
      </c>
      <c r="P10" s="121">
        <v>0</v>
      </c>
      <c r="Q10" s="121">
        <v>0</v>
      </c>
      <c r="R10" s="121">
        <v>0</v>
      </c>
      <c r="S10" s="121">
        <v>0</v>
      </c>
      <c r="T10" s="121">
        <v>0</v>
      </c>
      <c r="U10" s="121">
        <v>0</v>
      </c>
      <c r="V10" s="121">
        <v>0</v>
      </c>
      <c r="W10" s="121">
        <v>0</v>
      </c>
      <c r="X10" s="121">
        <v>0</v>
      </c>
      <c r="Y10" s="121">
        <v>0</v>
      </c>
      <c r="Z10" s="121">
        <v>0</v>
      </c>
      <c r="AA10" s="121">
        <v>0</v>
      </c>
      <c r="AB10" s="121">
        <v>0</v>
      </c>
      <c r="AC10" s="121">
        <v>0</v>
      </c>
      <c r="AD10" s="628">
        <v>0</v>
      </c>
      <c r="AE10" s="994"/>
      <c r="AF10" s="994"/>
      <c r="AG10" s="994"/>
      <c r="AH10" s="995">
        <v>1</v>
      </c>
      <c r="AI10" s="996">
        <f>AH10+AG12</f>
        <v>22</v>
      </c>
      <c r="AJ10" s="995">
        <v>1</v>
      </c>
      <c r="AK10" s="995">
        <v>0</v>
      </c>
      <c r="AL10" s="995">
        <v>0</v>
      </c>
      <c r="AM10" s="995">
        <v>0</v>
      </c>
      <c r="AN10" s="996">
        <f t="shared" ref="AN10:AN11" si="4">SUM(AJ10,AK10,AL10,AM10)</f>
        <v>1</v>
      </c>
      <c r="AO10" s="995">
        <v>1</v>
      </c>
      <c r="AP10" s="995">
        <v>2</v>
      </c>
      <c r="AQ10" s="995">
        <v>2</v>
      </c>
      <c r="AR10" s="995">
        <v>1</v>
      </c>
      <c r="AS10" s="996">
        <f t="shared" ref="AS10:AS11" si="5">SUM(AO10,AP10,AQ10,AR10)</f>
        <v>6</v>
      </c>
      <c r="AT10" s="995">
        <v>0</v>
      </c>
      <c r="AU10" s="995">
        <v>1</v>
      </c>
      <c r="AV10" s="995">
        <v>1</v>
      </c>
      <c r="AW10" s="995">
        <v>2</v>
      </c>
      <c r="AX10" s="996">
        <f t="shared" ref="AX10:AX11" si="6">SUM(AT10,AU10,AV10,AW10)</f>
        <v>4</v>
      </c>
      <c r="AY10" s="995">
        <v>0</v>
      </c>
      <c r="AZ10" s="995">
        <v>0</v>
      </c>
      <c r="BA10" s="995">
        <v>0</v>
      </c>
      <c r="BB10" s="995">
        <v>3</v>
      </c>
      <c r="BC10" s="996">
        <f t="shared" ref="BC10:BC11" si="7">SUM(AY10,AZ10,BA10,BB10)</f>
        <v>3</v>
      </c>
      <c r="BD10" s="902">
        <f>'Forecast Assumptions'!G10</f>
        <v>4</v>
      </c>
      <c r="BE10" s="902">
        <f>'Forecast Assumptions'!H10</f>
        <v>4</v>
      </c>
      <c r="BF10" s="902">
        <f>'Forecast Assumptions'!I10</f>
        <v>4</v>
      </c>
      <c r="BG10" s="902">
        <f>'Forecast Assumptions'!J10</f>
        <v>5</v>
      </c>
      <c r="BH10" s="1296">
        <f>'Forecast Assumptions'!K10</f>
        <v>5</v>
      </c>
      <c r="BI10" s="886"/>
    </row>
    <row r="11" spans="2:61" x14ac:dyDescent="0.2">
      <c r="B11" s="644" t="s">
        <v>290</v>
      </c>
      <c r="J11" s="121">
        <v>0</v>
      </c>
      <c r="K11" s="121">
        <v>0</v>
      </c>
      <c r="L11" s="121">
        <v>0</v>
      </c>
      <c r="M11" s="121">
        <v>0</v>
      </c>
      <c r="N11" s="121">
        <v>0</v>
      </c>
      <c r="O11" s="121">
        <v>0</v>
      </c>
      <c r="P11" s="121">
        <v>0</v>
      </c>
      <c r="Q11" s="121">
        <v>0</v>
      </c>
      <c r="R11" s="121">
        <v>0</v>
      </c>
      <c r="S11" s="121">
        <v>0</v>
      </c>
      <c r="T11" s="121">
        <v>0</v>
      </c>
      <c r="U11" s="121">
        <v>0</v>
      </c>
      <c r="V11" s="121">
        <v>0</v>
      </c>
      <c r="W11" s="121">
        <v>0</v>
      </c>
      <c r="X11" s="121">
        <v>0</v>
      </c>
      <c r="Y11" s="121">
        <v>0</v>
      </c>
      <c r="Z11" s="121">
        <v>0</v>
      </c>
      <c r="AA11" s="121">
        <v>0</v>
      </c>
      <c r="AB11" s="121">
        <v>0</v>
      </c>
      <c r="AC11" s="121">
        <v>0</v>
      </c>
      <c r="AD11" s="628">
        <v>0</v>
      </c>
      <c r="AE11" s="994"/>
      <c r="AF11" s="994"/>
      <c r="AG11" s="994"/>
      <c r="AH11" s="995">
        <v>0</v>
      </c>
      <c r="AI11" s="997">
        <v>0</v>
      </c>
      <c r="AJ11" s="994">
        <f t="shared" ref="AJ11:AL11" si="8">-(AJ10-(AJ12-AJ9))</f>
        <v>0</v>
      </c>
      <c r="AK11" s="994">
        <f t="shared" si="8"/>
        <v>0</v>
      </c>
      <c r="AL11" s="994">
        <f t="shared" si="8"/>
        <v>0</v>
      </c>
      <c r="AM11" s="995">
        <v>0</v>
      </c>
      <c r="AN11" s="996">
        <f t="shared" si="4"/>
        <v>0</v>
      </c>
      <c r="AO11" s="994">
        <f t="shared" ref="AO11:AR11" si="9">-(AO10-(AO12-AO9))</f>
        <v>0</v>
      </c>
      <c r="AP11" s="994">
        <f t="shared" si="9"/>
        <v>0</v>
      </c>
      <c r="AQ11" s="994">
        <f t="shared" si="9"/>
        <v>0</v>
      </c>
      <c r="AR11" s="994">
        <f t="shared" si="9"/>
        <v>0</v>
      </c>
      <c r="AS11" s="996">
        <f t="shared" si="5"/>
        <v>0</v>
      </c>
      <c r="AT11" s="994">
        <f t="shared" ref="AT11:AW11" si="10">-(AT10-(AT12-AT9))</f>
        <v>0</v>
      </c>
      <c r="AU11" s="994">
        <f t="shared" si="10"/>
        <v>0</v>
      </c>
      <c r="AV11" s="994">
        <f t="shared" si="10"/>
        <v>0</v>
      </c>
      <c r="AW11" s="994">
        <f t="shared" si="10"/>
        <v>0</v>
      </c>
      <c r="AX11" s="996">
        <f t="shared" si="6"/>
        <v>0</v>
      </c>
      <c r="AY11" s="994">
        <f t="shared" ref="AY11:BB11" si="11">-(AY10-(AY12-AY9))</f>
        <v>0</v>
      </c>
      <c r="AZ11" s="994">
        <f t="shared" si="11"/>
        <v>0</v>
      </c>
      <c r="BA11" s="994">
        <f t="shared" si="11"/>
        <v>0</v>
      </c>
      <c r="BB11" s="994">
        <f t="shared" si="11"/>
        <v>0</v>
      </c>
      <c r="BC11" s="996">
        <f t="shared" si="7"/>
        <v>0</v>
      </c>
      <c r="BD11" s="588"/>
      <c r="BE11" s="588"/>
      <c r="BF11" s="588"/>
      <c r="BG11" s="588"/>
      <c r="BH11" s="1297"/>
    </row>
    <row r="12" spans="2:61" x14ac:dyDescent="0.2">
      <c r="B12" s="643" t="s">
        <v>291</v>
      </c>
      <c r="C12" s="827"/>
      <c r="D12" s="828"/>
      <c r="J12" s="121">
        <v>0</v>
      </c>
      <c r="K12" s="121">
        <v>0</v>
      </c>
      <c r="L12" s="121">
        <v>0</v>
      </c>
      <c r="M12" s="121">
        <v>0</v>
      </c>
      <c r="N12" s="121">
        <v>0</v>
      </c>
      <c r="O12" s="121">
        <v>0</v>
      </c>
      <c r="P12" s="121">
        <v>0</v>
      </c>
      <c r="Q12" s="121">
        <v>0</v>
      </c>
      <c r="R12" s="121">
        <v>0</v>
      </c>
      <c r="S12" s="121">
        <v>0</v>
      </c>
      <c r="T12" s="121">
        <v>0</v>
      </c>
      <c r="U12" s="121">
        <v>0</v>
      </c>
      <c r="V12" s="121">
        <v>0</v>
      </c>
      <c r="W12" s="121">
        <v>0</v>
      </c>
      <c r="X12" s="121">
        <v>0</v>
      </c>
      <c r="Y12" s="121">
        <v>0</v>
      </c>
      <c r="Z12" s="121">
        <v>0</v>
      </c>
      <c r="AA12" s="121">
        <v>0</v>
      </c>
      <c r="AB12" s="121">
        <v>0</v>
      </c>
      <c r="AC12" s="121">
        <v>0</v>
      </c>
      <c r="AD12" s="628">
        <v>0</v>
      </c>
      <c r="AE12" s="629"/>
      <c r="AF12" s="629"/>
      <c r="AG12" s="998">
        <v>21</v>
      </c>
      <c r="AH12" s="629">
        <f>AH9+AH10+AH11</f>
        <v>22</v>
      </c>
      <c r="AI12" s="667">
        <f>AH12</f>
        <v>22</v>
      </c>
      <c r="AJ12" s="998">
        <v>23</v>
      </c>
      <c r="AK12" s="998">
        <v>23</v>
      </c>
      <c r="AL12" s="998">
        <v>23</v>
      </c>
      <c r="AM12" s="629">
        <f>AM9+AM10+AM11</f>
        <v>23</v>
      </c>
      <c r="AN12" s="667">
        <f>AM12</f>
        <v>23</v>
      </c>
      <c r="AO12" s="998">
        <v>24</v>
      </c>
      <c r="AP12" s="998">
        <v>26</v>
      </c>
      <c r="AQ12" s="998">
        <v>28</v>
      </c>
      <c r="AR12" s="998">
        <v>29</v>
      </c>
      <c r="AS12" s="667">
        <f>AR12</f>
        <v>29</v>
      </c>
      <c r="AT12" s="998">
        <v>29</v>
      </c>
      <c r="AU12" s="998">
        <v>30</v>
      </c>
      <c r="AV12" s="998">
        <v>31</v>
      </c>
      <c r="AW12" s="998">
        <v>33</v>
      </c>
      <c r="AX12" s="667">
        <f>AW12</f>
        <v>33</v>
      </c>
      <c r="AY12" s="998">
        <v>33</v>
      </c>
      <c r="AZ12" s="998">
        <v>33</v>
      </c>
      <c r="BA12" s="998">
        <v>33</v>
      </c>
      <c r="BB12" s="998">
        <v>36</v>
      </c>
      <c r="BC12" s="667">
        <f>BB12</f>
        <v>36</v>
      </c>
      <c r="BD12" s="902">
        <f>BD9+BD10</f>
        <v>40</v>
      </c>
      <c r="BE12" s="902">
        <f>BE9+BE10</f>
        <v>44</v>
      </c>
      <c r="BF12" s="902">
        <f>BF9+BF10</f>
        <v>48</v>
      </c>
      <c r="BG12" s="902">
        <f>BG9+BG10</f>
        <v>53</v>
      </c>
      <c r="BH12" s="1296">
        <f>BH9+BH10</f>
        <v>58</v>
      </c>
    </row>
    <row r="13" spans="2:61" x14ac:dyDescent="0.2">
      <c r="B13" s="645" t="s">
        <v>292</v>
      </c>
      <c r="C13" s="834"/>
      <c r="D13" s="835"/>
      <c r="J13" s="121">
        <v>0</v>
      </c>
      <c r="K13" s="121">
        <v>0</v>
      </c>
      <c r="L13" s="121">
        <v>0</v>
      </c>
      <c r="M13" s="121">
        <v>0</v>
      </c>
      <c r="N13" s="121">
        <v>0</v>
      </c>
      <c r="O13" s="121">
        <v>0</v>
      </c>
      <c r="P13" s="121">
        <v>0</v>
      </c>
      <c r="Q13" s="121">
        <v>0</v>
      </c>
      <c r="R13" s="121">
        <v>0</v>
      </c>
      <c r="S13" s="121">
        <v>0</v>
      </c>
      <c r="T13" s="121">
        <v>0</v>
      </c>
      <c r="U13" s="121">
        <v>0</v>
      </c>
      <c r="V13" s="121">
        <v>0</v>
      </c>
      <c r="W13" s="121">
        <v>0</v>
      </c>
      <c r="X13" s="121">
        <v>0</v>
      </c>
      <c r="Y13" s="121">
        <v>0</v>
      </c>
      <c r="Z13" s="121">
        <v>0</v>
      </c>
      <c r="AA13" s="121">
        <v>0</v>
      </c>
      <c r="AB13" s="121">
        <v>0</v>
      </c>
      <c r="AC13" s="121">
        <v>0</v>
      </c>
      <c r="AD13" s="628">
        <v>0</v>
      </c>
      <c r="AE13" s="1000"/>
      <c r="AF13" s="1000"/>
      <c r="AG13" s="1000"/>
      <c r="AH13" s="1000"/>
      <c r="AI13" s="1001"/>
      <c r="AJ13" s="1000"/>
      <c r="AK13" s="1000"/>
      <c r="AL13" s="1002">
        <f t="shared" ref="AL13:BC13" si="12">AL12/AG12-1</f>
        <v>9.5238095238095344E-2</v>
      </c>
      <c r="AM13" s="1000">
        <f t="shared" si="12"/>
        <v>4.5454545454545414E-2</v>
      </c>
      <c r="AN13" s="1001">
        <f t="shared" si="12"/>
        <v>4.5454545454545414E-2</v>
      </c>
      <c r="AO13" s="1002">
        <f t="shared" si="12"/>
        <v>4.3478260869565188E-2</v>
      </c>
      <c r="AP13" s="1002">
        <f t="shared" si="12"/>
        <v>0.13043478260869557</v>
      </c>
      <c r="AQ13" s="1002">
        <f t="shared" si="12"/>
        <v>0.21739130434782616</v>
      </c>
      <c r="AR13" s="1000">
        <f t="shared" si="12"/>
        <v>0.26086956521739135</v>
      </c>
      <c r="AS13" s="1001">
        <f t="shared" si="12"/>
        <v>0.26086956521739135</v>
      </c>
      <c r="AT13" s="1002">
        <f t="shared" si="12"/>
        <v>0.20833333333333326</v>
      </c>
      <c r="AU13" s="1002">
        <f t="shared" si="12"/>
        <v>0.15384615384615374</v>
      </c>
      <c r="AV13" s="1002">
        <f t="shared" si="12"/>
        <v>0.10714285714285721</v>
      </c>
      <c r="AW13" s="1000">
        <f t="shared" si="12"/>
        <v>0.13793103448275867</v>
      </c>
      <c r="AX13" s="1001">
        <f t="shared" si="12"/>
        <v>0.13793103448275867</v>
      </c>
      <c r="AY13" s="1002">
        <f t="shared" si="12"/>
        <v>0.13793103448275867</v>
      </c>
      <c r="AZ13" s="1002">
        <f t="shared" si="12"/>
        <v>0.10000000000000009</v>
      </c>
      <c r="BA13" s="1002">
        <f t="shared" si="12"/>
        <v>6.4516129032258007E-2</v>
      </c>
      <c r="BB13" s="1000">
        <f t="shared" si="12"/>
        <v>9.0909090909090828E-2</v>
      </c>
      <c r="BC13" s="1001">
        <f t="shared" si="12"/>
        <v>9.0909090909090828E-2</v>
      </c>
      <c r="BD13" s="588"/>
      <c r="BE13" s="588"/>
      <c r="BF13" s="588"/>
      <c r="BG13" s="588"/>
      <c r="BH13" s="1297"/>
    </row>
    <row r="14" spans="2:61" x14ac:dyDescent="0.2">
      <c r="B14" s="646" t="s">
        <v>293</v>
      </c>
      <c r="C14" s="1499"/>
      <c r="D14" s="1500"/>
      <c r="E14" s="588"/>
      <c r="F14" s="588"/>
      <c r="G14" s="588"/>
      <c r="H14" s="588"/>
      <c r="I14" s="588"/>
      <c r="J14" s="121">
        <v>0</v>
      </c>
      <c r="K14" s="121">
        <v>0</v>
      </c>
      <c r="L14" s="121">
        <v>0</v>
      </c>
      <c r="M14" s="121">
        <v>0</v>
      </c>
      <c r="N14" s="629">
        <v>0</v>
      </c>
      <c r="O14" s="629">
        <v>0</v>
      </c>
      <c r="P14" s="629">
        <v>0</v>
      </c>
      <c r="Q14" s="629">
        <v>0</v>
      </c>
      <c r="R14" s="629">
        <v>0</v>
      </c>
      <c r="S14" s="629">
        <v>0</v>
      </c>
      <c r="T14" s="629">
        <v>0</v>
      </c>
      <c r="U14" s="629">
        <v>0</v>
      </c>
      <c r="V14" s="629">
        <v>0</v>
      </c>
      <c r="W14" s="629">
        <v>0</v>
      </c>
      <c r="X14" s="629">
        <v>0</v>
      </c>
      <c r="Y14" s="629">
        <v>0</v>
      </c>
      <c r="Z14" s="629">
        <v>0</v>
      </c>
      <c r="AA14" s="629">
        <v>0</v>
      </c>
      <c r="AB14" s="629">
        <v>0</v>
      </c>
      <c r="AC14" s="629">
        <v>0</v>
      </c>
      <c r="AD14" s="628">
        <v>0</v>
      </c>
      <c r="AE14" s="629"/>
      <c r="AF14" s="629"/>
      <c r="AG14" s="629"/>
      <c r="AH14" s="629">
        <f>AVERAGE(AH9,AH12)</f>
        <v>21.5</v>
      </c>
      <c r="AI14" s="667">
        <f>AH14</f>
        <v>21.5</v>
      </c>
      <c r="AJ14" s="629">
        <f t="shared" ref="AJ14:AM14" si="13">AVERAGE(AJ9,AJ12)</f>
        <v>22.5</v>
      </c>
      <c r="AK14" s="629">
        <f t="shared" si="13"/>
        <v>23</v>
      </c>
      <c r="AL14" s="629">
        <f t="shared" si="13"/>
        <v>23</v>
      </c>
      <c r="AM14" s="629">
        <f t="shared" si="13"/>
        <v>23</v>
      </c>
      <c r="AN14" s="667">
        <f>AM14</f>
        <v>23</v>
      </c>
      <c r="AO14" s="629">
        <f t="shared" ref="AO14:AR14" si="14">AVERAGE(AO9,AO12)</f>
        <v>23.5</v>
      </c>
      <c r="AP14" s="629">
        <f t="shared" si="14"/>
        <v>25</v>
      </c>
      <c r="AQ14" s="629">
        <f t="shared" si="14"/>
        <v>27</v>
      </c>
      <c r="AR14" s="629">
        <f t="shared" si="14"/>
        <v>28.5</v>
      </c>
      <c r="AS14" s="667">
        <f>AR14</f>
        <v>28.5</v>
      </c>
      <c r="AT14" s="629">
        <f t="shared" ref="AT14:AW14" si="15">AVERAGE(AT9,AT12)</f>
        <v>29</v>
      </c>
      <c r="AU14" s="629">
        <f t="shared" si="15"/>
        <v>29.5</v>
      </c>
      <c r="AV14" s="629">
        <f t="shared" si="15"/>
        <v>30.5</v>
      </c>
      <c r="AW14" s="629">
        <f t="shared" si="15"/>
        <v>32</v>
      </c>
      <c r="AX14" s="667">
        <f>AW14</f>
        <v>32</v>
      </c>
      <c r="AY14" s="629">
        <f t="shared" ref="AY14:BB14" si="16">AVERAGE(AY9,AY12)</f>
        <v>33</v>
      </c>
      <c r="AZ14" s="629">
        <f t="shared" si="16"/>
        <v>33</v>
      </c>
      <c r="BA14" s="629">
        <f t="shared" si="16"/>
        <v>33</v>
      </c>
      <c r="BB14" s="629">
        <f t="shared" si="16"/>
        <v>34.5</v>
      </c>
      <c r="BC14" s="667">
        <f>BB14</f>
        <v>34.5</v>
      </c>
      <c r="BD14" s="902">
        <f>AVERAGE(BD9,BD12)</f>
        <v>38</v>
      </c>
      <c r="BE14" s="902">
        <f>AVERAGE(BE9,BE12)</f>
        <v>42</v>
      </c>
      <c r="BF14" s="902">
        <f>AVERAGE(BF9,BF12)</f>
        <v>46</v>
      </c>
      <c r="BG14" s="902">
        <f>AVERAGE(BG9,BG12)</f>
        <v>50.5</v>
      </c>
      <c r="BH14" s="1296">
        <f>AVERAGE(BH9,BH12)</f>
        <v>55.5</v>
      </c>
    </row>
    <row r="15" spans="2:61" x14ac:dyDescent="0.2">
      <c r="B15" s="641"/>
      <c r="J15" s="121">
        <v>0</v>
      </c>
      <c r="K15" s="121">
        <v>0</v>
      </c>
      <c r="L15" s="121">
        <v>0</v>
      </c>
      <c r="M15" s="121">
        <v>0</v>
      </c>
      <c r="N15" s="121">
        <v>0</v>
      </c>
      <c r="O15" s="121">
        <v>0</v>
      </c>
      <c r="P15" s="121">
        <v>0</v>
      </c>
      <c r="Q15" s="121">
        <v>0</v>
      </c>
      <c r="R15" s="121">
        <v>0</v>
      </c>
      <c r="S15" s="121">
        <v>0</v>
      </c>
      <c r="T15" s="121">
        <v>0</v>
      </c>
      <c r="U15" s="121">
        <v>0</v>
      </c>
      <c r="V15" s="121">
        <v>0</v>
      </c>
      <c r="W15" s="121">
        <v>0</v>
      </c>
      <c r="X15" s="121">
        <v>0</v>
      </c>
      <c r="Y15" s="121">
        <v>0</v>
      </c>
      <c r="Z15" s="121">
        <v>0</v>
      </c>
      <c r="AA15" s="121">
        <v>0</v>
      </c>
      <c r="AB15" s="121">
        <v>0</v>
      </c>
      <c r="AC15" s="121">
        <v>0</v>
      </c>
      <c r="AD15" s="628">
        <v>0</v>
      </c>
      <c r="AE15" s="588"/>
      <c r="AF15" s="588"/>
      <c r="AG15" s="588"/>
      <c r="AH15" s="588"/>
      <c r="AI15" s="588"/>
      <c r="AJ15" s="588"/>
      <c r="AK15" s="588"/>
      <c r="AL15" s="588"/>
      <c r="AM15" s="588"/>
      <c r="AN15" s="588"/>
      <c r="AO15" s="588"/>
      <c r="AP15" s="588"/>
      <c r="AQ15" s="588"/>
      <c r="AR15" s="588"/>
      <c r="AS15" s="588"/>
      <c r="AT15" s="588"/>
      <c r="AU15" s="588"/>
      <c r="AV15" s="588"/>
      <c r="AW15" s="588"/>
      <c r="AX15" s="588"/>
      <c r="AY15" s="588"/>
      <c r="AZ15" s="588"/>
      <c r="BA15" s="588"/>
      <c r="BB15" s="588"/>
      <c r="BC15" s="588"/>
      <c r="BD15" s="588"/>
      <c r="BE15" s="588"/>
      <c r="BF15" s="588"/>
      <c r="BG15" s="588"/>
      <c r="BH15" s="1297"/>
    </row>
    <row r="16" spans="2:61" x14ac:dyDescent="0.2">
      <c r="B16" s="641"/>
      <c r="J16" s="121">
        <v>0</v>
      </c>
      <c r="K16" s="121">
        <v>0</v>
      </c>
      <c r="L16" s="121">
        <v>0</v>
      </c>
      <c r="M16" s="121">
        <v>0</v>
      </c>
      <c r="N16" s="121">
        <v>0</v>
      </c>
      <c r="O16" s="121">
        <v>0</v>
      </c>
      <c r="P16" s="121">
        <v>0</v>
      </c>
      <c r="Q16" s="121">
        <v>0</v>
      </c>
      <c r="R16" s="121">
        <v>0</v>
      </c>
      <c r="S16" s="121">
        <v>0</v>
      </c>
      <c r="T16" s="121">
        <v>0</v>
      </c>
      <c r="U16" s="121">
        <v>0</v>
      </c>
      <c r="V16" s="121">
        <v>0</v>
      </c>
      <c r="W16" s="121">
        <v>0</v>
      </c>
      <c r="X16" s="121">
        <v>0</v>
      </c>
      <c r="Y16" s="121">
        <v>0</v>
      </c>
      <c r="Z16" s="121">
        <v>0</v>
      </c>
      <c r="AA16" s="121">
        <v>0</v>
      </c>
      <c r="AB16" s="121">
        <v>0</v>
      </c>
      <c r="AC16" s="121">
        <v>0</v>
      </c>
      <c r="AD16" s="628">
        <v>0</v>
      </c>
      <c r="AE16" s="588"/>
      <c r="AF16" s="588"/>
      <c r="AG16" s="588"/>
      <c r="AH16" s="588"/>
      <c r="AI16" s="588"/>
      <c r="AJ16" s="588"/>
      <c r="AK16" s="588"/>
      <c r="AL16" s="588"/>
      <c r="AM16" s="588"/>
      <c r="AN16" s="588"/>
      <c r="AO16" s="588"/>
      <c r="AP16" s="588"/>
      <c r="AQ16" s="588"/>
      <c r="AR16" s="588"/>
      <c r="AS16" s="588"/>
      <c r="AT16" s="588"/>
      <c r="AU16" s="588"/>
      <c r="AV16" s="588"/>
      <c r="AW16" s="588"/>
      <c r="AX16" s="588"/>
      <c r="AY16" s="588"/>
      <c r="AZ16" s="588"/>
      <c r="BA16" s="588"/>
      <c r="BB16" s="588"/>
      <c r="BC16" s="588"/>
      <c r="BD16" s="588"/>
      <c r="BE16" s="588"/>
      <c r="BF16" s="588"/>
      <c r="BG16" s="588"/>
      <c r="BH16" s="1297"/>
    </row>
    <row r="17" spans="2:60" x14ac:dyDescent="0.2">
      <c r="B17" s="641" t="s">
        <v>257</v>
      </c>
      <c r="J17" s="121">
        <v>0</v>
      </c>
      <c r="K17" s="121">
        <v>0</v>
      </c>
      <c r="L17" s="121">
        <v>0</v>
      </c>
      <c r="M17" s="121">
        <v>0</v>
      </c>
      <c r="N17" s="121">
        <v>0</v>
      </c>
      <c r="O17" s="121">
        <v>0</v>
      </c>
      <c r="P17" s="121">
        <v>0</v>
      </c>
      <c r="Q17" s="121">
        <v>0</v>
      </c>
      <c r="R17" s="121">
        <v>0</v>
      </c>
      <c r="S17" s="121">
        <v>0</v>
      </c>
      <c r="T17" s="121">
        <v>0</v>
      </c>
      <c r="U17" s="121">
        <v>0</v>
      </c>
      <c r="V17" s="121">
        <v>0</v>
      </c>
      <c r="W17" s="121">
        <v>0</v>
      </c>
      <c r="X17" s="121">
        <v>0</v>
      </c>
      <c r="Y17" s="121">
        <v>0</v>
      </c>
      <c r="Z17" s="121">
        <v>0</v>
      </c>
      <c r="AA17" s="121">
        <v>0</v>
      </c>
      <c r="AB17" s="121">
        <v>0</v>
      </c>
      <c r="AC17" s="121">
        <v>0</v>
      </c>
      <c r="AD17" s="628">
        <v>0</v>
      </c>
      <c r="AE17" s="629"/>
      <c r="AF17" s="629"/>
      <c r="AG17" s="629"/>
      <c r="AH17" s="998">
        <v>280</v>
      </c>
      <c r="AI17" s="999">
        <f>AH17</f>
        <v>280</v>
      </c>
      <c r="AJ17" s="998">
        <v>290</v>
      </c>
      <c r="AK17" s="998">
        <v>261</v>
      </c>
      <c r="AL17" s="998">
        <v>296</v>
      </c>
      <c r="AM17" s="998">
        <v>299</v>
      </c>
      <c r="AN17" s="1003">
        <v>1146</v>
      </c>
      <c r="AO17" s="998">
        <v>303</v>
      </c>
      <c r="AP17" s="998">
        <v>328</v>
      </c>
      <c r="AQ17" s="998">
        <v>349</v>
      </c>
      <c r="AR17" s="998">
        <v>372</v>
      </c>
      <c r="AS17" s="1003">
        <v>1352</v>
      </c>
      <c r="AT17" s="998">
        <v>377</v>
      </c>
      <c r="AU17" s="998">
        <v>378</v>
      </c>
      <c r="AV17" s="998">
        <v>395</v>
      </c>
      <c r="AW17" s="998">
        <v>454</v>
      </c>
      <c r="AX17" s="1003">
        <v>1604</v>
      </c>
      <c r="AY17" s="998">
        <v>429</v>
      </c>
      <c r="AZ17" s="998">
        <v>429</v>
      </c>
      <c r="BA17" s="998">
        <v>429</v>
      </c>
      <c r="BB17" s="998">
        <v>442</v>
      </c>
      <c r="BC17" s="1003">
        <v>1729</v>
      </c>
      <c r="BD17" s="1298">
        <f>BD14*BD18</f>
        <v>1904.5778985507245</v>
      </c>
      <c r="BE17" s="1298">
        <f t="shared" ref="BE17:BH17" si="17">BE14*BE18</f>
        <v>2104.964673913043</v>
      </c>
      <c r="BF17" s="1298">
        <f t="shared" si="17"/>
        <v>2305.4375</v>
      </c>
      <c r="BG17" s="1298">
        <f t="shared" si="17"/>
        <v>2530.969429347826</v>
      </c>
      <c r="BH17" s="1299">
        <f t="shared" si="17"/>
        <v>2781.5604619565215</v>
      </c>
    </row>
    <row r="18" spans="2:60" x14ac:dyDescent="0.2">
      <c r="B18" s="641" t="s">
        <v>258</v>
      </c>
      <c r="J18" s="121">
        <v>0</v>
      </c>
      <c r="K18" s="121">
        <v>0</v>
      </c>
      <c r="L18" s="121">
        <v>0</v>
      </c>
      <c r="M18" s="121">
        <v>0</v>
      </c>
      <c r="N18" s="121">
        <v>0</v>
      </c>
      <c r="O18" s="121">
        <v>0</v>
      </c>
      <c r="P18" s="121">
        <v>0</v>
      </c>
      <c r="Q18" s="121">
        <v>0</v>
      </c>
      <c r="R18" s="121">
        <v>0</v>
      </c>
      <c r="S18" s="121">
        <v>0</v>
      </c>
      <c r="T18" s="121">
        <v>0</v>
      </c>
      <c r="U18" s="121">
        <v>0</v>
      </c>
      <c r="V18" s="121">
        <v>0</v>
      </c>
      <c r="W18" s="121">
        <v>0</v>
      </c>
      <c r="X18" s="121">
        <v>0</v>
      </c>
      <c r="Y18" s="121">
        <v>0</v>
      </c>
      <c r="Z18" s="121">
        <v>0</v>
      </c>
      <c r="AA18" s="121">
        <v>0</v>
      </c>
      <c r="AB18" s="121">
        <v>0</v>
      </c>
      <c r="AC18" s="121">
        <v>0</v>
      </c>
      <c r="AD18" s="628">
        <v>0</v>
      </c>
      <c r="AE18" s="845"/>
      <c r="AF18" s="845"/>
      <c r="AG18" s="845"/>
      <c r="AH18" s="845">
        <f t="shared" ref="AH18:BC18" si="18">AH17/AH14</f>
        <v>13.023255813953488</v>
      </c>
      <c r="AI18" s="845">
        <f t="shared" si="18"/>
        <v>13.023255813953488</v>
      </c>
      <c r="AJ18" s="845">
        <f t="shared" si="18"/>
        <v>12.888888888888889</v>
      </c>
      <c r="AK18" s="845">
        <f t="shared" si="18"/>
        <v>11.347826086956522</v>
      </c>
      <c r="AL18" s="845">
        <f t="shared" si="18"/>
        <v>12.869565217391305</v>
      </c>
      <c r="AM18" s="845">
        <f t="shared" si="18"/>
        <v>13</v>
      </c>
      <c r="AN18" s="845">
        <f t="shared" si="18"/>
        <v>49.826086956521742</v>
      </c>
      <c r="AO18" s="845">
        <f t="shared" si="18"/>
        <v>12.893617021276595</v>
      </c>
      <c r="AP18" s="845">
        <f t="shared" si="18"/>
        <v>13.12</v>
      </c>
      <c r="AQ18" s="845">
        <f t="shared" si="18"/>
        <v>12.925925925925926</v>
      </c>
      <c r="AR18" s="845">
        <f t="shared" si="18"/>
        <v>13.052631578947368</v>
      </c>
      <c r="AS18" s="845">
        <f t="shared" si="18"/>
        <v>47.438596491228068</v>
      </c>
      <c r="AT18" s="845">
        <f t="shared" si="18"/>
        <v>13</v>
      </c>
      <c r="AU18" s="845">
        <f t="shared" si="18"/>
        <v>12.813559322033898</v>
      </c>
      <c r="AV18" s="845">
        <f t="shared" si="18"/>
        <v>12.950819672131148</v>
      </c>
      <c r="AW18" s="845">
        <f t="shared" si="18"/>
        <v>14.1875</v>
      </c>
      <c r="AX18" s="845">
        <f t="shared" si="18"/>
        <v>50.125</v>
      </c>
      <c r="AY18" s="845">
        <f t="shared" si="18"/>
        <v>13</v>
      </c>
      <c r="AZ18" s="845">
        <f t="shared" si="18"/>
        <v>13</v>
      </c>
      <c r="BA18" s="845">
        <f t="shared" si="18"/>
        <v>13</v>
      </c>
      <c r="BB18" s="845">
        <f t="shared" si="18"/>
        <v>12.811594202898551</v>
      </c>
      <c r="BC18" s="845">
        <f t="shared" si="18"/>
        <v>50.115942028985508</v>
      </c>
      <c r="BD18" s="902">
        <f>AVERAGE(BC18,AX18)</f>
        <v>50.12047101449275</v>
      </c>
      <c r="BE18" s="902">
        <f>AVERAGE(BD18,BC18)</f>
        <v>50.118206521739125</v>
      </c>
      <c r="BF18" s="902">
        <f>AVERAGE(BC18,BD18)</f>
        <v>50.118206521739125</v>
      </c>
      <c r="BG18" s="902">
        <f>AVERAGE(BF18,BE18)</f>
        <v>50.118206521739125</v>
      </c>
      <c r="BH18" s="1296">
        <f>AVERAGE(BG18,BF18)</f>
        <v>50.118206521739125</v>
      </c>
    </row>
    <row r="19" spans="2:60" x14ac:dyDescent="0.2">
      <c r="B19" s="641"/>
      <c r="J19" s="121">
        <v>0</v>
      </c>
      <c r="K19" s="121">
        <v>0</v>
      </c>
      <c r="L19" s="121">
        <v>0</v>
      </c>
      <c r="M19" s="121">
        <v>0</v>
      </c>
      <c r="N19" s="121">
        <v>0</v>
      </c>
      <c r="O19" s="121">
        <v>0</v>
      </c>
      <c r="P19" s="121">
        <v>0</v>
      </c>
      <c r="Q19" s="121">
        <v>0</v>
      </c>
      <c r="R19" s="121">
        <v>0</v>
      </c>
      <c r="S19" s="121">
        <v>0</v>
      </c>
      <c r="T19" s="121">
        <v>0</v>
      </c>
      <c r="U19" s="121">
        <v>0</v>
      </c>
      <c r="V19" s="121">
        <v>0</v>
      </c>
      <c r="W19" s="121">
        <v>0</v>
      </c>
      <c r="X19" s="121">
        <v>0</v>
      </c>
      <c r="Y19" s="121">
        <v>0</v>
      </c>
      <c r="Z19" s="121">
        <v>0</v>
      </c>
      <c r="AA19" s="121">
        <v>0</v>
      </c>
      <c r="AB19" s="121">
        <v>0</v>
      </c>
      <c r="AC19" s="121">
        <v>0</v>
      </c>
      <c r="AD19" s="628">
        <v>0</v>
      </c>
      <c r="AE19" s="845"/>
      <c r="AF19" s="845"/>
      <c r="AG19" s="845"/>
      <c r="AH19" s="845"/>
      <c r="AI19" s="845"/>
      <c r="AJ19" s="845"/>
      <c r="AK19" s="845"/>
      <c r="AL19" s="845"/>
      <c r="AM19" s="845"/>
      <c r="AN19" s="845"/>
      <c r="AO19" s="845"/>
      <c r="AP19" s="845"/>
      <c r="AQ19" s="845"/>
      <c r="AR19" s="845"/>
      <c r="AS19" s="845"/>
      <c r="AT19" s="845"/>
      <c r="AU19" s="845"/>
      <c r="AV19" s="845"/>
      <c r="AW19" s="845"/>
      <c r="AX19" s="845"/>
      <c r="AY19" s="845"/>
      <c r="AZ19" s="845"/>
      <c r="BA19" s="845"/>
      <c r="BB19" s="845"/>
      <c r="BC19" s="845"/>
      <c r="BD19" s="588"/>
      <c r="BE19" s="588"/>
      <c r="BF19" s="588"/>
      <c r="BG19" s="588"/>
      <c r="BH19" s="1297"/>
    </row>
    <row r="20" spans="2:60" x14ac:dyDescent="0.2">
      <c r="B20" s="647" t="s">
        <v>283</v>
      </c>
      <c r="J20" s="121">
        <v>0</v>
      </c>
      <c r="K20" s="121">
        <v>0</v>
      </c>
      <c r="L20" s="121">
        <v>0</v>
      </c>
      <c r="M20" s="121">
        <v>0</v>
      </c>
      <c r="N20" s="121">
        <v>0</v>
      </c>
      <c r="O20" s="121">
        <v>0</v>
      </c>
      <c r="P20" s="121">
        <v>0</v>
      </c>
      <c r="Q20" s="121">
        <v>0</v>
      </c>
      <c r="R20" s="121">
        <v>0</v>
      </c>
      <c r="S20" s="121">
        <v>0</v>
      </c>
      <c r="T20" s="121">
        <v>0</v>
      </c>
      <c r="U20" s="121">
        <v>0</v>
      </c>
      <c r="V20" s="121">
        <v>0</v>
      </c>
      <c r="W20" s="121">
        <v>0</v>
      </c>
      <c r="X20" s="121">
        <v>0</v>
      </c>
      <c r="Y20" s="121">
        <v>0</v>
      </c>
      <c r="Z20" s="121">
        <v>0</v>
      </c>
      <c r="AA20" s="121">
        <v>0</v>
      </c>
      <c r="AB20" s="121">
        <v>0</v>
      </c>
      <c r="AC20" s="121">
        <v>0</v>
      </c>
      <c r="AD20" s="628">
        <v>0</v>
      </c>
      <c r="AE20" s="588"/>
      <c r="AF20" s="588"/>
      <c r="AG20" s="588"/>
      <c r="AH20" s="588"/>
      <c r="AI20" s="588"/>
      <c r="AJ20" s="588"/>
      <c r="AK20" s="588"/>
      <c r="AL20" s="588"/>
      <c r="AM20" s="588"/>
      <c r="AN20" s="588"/>
      <c r="AO20" s="588"/>
      <c r="AP20" s="588"/>
      <c r="AQ20" s="588"/>
      <c r="AR20" s="588"/>
      <c r="AS20" s="588"/>
      <c r="AT20" s="588"/>
      <c r="AU20" s="588"/>
      <c r="AV20" s="588"/>
      <c r="AW20" s="588"/>
      <c r="AX20" s="588"/>
      <c r="AY20" s="588"/>
      <c r="AZ20" s="588"/>
      <c r="BA20" s="588"/>
      <c r="BB20" s="588"/>
      <c r="BC20" s="588"/>
      <c r="BD20" s="588"/>
      <c r="BE20" s="588"/>
      <c r="BF20" s="588"/>
      <c r="BG20" s="588"/>
      <c r="BH20" s="1297"/>
    </row>
    <row r="21" spans="2:60" x14ac:dyDescent="0.2">
      <c r="B21" s="1501" t="s">
        <v>284</v>
      </c>
      <c r="C21" s="47"/>
      <c r="J21" s="121">
        <v>0</v>
      </c>
      <c r="K21" s="121">
        <v>0</v>
      </c>
      <c r="L21" s="121">
        <v>0</v>
      </c>
      <c r="M21" s="121">
        <v>0</v>
      </c>
      <c r="N21" s="121">
        <v>0</v>
      </c>
      <c r="O21" s="121">
        <v>0</v>
      </c>
      <c r="P21" s="121">
        <v>0</v>
      </c>
      <c r="Q21" s="121">
        <v>0</v>
      </c>
      <c r="R21" s="121">
        <v>0</v>
      </c>
      <c r="S21" s="121">
        <v>0</v>
      </c>
      <c r="T21" s="121">
        <v>0</v>
      </c>
      <c r="U21" s="121">
        <v>0</v>
      </c>
      <c r="V21" s="121">
        <v>0</v>
      </c>
      <c r="W21" s="121">
        <v>0</v>
      </c>
      <c r="X21" s="121">
        <v>0</v>
      </c>
      <c r="Y21" s="121">
        <v>0</v>
      </c>
      <c r="Z21" s="121">
        <v>0</v>
      </c>
      <c r="AA21" s="121">
        <v>0</v>
      </c>
      <c r="AB21" s="121">
        <v>0</v>
      </c>
      <c r="AC21" s="121">
        <v>0</v>
      </c>
      <c r="AD21" s="628">
        <v>0</v>
      </c>
      <c r="AE21" s="1302"/>
      <c r="AF21" s="1302"/>
      <c r="AG21" s="1302"/>
      <c r="AH21" s="1302">
        <f t="shared" ref="AH21:BC21" si="19">AH24/AH17*1000</f>
        <v>125.95714285714286</v>
      </c>
      <c r="AI21" s="1302">
        <f t="shared" si="19"/>
        <v>125.95714285714286</v>
      </c>
      <c r="AJ21" s="1302">
        <f t="shared" si="19"/>
        <v>105.21379310344828</v>
      </c>
      <c r="AK21" s="1302">
        <f t="shared" si="19"/>
        <v>52.716475095785441</v>
      </c>
      <c r="AL21" s="1302">
        <f t="shared" si="19"/>
        <v>94.560810810810807</v>
      </c>
      <c r="AM21" s="1302">
        <f t="shared" si="19"/>
        <v>101.41806020066889</v>
      </c>
      <c r="AN21" s="1302">
        <f t="shared" si="19"/>
        <v>89.515706806282722</v>
      </c>
      <c r="AO21" s="1302">
        <f t="shared" si="19"/>
        <v>108.32673267326733</v>
      </c>
      <c r="AP21" s="1302">
        <f t="shared" si="19"/>
        <v>132.82317073170734</v>
      </c>
      <c r="AQ21" s="1302">
        <f t="shared" si="19"/>
        <v>127.09742120343839</v>
      </c>
      <c r="AR21" s="1302">
        <f t="shared" si="19"/>
        <v>137.51344086021504</v>
      </c>
      <c r="AS21" s="1302">
        <f t="shared" si="19"/>
        <v>127.14571005917161</v>
      </c>
      <c r="AT21" s="1302">
        <f t="shared" si="19"/>
        <v>139.9389920424403</v>
      </c>
      <c r="AU21" s="1302">
        <f t="shared" si="19"/>
        <v>148.7777777777778</v>
      </c>
      <c r="AV21" s="1302">
        <f t="shared" si="19"/>
        <v>136.99493670886076</v>
      </c>
      <c r="AW21" s="1302">
        <f t="shared" si="19"/>
        <v>144.30396475770925</v>
      </c>
      <c r="AX21" s="1302">
        <f t="shared" si="19"/>
        <v>142.53241895261846</v>
      </c>
      <c r="AY21" s="1302">
        <f t="shared" si="19"/>
        <v>147.55944055944056</v>
      </c>
      <c r="AZ21" s="1302">
        <f t="shared" si="19"/>
        <v>153.69230769230768</v>
      </c>
      <c r="BA21" s="1302">
        <f t="shared" si="19"/>
        <v>145.49417249417249</v>
      </c>
      <c r="BB21" s="1302">
        <f t="shared" si="19"/>
        <v>152.09049773755655</v>
      </c>
      <c r="BC21" s="1302">
        <f t="shared" si="19"/>
        <v>149.72700983227298</v>
      </c>
      <c r="BD21" s="1300">
        <f>BC21*(1+'Forecast Assumptions'!G14)</f>
        <v>155.7160902255639</v>
      </c>
      <c r="BE21" s="1300">
        <f>BD21*(1+'Forecast Assumptions'!H14)</f>
        <v>161.94473383458646</v>
      </c>
      <c r="BF21" s="1300">
        <f>BE21*(1+'Forecast Assumptions'!I14)</f>
        <v>168.42252318796992</v>
      </c>
      <c r="BG21" s="1300">
        <f>BF21*(1+'Forecast Assumptions'!J14)</f>
        <v>175.15942411548872</v>
      </c>
      <c r="BH21" s="1301">
        <f>BG21*(1+'Forecast Assumptions'!K14)</f>
        <v>182.16580108010828</v>
      </c>
    </row>
    <row r="22" spans="2:60" x14ac:dyDescent="0.2">
      <c r="B22" s="1501" t="s">
        <v>285</v>
      </c>
      <c r="C22" s="47"/>
      <c r="J22" s="121">
        <v>0</v>
      </c>
      <c r="K22" s="121">
        <v>0</v>
      </c>
      <c r="L22" s="121">
        <v>0</v>
      </c>
      <c r="M22" s="121">
        <v>0</v>
      </c>
      <c r="N22" s="121">
        <v>0</v>
      </c>
      <c r="O22" s="121">
        <v>0</v>
      </c>
      <c r="P22" s="121">
        <v>0</v>
      </c>
      <c r="Q22" s="121">
        <v>0</v>
      </c>
      <c r="R22" s="121">
        <v>0</v>
      </c>
      <c r="S22" s="121">
        <v>0</v>
      </c>
      <c r="T22" s="121">
        <v>0</v>
      </c>
      <c r="U22" s="121">
        <v>0</v>
      </c>
      <c r="V22" s="121">
        <v>0</v>
      </c>
      <c r="W22" s="121">
        <v>0</v>
      </c>
      <c r="X22" s="121">
        <v>0</v>
      </c>
      <c r="Y22" s="121">
        <v>0</v>
      </c>
      <c r="Z22" s="121">
        <v>0</v>
      </c>
      <c r="AA22" s="121">
        <v>0</v>
      </c>
      <c r="AB22" s="121">
        <v>0</v>
      </c>
      <c r="AC22" s="121">
        <v>0</v>
      </c>
      <c r="AD22" s="628">
        <v>0</v>
      </c>
      <c r="AE22" s="1302"/>
      <c r="AF22" s="1302"/>
      <c r="AG22" s="1302"/>
      <c r="AH22" s="1302">
        <f t="shared" ref="AH22:BC22" si="20">AH21*AH18/1000</f>
        <v>1.6403720930232557</v>
      </c>
      <c r="AI22" s="1302">
        <f t="shared" si="20"/>
        <v>1.6403720930232557</v>
      </c>
      <c r="AJ22" s="1302">
        <f t="shared" si="20"/>
        <v>1.3560888888888889</v>
      </c>
      <c r="AK22" s="1302">
        <f t="shared" si="20"/>
        <v>0.59821739130434792</v>
      </c>
      <c r="AL22" s="1302">
        <f t="shared" si="20"/>
        <v>1.2169565217391305</v>
      </c>
      <c r="AM22" s="1302">
        <f t="shared" si="20"/>
        <v>1.3184347826086955</v>
      </c>
      <c r="AN22" s="1302">
        <f t="shared" si="20"/>
        <v>4.4602173913043481</v>
      </c>
      <c r="AO22" s="1302">
        <f t="shared" si="20"/>
        <v>1.3967234042553192</v>
      </c>
      <c r="AP22" s="1302">
        <f t="shared" si="20"/>
        <v>1.7426400000000002</v>
      </c>
      <c r="AQ22" s="1302">
        <f t="shared" si="20"/>
        <v>1.6428518518518518</v>
      </c>
      <c r="AR22" s="1302">
        <f t="shared" si="20"/>
        <v>1.7949122807017543</v>
      </c>
      <c r="AS22" s="1302">
        <f t="shared" si="20"/>
        <v>6.0316140350877196</v>
      </c>
      <c r="AT22" s="1302">
        <f t="shared" si="20"/>
        <v>1.8192068965517239</v>
      </c>
      <c r="AU22" s="1302">
        <f t="shared" si="20"/>
        <v>1.9063728813559324</v>
      </c>
      <c r="AV22" s="1302">
        <f t="shared" si="20"/>
        <v>1.7741967213114755</v>
      </c>
      <c r="AW22" s="1302">
        <f t="shared" si="20"/>
        <v>2.0473124999999999</v>
      </c>
      <c r="AX22" s="1302">
        <f t="shared" si="20"/>
        <v>7.1444375000000004</v>
      </c>
      <c r="AY22" s="1302">
        <f t="shared" si="20"/>
        <v>1.9182727272727274</v>
      </c>
      <c r="AZ22" s="1302">
        <f t="shared" si="20"/>
        <v>1.9979999999999998</v>
      </c>
      <c r="BA22" s="1302">
        <f t="shared" si="20"/>
        <v>1.8914242424242422</v>
      </c>
      <c r="BB22" s="1302">
        <f t="shared" si="20"/>
        <v>1.9485217391304346</v>
      </c>
      <c r="BC22" s="1302">
        <f t="shared" si="20"/>
        <v>7.5037101449275356</v>
      </c>
      <c r="BD22" s="1302">
        <f>BD21*BD18/1000</f>
        <v>7.8045637866405135</v>
      </c>
      <c r="BE22" s="1302">
        <f t="shared" ref="BE22:BH22" si="21">BE21*BE18/1000</f>
        <v>8.116379615429878</v>
      </c>
      <c r="BF22" s="1302">
        <f t="shared" si="21"/>
        <v>8.4410348000470723</v>
      </c>
      <c r="BG22" s="1302">
        <f t="shared" si="21"/>
        <v>8.7786761920489553</v>
      </c>
      <c r="BH22" s="1303">
        <f t="shared" si="21"/>
        <v>9.1298232397309143</v>
      </c>
    </row>
    <row r="23" spans="2:60" x14ac:dyDescent="0.2">
      <c r="B23" s="641"/>
      <c r="J23" s="121">
        <v>0</v>
      </c>
      <c r="K23" s="121">
        <v>0</v>
      </c>
      <c r="L23" s="121">
        <v>0</v>
      </c>
      <c r="M23" s="121">
        <v>0</v>
      </c>
      <c r="N23" s="121">
        <v>0</v>
      </c>
      <c r="O23" s="121">
        <v>0</v>
      </c>
      <c r="P23" s="121">
        <v>0</v>
      </c>
      <c r="Q23" s="121">
        <v>0</v>
      </c>
      <c r="R23" s="121">
        <v>0</v>
      </c>
      <c r="S23" s="121">
        <v>0</v>
      </c>
      <c r="T23" s="121">
        <v>0</v>
      </c>
      <c r="U23" s="121">
        <v>0</v>
      </c>
      <c r="V23" s="121">
        <v>0</v>
      </c>
      <c r="W23" s="121">
        <v>0</v>
      </c>
      <c r="X23" s="121">
        <v>0</v>
      </c>
      <c r="Y23" s="121">
        <v>0</v>
      </c>
      <c r="Z23" s="121">
        <v>0</v>
      </c>
      <c r="AA23" s="121">
        <v>0</v>
      </c>
      <c r="AB23" s="121">
        <v>0</v>
      </c>
      <c r="AC23" s="121">
        <v>0</v>
      </c>
      <c r="AD23" s="628">
        <v>0</v>
      </c>
      <c r="AE23" s="588"/>
      <c r="AF23" s="588"/>
      <c r="AG23" s="588"/>
      <c r="AH23" s="588"/>
      <c r="AI23" s="588"/>
      <c r="AJ23" s="588"/>
      <c r="AK23" s="588"/>
      <c r="AL23" s="588"/>
      <c r="AM23" s="588"/>
      <c r="AN23" s="588"/>
      <c r="AO23" s="588"/>
      <c r="AP23" s="588"/>
      <c r="AQ23" s="588"/>
      <c r="AR23" s="588"/>
      <c r="AS23" s="588"/>
      <c r="AT23" s="588"/>
      <c r="AU23" s="588"/>
      <c r="AV23" s="588"/>
      <c r="AW23" s="588"/>
      <c r="AX23" s="588"/>
      <c r="AY23" s="588"/>
      <c r="AZ23" s="588"/>
      <c r="BA23" s="588"/>
      <c r="BB23" s="588"/>
      <c r="BC23" s="588"/>
      <c r="BD23" s="1300"/>
      <c r="BE23" s="1300"/>
      <c r="BF23" s="1300"/>
      <c r="BG23" s="1300"/>
      <c r="BH23" s="1301"/>
    </row>
    <row r="24" spans="2:60" ht="16" thickBot="1" x14ac:dyDescent="0.25">
      <c r="B24" s="1502" t="s">
        <v>294</v>
      </c>
      <c r="C24" s="1503"/>
      <c r="D24" s="648"/>
      <c r="E24" s="648"/>
      <c r="F24" s="649"/>
      <c r="G24" s="649"/>
      <c r="H24" s="649"/>
      <c r="I24" s="649"/>
      <c r="J24" s="650">
        <v>0</v>
      </c>
      <c r="K24" s="650">
        <v>0</v>
      </c>
      <c r="L24" s="650">
        <v>0</v>
      </c>
      <c r="M24" s="650">
        <v>0</v>
      </c>
      <c r="N24" s="631">
        <v>0</v>
      </c>
      <c r="O24" s="631">
        <v>0</v>
      </c>
      <c r="P24" s="631">
        <v>0</v>
      </c>
      <c r="Q24" s="631">
        <v>0</v>
      </c>
      <c r="R24" s="631">
        <v>0</v>
      </c>
      <c r="S24" s="631">
        <v>0</v>
      </c>
      <c r="T24" s="631">
        <v>0</v>
      </c>
      <c r="U24" s="631">
        <v>0</v>
      </c>
      <c r="V24" s="631">
        <v>0</v>
      </c>
      <c r="W24" s="631">
        <v>0</v>
      </c>
      <c r="X24" s="631">
        <v>0</v>
      </c>
      <c r="Y24" s="631">
        <v>0</v>
      </c>
      <c r="Z24" s="631">
        <v>0</v>
      </c>
      <c r="AA24" s="631">
        <v>0</v>
      </c>
      <c r="AB24" s="631">
        <v>0</v>
      </c>
      <c r="AC24" s="631">
        <v>0</v>
      </c>
      <c r="AD24" s="630">
        <v>0</v>
      </c>
      <c r="AE24" s="632"/>
      <c r="AF24" s="632"/>
      <c r="AG24" s="632"/>
      <c r="AH24" s="632">
        <f t="shared" ref="AH24" si="22">AI24-SUM(AE24,AF24,AG24)</f>
        <v>35.268000000000001</v>
      </c>
      <c r="AI24" s="633">
        <v>35.268000000000001</v>
      </c>
      <c r="AJ24" s="634">
        <v>30.512</v>
      </c>
      <c r="AK24" s="634">
        <v>13.759</v>
      </c>
      <c r="AL24" s="634">
        <v>27.99</v>
      </c>
      <c r="AM24" s="635">
        <f t="shared" ref="AM24" si="23">AN24-SUM(AJ24,AK24,AL24)</f>
        <v>30.323999999999998</v>
      </c>
      <c r="AN24" s="633">
        <v>102.58499999999999</v>
      </c>
      <c r="AO24" s="634">
        <v>32.823</v>
      </c>
      <c r="AP24" s="634">
        <v>43.566000000000003</v>
      </c>
      <c r="AQ24" s="634">
        <v>44.356999999999999</v>
      </c>
      <c r="AR24" s="635">
        <f t="shared" ref="AR24" si="24">AS24-SUM(AO24,AP24,AQ24)</f>
        <v>51.155000000000001</v>
      </c>
      <c r="AS24" s="633">
        <v>171.90100000000001</v>
      </c>
      <c r="AT24" s="634">
        <v>52.756999999999998</v>
      </c>
      <c r="AU24" s="634">
        <v>56.238</v>
      </c>
      <c r="AV24" s="634">
        <v>54.113</v>
      </c>
      <c r="AW24" s="635">
        <f t="shared" ref="AW24" si="25">AX24-SUM(AT24,AU24,AV24)</f>
        <v>65.51400000000001</v>
      </c>
      <c r="AX24" s="633">
        <v>228.62200000000001</v>
      </c>
      <c r="AY24" s="634">
        <v>63.302999999999997</v>
      </c>
      <c r="AZ24" s="634">
        <v>65.933999999999997</v>
      </c>
      <c r="BA24" s="634">
        <v>62.417000000000002</v>
      </c>
      <c r="BB24" s="635">
        <f t="shared" ref="BB24" si="26">BC24-SUM(AY24,AZ24,BA24)</f>
        <v>67.22399999999999</v>
      </c>
      <c r="BC24" s="633">
        <v>258.87799999999999</v>
      </c>
      <c r="BD24" s="1310">
        <f>BD22*BD14</f>
        <v>296.57342389233952</v>
      </c>
      <c r="BE24" s="1310">
        <f t="shared" ref="BE24:BH24" si="27">BE22*BE14</f>
        <v>340.88794384805487</v>
      </c>
      <c r="BF24" s="1310">
        <f t="shared" si="27"/>
        <v>388.28760080216534</v>
      </c>
      <c r="BG24" s="1310">
        <f t="shared" si="27"/>
        <v>443.32314769847227</v>
      </c>
      <c r="BH24" s="1311">
        <f t="shared" si="27"/>
        <v>506.70518980506574</v>
      </c>
    </row>
  </sheetData>
  <mergeCells count="1">
    <mergeCell ref="N2:BC2"/>
  </mergeCells>
  <pageMargins left="0.7" right="0.7" top="0.75" bottom="0.75" header="0.3" footer="0.3"/>
  <pageSetup orientation="portrait" horizontalDpi="1200" verticalDpi="1200" r:id="rId1"/>
  <ignoredErrors>
    <ignoredError sqref="AI9:BC24 BF18"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85E1-23A8-4DCC-AACD-824607BE6A99}">
  <dimension ref="A1:BM57"/>
  <sheetViews>
    <sheetView showGridLines="0" topLeftCell="A3" zoomScale="70" zoomScaleNormal="70" workbookViewId="0">
      <selection activeCell="BF47" sqref="BF47"/>
    </sheetView>
  </sheetViews>
  <sheetFormatPr baseColWidth="10" defaultColWidth="8.83203125" defaultRowHeight="15" outlineLevelCol="1" x14ac:dyDescent="0.2"/>
  <cols>
    <col min="10" max="13" width="9.1640625" hidden="1" customWidth="1" outlineLevel="1"/>
    <col min="14" max="14" width="9.1640625" customWidth="1" collapsed="1"/>
    <col min="15" max="18" width="9.1640625" hidden="1" customWidth="1" outlineLevel="1"/>
    <col min="19" max="19" width="8.5" collapsed="1"/>
    <col min="20" max="23" width="9.1640625" hidden="1" customWidth="1" outlineLevel="1"/>
    <col min="24" max="24" width="8.5" collapsed="1"/>
    <col min="25" max="28" width="9.1640625" hidden="1" customWidth="1" outlineLevel="1"/>
    <col min="29" max="29" width="8.5" collapsed="1"/>
    <col min="30" max="33" width="9.1640625" hidden="1" customWidth="1" outlineLevel="1"/>
    <col min="34" max="34" width="8.5" collapsed="1"/>
    <col min="35" max="38" width="9.1640625" hidden="1" customWidth="1" outlineLevel="1"/>
    <col min="39" max="39" width="8.5" collapsed="1"/>
    <col min="40" max="43" width="9.1640625" hidden="1" customWidth="1" outlineLevel="1"/>
    <col min="44" max="44" width="8.5" collapsed="1"/>
    <col min="45" max="48" width="9.1640625" hidden="1" customWidth="1" outlineLevel="1"/>
    <col min="49" max="49" width="8.5" collapsed="1"/>
    <col min="50" max="53" width="9.1640625" hidden="1" customWidth="1" outlineLevel="1"/>
    <col min="54" max="54" width="8.5" collapsed="1"/>
    <col min="55" max="58" width="9.1640625" hidden="1" customWidth="1" outlineLevel="1"/>
    <col min="59" max="59" width="9.5" bestFit="1" customWidth="1" collapsed="1"/>
  </cols>
  <sheetData>
    <row r="1" spans="1:65" x14ac:dyDescent="0.2">
      <c r="A1" s="594"/>
      <c r="B1" s="594"/>
      <c r="C1" s="594"/>
      <c r="D1" s="594"/>
      <c r="E1" s="594"/>
      <c r="F1" s="594"/>
      <c r="G1" s="594"/>
      <c r="H1" s="594"/>
      <c r="I1" s="594"/>
      <c r="J1" s="594"/>
      <c r="K1" s="594"/>
      <c r="L1" s="594"/>
      <c r="M1" s="594"/>
      <c r="N1" s="594"/>
      <c r="O1" s="594"/>
      <c r="P1" s="594"/>
      <c r="Q1" s="594"/>
      <c r="R1" s="594"/>
      <c r="S1" s="594"/>
      <c r="T1" s="594"/>
      <c r="U1" s="594"/>
      <c r="V1" s="594"/>
      <c r="W1" s="594"/>
      <c r="X1" s="594"/>
      <c r="Y1" s="594"/>
      <c r="Z1" s="594"/>
      <c r="AA1" s="594"/>
      <c r="AB1" s="594"/>
      <c r="AC1" s="594"/>
      <c r="AD1" s="594"/>
      <c r="AE1" s="594"/>
      <c r="AF1" s="594"/>
      <c r="AG1" s="594"/>
      <c r="AH1" s="594"/>
      <c r="AI1" s="594"/>
      <c r="AJ1" s="594"/>
      <c r="AK1" s="594"/>
      <c r="AL1" s="594"/>
      <c r="AM1" s="594"/>
      <c r="AN1" s="594"/>
      <c r="AO1" s="594"/>
      <c r="AP1" s="594"/>
      <c r="AQ1" s="594"/>
      <c r="AR1" s="594"/>
      <c r="AS1" s="594"/>
      <c r="AT1" s="594"/>
      <c r="AU1" s="594"/>
      <c r="AV1" s="594"/>
      <c r="AW1" s="594"/>
      <c r="AX1" s="594"/>
      <c r="AY1" s="594"/>
      <c r="AZ1" s="594"/>
      <c r="BA1" s="594"/>
      <c r="BB1" s="594"/>
      <c r="BC1" s="594"/>
      <c r="BD1" s="594"/>
      <c r="BE1" s="594"/>
      <c r="BF1" s="594"/>
      <c r="BG1" s="594"/>
      <c r="BH1" s="594"/>
      <c r="BI1" s="594"/>
      <c r="BJ1" s="594"/>
      <c r="BK1" s="594"/>
      <c r="BL1" s="594"/>
      <c r="BM1" s="594"/>
    </row>
    <row r="2" spans="1:65" x14ac:dyDescent="0.2">
      <c r="A2" s="594"/>
      <c r="B2" s="594"/>
      <c r="C2" s="594"/>
      <c r="D2" s="594"/>
      <c r="E2" s="594"/>
      <c r="F2" s="594"/>
      <c r="G2" s="594"/>
      <c r="H2" s="594"/>
      <c r="I2" s="594"/>
      <c r="J2" s="594"/>
      <c r="K2" s="594"/>
      <c r="L2" s="594"/>
      <c r="M2" s="594"/>
      <c r="N2" s="1572" t="s">
        <v>249</v>
      </c>
      <c r="O2" s="1572"/>
      <c r="P2" s="1572"/>
      <c r="Q2" s="1572"/>
      <c r="R2" s="1572"/>
      <c r="S2" s="1572"/>
      <c r="T2" s="1572"/>
      <c r="U2" s="1572"/>
      <c r="V2" s="1572"/>
      <c r="W2" s="1572"/>
      <c r="X2" s="1572"/>
      <c r="Y2" s="1572"/>
      <c r="Z2" s="1572"/>
      <c r="AA2" s="1572"/>
      <c r="AB2" s="1572"/>
      <c r="AC2" s="1572"/>
      <c r="AD2" s="1572"/>
      <c r="AE2" s="1572"/>
      <c r="AF2" s="1572"/>
      <c r="AG2" s="1572"/>
      <c r="AH2" s="1572"/>
      <c r="AI2" s="1572"/>
      <c r="AJ2" s="1572"/>
      <c r="AK2" s="1572"/>
      <c r="AL2" s="1572"/>
      <c r="AM2" s="1572"/>
      <c r="AN2" s="1572"/>
      <c r="AO2" s="1572"/>
      <c r="AP2" s="1572"/>
      <c r="AQ2" s="1572"/>
      <c r="AR2" s="1572"/>
      <c r="AS2" s="1572"/>
      <c r="AT2" s="1572"/>
      <c r="AU2" s="1572"/>
      <c r="AV2" s="1572"/>
      <c r="AW2" s="1572"/>
      <c r="AX2" s="1572"/>
      <c r="AY2" s="1572"/>
      <c r="AZ2" s="1572"/>
      <c r="BA2" s="1572"/>
      <c r="BB2" s="1572"/>
      <c r="BC2" s="1572"/>
      <c r="BD2" s="1572"/>
      <c r="BE2" s="1572"/>
      <c r="BF2" s="1572"/>
      <c r="BG2" s="1572"/>
      <c r="BH2" s="594"/>
      <c r="BI2" s="594"/>
      <c r="BJ2" s="594"/>
      <c r="BK2" s="594"/>
      <c r="BL2" s="594"/>
      <c r="BM2" s="594"/>
    </row>
    <row r="3" spans="1:65" ht="16" thickBot="1" x14ac:dyDescent="0.25">
      <c r="A3" s="594"/>
      <c r="B3" s="594"/>
      <c r="C3" s="594"/>
      <c r="D3" s="594"/>
      <c r="E3" s="594"/>
      <c r="F3" s="594"/>
      <c r="G3" s="594"/>
      <c r="H3" s="594"/>
      <c r="I3" s="594"/>
      <c r="J3" s="594"/>
      <c r="K3" s="594"/>
      <c r="L3" s="594"/>
      <c r="M3" s="594"/>
      <c r="N3" s="594"/>
      <c r="O3" s="594"/>
      <c r="P3" s="594"/>
      <c r="Q3" s="594"/>
      <c r="R3" s="594"/>
      <c r="S3" s="594"/>
      <c r="T3" s="594"/>
      <c r="U3" s="594"/>
      <c r="V3" s="594"/>
      <c r="W3" s="594"/>
      <c r="X3" s="594"/>
      <c r="Y3" s="594"/>
      <c r="Z3" s="594"/>
      <c r="AA3" s="594"/>
      <c r="AB3" s="594"/>
      <c r="AC3" s="594"/>
      <c r="AD3" s="594"/>
      <c r="AE3" s="594"/>
      <c r="AF3" s="594"/>
      <c r="AG3" s="594"/>
      <c r="AH3" s="594"/>
      <c r="AI3" s="594"/>
      <c r="AJ3" s="594"/>
      <c r="AK3" s="594"/>
      <c r="AL3" s="594"/>
      <c r="AM3" s="594"/>
      <c r="AN3" s="594"/>
      <c r="AO3" s="594"/>
      <c r="AP3" s="594"/>
      <c r="AQ3" s="594"/>
      <c r="AR3" s="594"/>
      <c r="AS3" s="594"/>
      <c r="AT3" s="594"/>
      <c r="AU3" s="594"/>
      <c r="AV3" s="594"/>
      <c r="AW3" s="594"/>
      <c r="AX3" s="594"/>
      <c r="AY3" s="594"/>
      <c r="AZ3" s="594"/>
      <c r="BA3" s="594"/>
      <c r="BB3" s="594"/>
      <c r="BC3" s="594"/>
      <c r="BD3" s="594"/>
      <c r="BE3" s="594"/>
      <c r="BF3" s="594"/>
      <c r="BG3" s="594"/>
      <c r="BH3" s="594"/>
      <c r="BI3" s="594"/>
      <c r="BJ3" s="594"/>
      <c r="BK3" s="594"/>
      <c r="BL3" s="594"/>
      <c r="BM3" s="594"/>
    </row>
    <row r="4" spans="1:65" x14ac:dyDescent="0.2">
      <c r="A4" s="594"/>
      <c r="B4" s="1312" t="s">
        <v>155</v>
      </c>
      <c r="C4" s="1313"/>
      <c r="D4" s="1313"/>
      <c r="E4" s="1313"/>
      <c r="F4" s="1313"/>
      <c r="G4" s="1313"/>
      <c r="H4" s="1313"/>
      <c r="I4" s="1313"/>
      <c r="J4" s="1314">
        <v>41730</v>
      </c>
      <c r="K4" s="1314">
        <v>41821</v>
      </c>
      <c r="L4" s="1314">
        <v>41912</v>
      </c>
      <c r="M4" s="1314">
        <v>42003</v>
      </c>
      <c r="N4" s="1314">
        <v>42003</v>
      </c>
      <c r="O4" s="1314">
        <v>42094</v>
      </c>
      <c r="P4" s="1314">
        <v>42185</v>
      </c>
      <c r="Q4" s="1314">
        <v>42276</v>
      </c>
      <c r="R4" s="1314">
        <v>42367</v>
      </c>
      <c r="S4" s="1314">
        <v>42367</v>
      </c>
      <c r="T4" s="1314">
        <v>42458</v>
      </c>
      <c r="U4" s="1314">
        <v>42549</v>
      </c>
      <c r="V4" s="1314">
        <v>42640</v>
      </c>
      <c r="W4" s="1314">
        <v>42738</v>
      </c>
      <c r="X4" s="1314">
        <v>42738</v>
      </c>
      <c r="Y4" s="1314">
        <v>42829</v>
      </c>
      <c r="Z4" s="1314">
        <v>42920</v>
      </c>
      <c r="AA4" s="1314">
        <v>43011</v>
      </c>
      <c r="AB4" s="1314">
        <v>43102</v>
      </c>
      <c r="AC4" s="1314">
        <v>43102</v>
      </c>
      <c r="AD4" s="1314">
        <v>43193</v>
      </c>
      <c r="AE4" s="1314">
        <v>43284</v>
      </c>
      <c r="AF4" s="1314">
        <v>43375</v>
      </c>
      <c r="AG4" s="1314">
        <v>43466</v>
      </c>
      <c r="AH4" s="1314">
        <v>43466</v>
      </c>
      <c r="AI4" s="1314">
        <v>43557</v>
      </c>
      <c r="AJ4" s="1314">
        <v>43648</v>
      </c>
      <c r="AK4" s="1314">
        <v>43739</v>
      </c>
      <c r="AL4" s="1314">
        <v>43830</v>
      </c>
      <c r="AM4" s="1314">
        <v>43830</v>
      </c>
      <c r="AN4" s="1314">
        <v>43921</v>
      </c>
      <c r="AO4" s="1314">
        <v>44012</v>
      </c>
      <c r="AP4" s="1314">
        <v>44103</v>
      </c>
      <c r="AQ4" s="1314">
        <v>44194</v>
      </c>
      <c r="AR4" s="1314">
        <v>44194</v>
      </c>
      <c r="AS4" s="1314">
        <v>44285</v>
      </c>
      <c r="AT4" s="1314">
        <v>44376</v>
      </c>
      <c r="AU4" s="1314">
        <v>44467</v>
      </c>
      <c r="AV4" s="1314">
        <v>44558</v>
      </c>
      <c r="AW4" s="1314">
        <v>44558</v>
      </c>
      <c r="AX4" s="1314">
        <v>44649</v>
      </c>
      <c r="AY4" s="1314">
        <v>44740</v>
      </c>
      <c r="AZ4" s="1314">
        <v>44831</v>
      </c>
      <c r="BA4" s="1314">
        <v>44929</v>
      </c>
      <c r="BB4" s="1314">
        <v>44929</v>
      </c>
      <c r="BC4" s="1314">
        <v>45019</v>
      </c>
      <c r="BD4" s="1314">
        <v>45111</v>
      </c>
      <c r="BE4" s="1314">
        <v>45202</v>
      </c>
      <c r="BF4" s="1314">
        <v>45293</v>
      </c>
      <c r="BG4" s="1314">
        <v>45293</v>
      </c>
      <c r="BH4" s="1573" t="s">
        <v>295</v>
      </c>
      <c r="BI4" s="1573"/>
      <c r="BJ4" s="1573"/>
      <c r="BK4" s="1573"/>
      <c r="BL4" s="1574"/>
      <c r="BM4" s="594"/>
    </row>
    <row r="5" spans="1:65" x14ac:dyDescent="0.2">
      <c r="A5" s="594"/>
      <c r="B5" s="1315"/>
      <c r="C5" s="899"/>
      <c r="D5" s="899"/>
      <c r="E5" s="899"/>
      <c r="F5" s="899"/>
      <c r="G5" s="899"/>
      <c r="H5" s="899"/>
      <c r="I5" s="899"/>
      <c r="J5" s="900" t="s">
        <v>157</v>
      </c>
      <c r="K5" s="900" t="s">
        <v>158</v>
      </c>
      <c r="L5" s="900" t="s">
        <v>159</v>
      </c>
      <c r="M5" s="900" t="s">
        <v>160</v>
      </c>
      <c r="N5" s="900" t="s">
        <v>161</v>
      </c>
      <c r="O5" s="900" t="s">
        <v>162</v>
      </c>
      <c r="P5" s="900" t="s">
        <v>163</v>
      </c>
      <c r="Q5" s="900" t="s">
        <v>164</v>
      </c>
      <c r="R5" s="900" t="s">
        <v>165</v>
      </c>
      <c r="S5" s="900" t="s">
        <v>166</v>
      </c>
      <c r="T5" s="900" t="s">
        <v>167</v>
      </c>
      <c r="U5" s="900" t="s">
        <v>168</v>
      </c>
      <c r="V5" s="900" t="s">
        <v>169</v>
      </c>
      <c r="W5" s="900" t="s">
        <v>170</v>
      </c>
      <c r="X5" s="900" t="s">
        <v>171</v>
      </c>
      <c r="Y5" s="900" t="s">
        <v>172</v>
      </c>
      <c r="Z5" s="900" t="s">
        <v>173</v>
      </c>
      <c r="AA5" s="900" t="s">
        <v>174</v>
      </c>
      <c r="AB5" s="900" t="s">
        <v>175</v>
      </c>
      <c r="AC5" s="900" t="s">
        <v>176</v>
      </c>
      <c r="AD5" s="900" t="s">
        <v>177</v>
      </c>
      <c r="AE5" s="900" t="s">
        <v>178</v>
      </c>
      <c r="AF5" s="900" t="s">
        <v>179</v>
      </c>
      <c r="AG5" s="900" t="s">
        <v>180</v>
      </c>
      <c r="AH5" s="900" t="s">
        <v>181</v>
      </c>
      <c r="AI5" s="900" t="s">
        <v>182</v>
      </c>
      <c r="AJ5" s="900" t="s">
        <v>183</v>
      </c>
      <c r="AK5" s="900" t="s">
        <v>184</v>
      </c>
      <c r="AL5" s="900" t="s">
        <v>185</v>
      </c>
      <c r="AM5" s="900" t="s">
        <v>186</v>
      </c>
      <c r="AN5" s="900" t="s">
        <v>187</v>
      </c>
      <c r="AO5" s="900" t="s">
        <v>188</v>
      </c>
      <c r="AP5" s="900" t="s">
        <v>189</v>
      </c>
      <c r="AQ5" s="900" t="s">
        <v>190</v>
      </c>
      <c r="AR5" s="900" t="s">
        <v>191</v>
      </c>
      <c r="AS5" s="900" t="s">
        <v>192</v>
      </c>
      <c r="AT5" s="900" t="s">
        <v>193</v>
      </c>
      <c r="AU5" s="900" t="s">
        <v>194</v>
      </c>
      <c r="AV5" s="900" t="s">
        <v>195</v>
      </c>
      <c r="AW5" s="900" t="s">
        <v>196</v>
      </c>
      <c r="AX5" s="900" t="s">
        <v>197</v>
      </c>
      <c r="AY5" s="900" t="s">
        <v>198</v>
      </c>
      <c r="AZ5" s="900" t="s">
        <v>199</v>
      </c>
      <c r="BA5" s="900" t="s">
        <v>200</v>
      </c>
      <c r="BB5" s="900" t="s">
        <v>201</v>
      </c>
      <c r="BC5" s="900" t="s">
        <v>202</v>
      </c>
      <c r="BD5" s="900" t="s">
        <v>203</v>
      </c>
      <c r="BE5" s="900" t="s">
        <v>204</v>
      </c>
      <c r="BF5" s="900" t="s">
        <v>205</v>
      </c>
      <c r="BG5" s="900" t="s">
        <v>206</v>
      </c>
      <c r="BH5" s="900" t="s">
        <v>207</v>
      </c>
      <c r="BI5" s="900" t="s">
        <v>208</v>
      </c>
      <c r="BJ5" s="900" t="s">
        <v>209</v>
      </c>
      <c r="BK5" s="900" t="s">
        <v>210</v>
      </c>
      <c r="BL5" s="1316" t="s">
        <v>211</v>
      </c>
      <c r="BM5" s="594"/>
    </row>
    <row r="6" spans="1:65" ht="16" thickBot="1" x14ac:dyDescent="0.25">
      <c r="A6" s="594"/>
      <c r="B6" s="1317"/>
      <c r="C6" s="594"/>
      <c r="D6" s="594"/>
      <c r="E6" s="594"/>
      <c r="F6" s="594"/>
      <c r="G6" s="594"/>
      <c r="H6" s="594"/>
      <c r="I6" s="594"/>
      <c r="J6" s="594"/>
      <c r="K6" s="594"/>
      <c r="L6" s="594"/>
      <c r="M6" s="594"/>
      <c r="N6" s="594"/>
      <c r="O6" s="594"/>
      <c r="P6" s="594"/>
      <c r="Q6" s="594"/>
      <c r="R6" s="594"/>
      <c r="S6" s="594"/>
      <c r="T6" s="594"/>
      <c r="U6" s="594"/>
      <c r="V6" s="594"/>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594"/>
      <c r="AU6" s="594"/>
      <c r="AV6" s="594"/>
      <c r="AW6" s="594"/>
      <c r="AX6" s="594"/>
      <c r="AY6" s="594"/>
      <c r="AZ6" s="594"/>
      <c r="BA6" s="594"/>
      <c r="BB6" s="594"/>
      <c r="BC6" s="594"/>
      <c r="BD6" s="594"/>
      <c r="BE6" s="594"/>
      <c r="BF6" s="594"/>
      <c r="BG6" s="594"/>
      <c r="BH6" s="594"/>
      <c r="BI6" s="594"/>
      <c r="BJ6" s="594"/>
      <c r="BK6" s="594"/>
      <c r="BL6" s="1318"/>
      <c r="BM6" s="594"/>
    </row>
    <row r="7" spans="1:65" x14ac:dyDescent="0.2">
      <c r="A7" s="594"/>
      <c r="B7" s="1349" t="s">
        <v>296</v>
      </c>
      <c r="C7" s="1350"/>
      <c r="D7" s="1351"/>
      <c r="E7" s="1351"/>
      <c r="F7" s="1351"/>
      <c r="G7" s="1351"/>
      <c r="H7" s="1351"/>
      <c r="I7" s="1351"/>
      <c r="J7" s="1288"/>
      <c r="K7" s="1288"/>
      <c r="L7" s="1288"/>
      <c r="M7" s="1288"/>
      <c r="N7" s="1352"/>
      <c r="O7" s="1288"/>
      <c r="P7" s="1288"/>
      <c r="Q7" s="1288"/>
      <c r="R7" s="1288"/>
      <c r="S7" s="1288"/>
      <c r="T7" s="1288"/>
      <c r="U7" s="1288"/>
      <c r="V7" s="1288"/>
      <c r="W7" s="1288"/>
      <c r="X7" s="1288"/>
      <c r="Y7" s="1288"/>
      <c r="Z7" s="1288"/>
      <c r="AA7" s="1288"/>
      <c r="AB7" s="1288"/>
      <c r="AC7" s="1288"/>
      <c r="AD7" s="1288"/>
      <c r="AE7" s="1288"/>
      <c r="AF7" s="1288"/>
      <c r="AG7" s="1288"/>
      <c r="AH7" s="1288"/>
      <c r="AI7" s="1288"/>
      <c r="AJ7" s="1288"/>
      <c r="AK7" s="1288"/>
      <c r="AL7" s="1288"/>
      <c r="AM7" s="1288"/>
      <c r="AN7" s="1288"/>
      <c r="AO7" s="1288"/>
      <c r="AP7" s="1288"/>
      <c r="AQ7" s="1288"/>
      <c r="AR7" s="1288"/>
      <c r="AS7" s="1288"/>
      <c r="AT7" s="1288"/>
      <c r="AU7" s="1288"/>
      <c r="AV7" s="1288"/>
      <c r="AW7" s="1288"/>
      <c r="AX7" s="1288"/>
      <c r="AY7" s="1288"/>
      <c r="AZ7" s="1288"/>
      <c r="BA7" s="1288"/>
      <c r="BB7" s="1288"/>
      <c r="BC7" s="1288"/>
      <c r="BD7" s="1288"/>
      <c r="BE7" s="1288"/>
      <c r="BF7" s="1288"/>
      <c r="BG7" s="1288"/>
      <c r="BH7" s="1288"/>
      <c r="BI7" s="1288"/>
      <c r="BJ7" s="1288"/>
      <c r="BK7" s="1288"/>
      <c r="BL7" s="1289"/>
      <c r="BM7" s="594"/>
    </row>
    <row r="8" spans="1:65" x14ac:dyDescent="0.2">
      <c r="A8" s="594"/>
      <c r="B8" s="1317"/>
      <c r="C8" s="594"/>
      <c r="D8" s="594"/>
      <c r="E8" s="594"/>
      <c r="F8" s="594"/>
      <c r="G8" s="594"/>
      <c r="H8" s="594"/>
      <c r="I8" s="594"/>
      <c r="J8" s="588"/>
      <c r="K8" s="588"/>
      <c r="L8" s="588"/>
      <c r="M8" s="588"/>
      <c r="N8" s="1319"/>
      <c r="O8" s="588"/>
      <c r="P8" s="588"/>
      <c r="Q8" s="588"/>
      <c r="R8" s="588"/>
      <c r="S8" s="588"/>
      <c r="T8" s="588"/>
      <c r="U8" s="588"/>
      <c r="V8" s="588"/>
      <c r="W8" s="588"/>
      <c r="X8" s="588"/>
      <c r="Y8" s="588"/>
      <c r="Z8" s="588"/>
      <c r="AA8" s="588"/>
      <c r="AB8" s="588"/>
      <c r="AC8" s="588"/>
      <c r="AD8" s="588"/>
      <c r="AE8" s="588"/>
      <c r="AF8" s="588"/>
      <c r="AG8" s="588"/>
      <c r="AH8" s="588"/>
      <c r="AI8" s="588"/>
      <c r="AJ8" s="588"/>
      <c r="AK8" s="588"/>
      <c r="AL8" s="588"/>
      <c r="AM8" s="588"/>
      <c r="AN8" s="588"/>
      <c r="AO8" s="588"/>
      <c r="AP8" s="588"/>
      <c r="AQ8" s="588"/>
      <c r="AR8" s="588"/>
      <c r="AS8" s="588"/>
      <c r="AT8" s="588"/>
      <c r="AU8" s="588"/>
      <c r="AV8" s="588"/>
      <c r="AW8" s="588"/>
      <c r="AX8" s="588"/>
      <c r="AY8" s="588"/>
      <c r="AZ8" s="588"/>
      <c r="BA8" s="588"/>
      <c r="BB8" s="588"/>
      <c r="BC8" s="588"/>
      <c r="BD8" s="588"/>
      <c r="BE8" s="588"/>
      <c r="BF8" s="588"/>
      <c r="BG8" s="588"/>
      <c r="BH8" s="588"/>
      <c r="BI8" s="588"/>
      <c r="BJ8" s="588"/>
      <c r="BK8" s="588"/>
      <c r="BL8" s="1297"/>
      <c r="BM8" s="594"/>
    </row>
    <row r="9" spans="1:65" x14ac:dyDescent="0.2">
      <c r="A9" s="594"/>
      <c r="B9" s="1339" t="s">
        <v>297</v>
      </c>
      <c r="C9" s="1340"/>
      <c r="D9" s="594"/>
      <c r="E9" s="594"/>
      <c r="F9" s="594"/>
      <c r="G9" s="594"/>
      <c r="H9" s="594"/>
      <c r="I9" s="594"/>
      <c r="J9" s="629">
        <v>0</v>
      </c>
      <c r="K9" s="629">
        <v>0</v>
      </c>
      <c r="L9" s="629">
        <v>0</v>
      </c>
      <c r="M9" s="629">
        <v>0</v>
      </c>
      <c r="N9" s="628">
        <v>0</v>
      </c>
      <c r="O9" s="629">
        <v>0</v>
      </c>
      <c r="P9" s="629">
        <v>0</v>
      </c>
      <c r="Q9" s="629">
        <v>0</v>
      </c>
      <c r="R9" s="629">
        <v>0</v>
      </c>
      <c r="S9" s="629">
        <v>0</v>
      </c>
      <c r="T9" s="629">
        <v>0</v>
      </c>
      <c r="U9" s="629">
        <v>0</v>
      </c>
      <c r="V9" s="629">
        <v>0</v>
      </c>
      <c r="W9" s="629">
        <v>0</v>
      </c>
      <c r="X9" s="629">
        <v>0</v>
      </c>
      <c r="Y9" s="629">
        <v>0</v>
      </c>
      <c r="Z9" s="629">
        <v>0</v>
      </c>
      <c r="AA9" s="629">
        <v>0</v>
      </c>
      <c r="AB9" s="629">
        <v>0</v>
      </c>
      <c r="AC9" s="629">
        <v>0</v>
      </c>
      <c r="AD9" s="629">
        <v>0</v>
      </c>
      <c r="AE9" s="629">
        <v>0</v>
      </c>
      <c r="AF9" s="629">
        <v>0</v>
      </c>
      <c r="AG9" s="629">
        <v>0</v>
      </c>
      <c r="AH9" s="629">
        <v>0</v>
      </c>
      <c r="AI9" s="629">
        <v>0</v>
      </c>
      <c r="AJ9" s="629">
        <v>0</v>
      </c>
      <c r="AK9" s="629"/>
      <c r="AL9" s="629">
        <f>AK12</f>
        <v>25</v>
      </c>
      <c r="AM9" s="667">
        <f>AH12</f>
        <v>0</v>
      </c>
      <c r="AN9" s="629">
        <f t="shared" ref="AN9:AQ9" si="0">AM12</f>
        <v>25</v>
      </c>
      <c r="AO9" s="629">
        <f t="shared" si="0"/>
        <v>25</v>
      </c>
      <c r="AP9" s="629">
        <f t="shared" si="0"/>
        <v>25</v>
      </c>
      <c r="AQ9" s="629">
        <f t="shared" si="0"/>
        <v>25</v>
      </c>
      <c r="AR9" s="667">
        <f>AM12</f>
        <v>25</v>
      </c>
      <c r="AS9" s="629">
        <f t="shared" ref="AS9:AV9" si="1">AR12</f>
        <v>27</v>
      </c>
      <c r="AT9" s="629">
        <f t="shared" si="1"/>
        <v>28</v>
      </c>
      <c r="AU9" s="629">
        <f t="shared" si="1"/>
        <v>28</v>
      </c>
      <c r="AV9" s="629">
        <f t="shared" si="1"/>
        <v>29</v>
      </c>
      <c r="AW9" s="667">
        <f>AR12</f>
        <v>27</v>
      </c>
      <c r="AX9" s="629">
        <f t="shared" ref="AX9:BA9" si="2">AW12</f>
        <v>31</v>
      </c>
      <c r="AY9" s="629">
        <f t="shared" si="2"/>
        <v>31</v>
      </c>
      <c r="AZ9" s="629">
        <f t="shared" si="2"/>
        <v>31</v>
      </c>
      <c r="BA9" s="629">
        <f t="shared" si="2"/>
        <v>32</v>
      </c>
      <c r="BB9" s="667">
        <f>AW12</f>
        <v>31</v>
      </c>
      <c r="BC9" s="629">
        <f t="shared" ref="BC9:BF9" si="3">BB12</f>
        <v>34</v>
      </c>
      <c r="BD9" s="629">
        <f t="shared" si="3"/>
        <v>35</v>
      </c>
      <c r="BE9" s="629">
        <f t="shared" si="3"/>
        <v>37</v>
      </c>
      <c r="BF9" s="629">
        <f t="shared" si="3"/>
        <v>37</v>
      </c>
      <c r="BG9" s="667">
        <f>BB12</f>
        <v>34</v>
      </c>
      <c r="BH9" s="588"/>
      <c r="BI9" s="588"/>
      <c r="BJ9" s="588"/>
      <c r="BK9" s="588"/>
      <c r="BL9" s="1297"/>
      <c r="BM9" s="594"/>
    </row>
    <row r="10" spans="1:65" x14ac:dyDescent="0.2">
      <c r="A10" s="594"/>
      <c r="B10" s="1341" t="s">
        <v>298</v>
      </c>
      <c r="C10" s="1342"/>
      <c r="D10" s="594"/>
      <c r="E10" s="594"/>
      <c r="F10" s="594"/>
      <c r="G10" s="594"/>
      <c r="H10" s="594"/>
      <c r="I10" s="594"/>
      <c r="J10" s="629">
        <v>0</v>
      </c>
      <c r="K10" s="629">
        <v>0</v>
      </c>
      <c r="L10" s="629">
        <v>0</v>
      </c>
      <c r="M10" s="629">
        <v>0</v>
      </c>
      <c r="N10" s="628">
        <v>0</v>
      </c>
      <c r="O10" s="629">
        <v>0</v>
      </c>
      <c r="P10" s="629">
        <v>0</v>
      </c>
      <c r="Q10" s="629">
        <v>0</v>
      </c>
      <c r="R10" s="629">
        <v>0</v>
      </c>
      <c r="S10" s="629">
        <v>0</v>
      </c>
      <c r="T10" s="629">
        <v>0</v>
      </c>
      <c r="U10" s="629">
        <v>0</v>
      </c>
      <c r="V10" s="629">
        <v>0</v>
      </c>
      <c r="W10" s="629">
        <v>0</v>
      </c>
      <c r="X10" s="629">
        <v>0</v>
      </c>
      <c r="Y10" s="629">
        <v>0</v>
      </c>
      <c r="Z10" s="629">
        <v>0</v>
      </c>
      <c r="AA10" s="629">
        <v>0</v>
      </c>
      <c r="AB10" s="629">
        <v>0</v>
      </c>
      <c r="AC10" s="629">
        <v>0</v>
      </c>
      <c r="AD10" s="629">
        <v>0</v>
      </c>
      <c r="AE10" s="629">
        <v>0</v>
      </c>
      <c r="AF10" s="629">
        <v>0</v>
      </c>
      <c r="AG10" s="629">
        <v>0</v>
      </c>
      <c r="AH10" s="629">
        <v>0</v>
      </c>
      <c r="AI10" s="629">
        <v>0</v>
      </c>
      <c r="AJ10" s="629">
        <v>0</v>
      </c>
      <c r="AK10" s="994"/>
      <c r="AL10" s="995">
        <v>0</v>
      </c>
      <c r="AM10" s="996">
        <f>AL10+AK12</f>
        <v>25</v>
      </c>
      <c r="AN10" s="995">
        <v>0</v>
      </c>
      <c r="AO10" s="995">
        <v>0</v>
      </c>
      <c r="AP10" s="995">
        <v>0</v>
      </c>
      <c r="AQ10" s="995">
        <v>2</v>
      </c>
      <c r="AR10" s="996">
        <f t="shared" ref="AR10:AR11" si="4">SUM(AN10,AO10,AP10,AQ10)</f>
        <v>2</v>
      </c>
      <c r="AS10" s="995">
        <v>1</v>
      </c>
      <c r="AT10" s="995">
        <v>0</v>
      </c>
      <c r="AU10" s="995">
        <v>1</v>
      </c>
      <c r="AV10" s="995">
        <v>2</v>
      </c>
      <c r="AW10" s="996">
        <f t="shared" ref="AW10:AW11" si="5">SUM(AS10,AT10,AU10,AV10)</f>
        <v>4</v>
      </c>
      <c r="AX10" s="995">
        <v>0</v>
      </c>
      <c r="AY10" s="995">
        <v>0</v>
      </c>
      <c r="AZ10" s="995">
        <v>1</v>
      </c>
      <c r="BA10" s="995">
        <v>2</v>
      </c>
      <c r="BB10" s="996">
        <f t="shared" ref="BB10:BB11" si="6">SUM(AX10,AY10,AZ10,BA10)</f>
        <v>3</v>
      </c>
      <c r="BC10" s="995">
        <v>1</v>
      </c>
      <c r="BD10" s="995">
        <v>2</v>
      </c>
      <c r="BE10" s="995">
        <v>0</v>
      </c>
      <c r="BF10" s="995">
        <v>3</v>
      </c>
      <c r="BG10" s="996">
        <f t="shared" ref="BG10:BG11" si="7">SUM(BC10,BD10,BE10,BF10)</f>
        <v>6</v>
      </c>
      <c r="BH10" s="588"/>
      <c r="BI10" s="588"/>
      <c r="BJ10" s="588"/>
      <c r="BK10" s="588"/>
      <c r="BL10" s="1297"/>
      <c r="BM10" s="594"/>
    </row>
    <row r="11" spans="1:65" x14ac:dyDescent="0.2">
      <c r="A11" s="594"/>
      <c r="B11" s="1341" t="s">
        <v>299</v>
      </c>
      <c r="C11" s="1342"/>
      <c r="D11" s="594"/>
      <c r="E11" s="594"/>
      <c r="F11" s="594"/>
      <c r="G11" s="594"/>
      <c r="H11" s="594"/>
      <c r="I11" s="594"/>
      <c r="J11" s="629">
        <v>0</v>
      </c>
      <c r="K11" s="629">
        <v>0</v>
      </c>
      <c r="L11" s="629">
        <v>0</v>
      </c>
      <c r="M11" s="629">
        <v>0</v>
      </c>
      <c r="N11" s="628">
        <v>0</v>
      </c>
      <c r="O11" s="629">
        <v>0</v>
      </c>
      <c r="P11" s="629">
        <v>0</v>
      </c>
      <c r="Q11" s="629">
        <v>0</v>
      </c>
      <c r="R11" s="629">
        <v>0</v>
      </c>
      <c r="S11" s="629">
        <v>0</v>
      </c>
      <c r="T11" s="629">
        <v>0</v>
      </c>
      <c r="U11" s="629">
        <v>0</v>
      </c>
      <c r="V11" s="629">
        <v>0</v>
      </c>
      <c r="W11" s="629">
        <v>0</v>
      </c>
      <c r="X11" s="629">
        <v>0</v>
      </c>
      <c r="Y11" s="629">
        <v>0</v>
      </c>
      <c r="Z11" s="629">
        <v>0</v>
      </c>
      <c r="AA11" s="629">
        <v>0</v>
      </c>
      <c r="AB11" s="629">
        <v>0</v>
      </c>
      <c r="AC11" s="629">
        <v>0</v>
      </c>
      <c r="AD11" s="629">
        <v>0</v>
      </c>
      <c r="AE11" s="629">
        <v>0</v>
      </c>
      <c r="AF11" s="629">
        <v>0</v>
      </c>
      <c r="AG11" s="629">
        <v>0</v>
      </c>
      <c r="AH11" s="629">
        <v>0</v>
      </c>
      <c r="AI11" s="629">
        <v>0</v>
      </c>
      <c r="AJ11" s="629">
        <v>0</v>
      </c>
      <c r="AK11" s="994"/>
      <c r="AL11" s="995">
        <v>0</v>
      </c>
      <c r="AM11" s="997">
        <v>0</v>
      </c>
      <c r="AN11" s="994">
        <f t="shared" ref="AN11:AP11" si="8">AN12-AN9-AN10</f>
        <v>0</v>
      </c>
      <c r="AO11" s="994">
        <f t="shared" si="8"/>
        <v>0</v>
      </c>
      <c r="AP11" s="994">
        <f t="shared" si="8"/>
        <v>0</v>
      </c>
      <c r="AQ11" s="995">
        <v>0</v>
      </c>
      <c r="AR11" s="996">
        <f t="shared" si="4"/>
        <v>0</v>
      </c>
      <c r="AS11" s="994">
        <f t="shared" ref="AS11:AV11" si="9">AS12-AS9-AS10</f>
        <v>0</v>
      </c>
      <c r="AT11" s="994">
        <f t="shared" si="9"/>
        <v>0</v>
      </c>
      <c r="AU11" s="994">
        <f t="shared" si="9"/>
        <v>0</v>
      </c>
      <c r="AV11" s="994">
        <f t="shared" si="9"/>
        <v>0</v>
      </c>
      <c r="AW11" s="996">
        <f t="shared" si="5"/>
        <v>0</v>
      </c>
      <c r="AX11" s="994">
        <f t="shared" ref="AX11:BA11" si="10">AX12-AX9-AX10</f>
        <v>0</v>
      </c>
      <c r="AY11" s="994">
        <f t="shared" si="10"/>
        <v>0</v>
      </c>
      <c r="AZ11" s="994">
        <f t="shared" si="10"/>
        <v>0</v>
      </c>
      <c r="BA11" s="994">
        <f t="shared" si="10"/>
        <v>0</v>
      </c>
      <c r="BB11" s="996">
        <f t="shared" si="6"/>
        <v>0</v>
      </c>
      <c r="BC11" s="994">
        <f t="shared" ref="BC11:BF11" si="11">BC12-BC9-BC10</f>
        <v>0</v>
      </c>
      <c r="BD11" s="994">
        <f t="shared" si="11"/>
        <v>0</v>
      </c>
      <c r="BE11" s="994">
        <f t="shared" si="11"/>
        <v>0</v>
      </c>
      <c r="BF11" s="994">
        <f t="shared" si="11"/>
        <v>0</v>
      </c>
      <c r="BG11" s="996">
        <f t="shared" si="7"/>
        <v>0</v>
      </c>
      <c r="BH11" s="588"/>
      <c r="BI11" s="588"/>
      <c r="BJ11" s="588"/>
      <c r="BK11" s="588"/>
      <c r="BL11" s="1297"/>
      <c r="BM11" s="594"/>
    </row>
    <row r="12" spans="1:65" x14ac:dyDescent="0.2">
      <c r="A12" s="594"/>
      <c r="B12" s="1339" t="s">
        <v>300</v>
      </c>
      <c r="C12" s="1340"/>
      <c r="D12" s="1504"/>
      <c r="E12" s="594"/>
      <c r="F12" s="594"/>
      <c r="G12" s="594"/>
      <c r="H12" s="594"/>
      <c r="I12" s="594"/>
      <c r="J12" s="629">
        <v>0</v>
      </c>
      <c r="K12" s="629">
        <v>0</v>
      </c>
      <c r="L12" s="629">
        <v>0</v>
      </c>
      <c r="M12" s="629">
        <v>0</v>
      </c>
      <c r="N12" s="628">
        <v>0</v>
      </c>
      <c r="O12" s="629">
        <v>0</v>
      </c>
      <c r="P12" s="629">
        <v>0</v>
      </c>
      <c r="Q12" s="629">
        <v>0</v>
      </c>
      <c r="R12" s="629">
        <v>0</v>
      </c>
      <c r="S12" s="629">
        <v>0</v>
      </c>
      <c r="T12" s="629">
        <v>0</v>
      </c>
      <c r="U12" s="629">
        <v>0</v>
      </c>
      <c r="V12" s="629">
        <v>0</v>
      </c>
      <c r="W12" s="629">
        <v>0</v>
      </c>
      <c r="X12" s="629">
        <v>0</v>
      </c>
      <c r="Y12" s="629">
        <v>0</v>
      </c>
      <c r="Z12" s="629">
        <v>0</v>
      </c>
      <c r="AA12" s="629">
        <v>0</v>
      </c>
      <c r="AB12" s="629">
        <v>0</v>
      </c>
      <c r="AC12" s="629">
        <v>0</v>
      </c>
      <c r="AD12" s="629">
        <v>0</v>
      </c>
      <c r="AE12" s="629">
        <v>0</v>
      </c>
      <c r="AF12" s="629">
        <v>0</v>
      </c>
      <c r="AG12" s="629">
        <v>0</v>
      </c>
      <c r="AH12" s="629">
        <v>0</v>
      </c>
      <c r="AI12" s="629">
        <v>0</v>
      </c>
      <c r="AJ12" s="629">
        <v>0</v>
      </c>
      <c r="AK12" s="998">
        <v>25</v>
      </c>
      <c r="AL12" s="629">
        <f>AL9+AL10+AL11</f>
        <v>25</v>
      </c>
      <c r="AM12" s="667">
        <f t="shared" ref="AM12:AM13" si="12">AL12</f>
        <v>25</v>
      </c>
      <c r="AN12" s="998">
        <v>25</v>
      </c>
      <c r="AO12" s="998">
        <v>25</v>
      </c>
      <c r="AP12" s="998">
        <v>25</v>
      </c>
      <c r="AQ12" s="629">
        <f>AQ9+AQ10+AQ11</f>
        <v>27</v>
      </c>
      <c r="AR12" s="667">
        <f t="shared" ref="AR12:AR13" si="13">AQ12</f>
        <v>27</v>
      </c>
      <c r="AS12" s="998">
        <v>28</v>
      </c>
      <c r="AT12" s="998">
        <v>28</v>
      </c>
      <c r="AU12" s="998">
        <v>29</v>
      </c>
      <c r="AV12" s="998">
        <v>31</v>
      </c>
      <c r="AW12" s="667">
        <f t="shared" ref="AW12:AW13" si="14">AV12</f>
        <v>31</v>
      </c>
      <c r="AX12" s="998">
        <v>31</v>
      </c>
      <c r="AY12" s="998">
        <v>31</v>
      </c>
      <c r="AZ12" s="998">
        <v>32</v>
      </c>
      <c r="BA12" s="998">
        <v>34</v>
      </c>
      <c r="BB12" s="667">
        <f t="shared" ref="BB12:BB13" si="15">BA12</f>
        <v>34</v>
      </c>
      <c r="BC12" s="998">
        <v>35</v>
      </c>
      <c r="BD12" s="998">
        <v>37</v>
      </c>
      <c r="BE12" s="998">
        <v>37</v>
      </c>
      <c r="BF12" s="998">
        <v>40</v>
      </c>
      <c r="BG12" s="667">
        <f t="shared" ref="BG12:BG13" si="16">BF12</f>
        <v>40</v>
      </c>
      <c r="BH12" s="588"/>
      <c r="BI12" s="588"/>
      <c r="BJ12" s="588"/>
      <c r="BK12" s="588"/>
      <c r="BL12" s="1297"/>
      <c r="BM12" s="594"/>
    </row>
    <row r="13" spans="1:65" x14ac:dyDescent="0.2">
      <c r="A13" s="594"/>
      <c r="B13" s="1343" t="s">
        <v>301</v>
      </c>
      <c r="C13" s="1340"/>
      <c r="D13" s="1505"/>
      <c r="E13" s="594"/>
      <c r="F13" s="594"/>
      <c r="G13" s="594"/>
      <c r="H13" s="594"/>
      <c r="I13" s="594"/>
      <c r="J13" s="629">
        <v>0</v>
      </c>
      <c r="K13" s="629">
        <v>0</v>
      </c>
      <c r="L13" s="629">
        <v>0</v>
      </c>
      <c r="M13" s="629">
        <v>0</v>
      </c>
      <c r="N13" s="628">
        <v>0</v>
      </c>
      <c r="O13" s="629">
        <v>0</v>
      </c>
      <c r="P13" s="629">
        <v>0</v>
      </c>
      <c r="Q13" s="629">
        <v>0</v>
      </c>
      <c r="R13" s="629">
        <v>0</v>
      </c>
      <c r="S13" s="629">
        <v>0</v>
      </c>
      <c r="T13" s="629">
        <v>0</v>
      </c>
      <c r="U13" s="629">
        <v>0</v>
      </c>
      <c r="V13" s="629">
        <v>0</v>
      </c>
      <c r="W13" s="629">
        <v>0</v>
      </c>
      <c r="X13" s="629">
        <v>0</v>
      </c>
      <c r="Y13" s="629">
        <v>0</v>
      </c>
      <c r="Z13" s="629">
        <v>0</v>
      </c>
      <c r="AA13" s="629">
        <v>0</v>
      </c>
      <c r="AB13" s="629">
        <v>0</v>
      </c>
      <c r="AC13" s="629">
        <v>0</v>
      </c>
      <c r="AD13" s="629">
        <v>0</v>
      </c>
      <c r="AE13" s="629">
        <v>0</v>
      </c>
      <c r="AF13" s="629">
        <v>0</v>
      </c>
      <c r="AG13" s="629">
        <v>0</v>
      </c>
      <c r="AH13" s="629">
        <v>0</v>
      </c>
      <c r="AI13" s="629">
        <v>0</v>
      </c>
      <c r="AJ13" s="629">
        <v>0</v>
      </c>
      <c r="AK13" s="629"/>
      <c r="AL13" s="901">
        <f>AVERAGE(AL9,AL12)</f>
        <v>25</v>
      </c>
      <c r="AM13" s="999">
        <f t="shared" si="12"/>
        <v>25</v>
      </c>
      <c r="AN13" s="901">
        <f t="shared" ref="AN13:AQ13" si="17">AVERAGE(AN9,AN12)</f>
        <v>25</v>
      </c>
      <c r="AO13" s="901">
        <f t="shared" si="17"/>
        <v>25</v>
      </c>
      <c r="AP13" s="901">
        <f t="shared" si="17"/>
        <v>25</v>
      </c>
      <c r="AQ13" s="901">
        <f t="shared" si="17"/>
        <v>26</v>
      </c>
      <c r="AR13" s="999">
        <f t="shared" si="13"/>
        <v>26</v>
      </c>
      <c r="AS13" s="901">
        <f t="shared" ref="AS13:AV13" si="18">AVERAGE(AS9,AS12)</f>
        <v>27.5</v>
      </c>
      <c r="AT13" s="901">
        <f t="shared" si="18"/>
        <v>28</v>
      </c>
      <c r="AU13" s="901">
        <f t="shared" si="18"/>
        <v>28.5</v>
      </c>
      <c r="AV13" s="901">
        <f t="shared" si="18"/>
        <v>30</v>
      </c>
      <c r="AW13" s="999">
        <f t="shared" si="14"/>
        <v>30</v>
      </c>
      <c r="AX13" s="901">
        <f t="shared" ref="AX13:BA13" si="19">AVERAGE(AX9,AX12)</f>
        <v>31</v>
      </c>
      <c r="AY13" s="901">
        <f t="shared" si="19"/>
        <v>31</v>
      </c>
      <c r="AZ13" s="901">
        <f t="shared" si="19"/>
        <v>31.5</v>
      </c>
      <c r="BA13" s="901">
        <f t="shared" si="19"/>
        <v>33</v>
      </c>
      <c r="BB13" s="999">
        <f t="shared" si="15"/>
        <v>33</v>
      </c>
      <c r="BC13" s="901">
        <f t="shared" ref="BC13:BF13" si="20">AVERAGE(BC9,BC12)</f>
        <v>34.5</v>
      </c>
      <c r="BD13" s="901">
        <f t="shared" si="20"/>
        <v>36</v>
      </c>
      <c r="BE13" s="901">
        <f t="shared" si="20"/>
        <v>37</v>
      </c>
      <c r="BF13" s="901">
        <f t="shared" si="20"/>
        <v>38.5</v>
      </c>
      <c r="BG13" s="999">
        <f t="shared" si="16"/>
        <v>38.5</v>
      </c>
      <c r="BH13" s="588"/>
      <c r="BI13" s="588"/>
      <c r="BJ13" s="588"/>
      <c r="BK13" s="588"/>
      <c r="BL13" s="1297"/>
      <c r="BM13" s="594"/>
    </row>
    <row r="14" spans="1:65" x14ac:dyDescent="0.2">
      <c r="A14" s="594"/>
      <c r="B14" s="1506"/>
      <c r="C14" s="1507"/>
      <c r="D14" s="1508"/>
      <c r="E14" s="594"/>
      <c r="F14" s="594"/>
      <c r="G14" s="594"/>
      <c r="H14" s="594"/>
      <c r="I14" s="594"/>
      <c r="J14" s="1000"/>
      <c r="K14" s="1000"/>
      <c r="L14" s="1000"/>
      <c r="M14" s="1000"/>
      <c r="N14" s="1353"/>
      <c r="O14" s="1000"/>
      <c r="P14" s="1000"/>
      <c r="Q14" s="1000"/>
      <c r="R14" s="1000"/>
      <c r="S14" s="1000"/>
      <c r="T14" s="1000"/>
      <c r="U14" s="1000"/>
      <c r="V14" s="1000"/>
      <c r="W14" s="1000"/>
      <c r="X14" s="1000"/>
      <c r="Y14" s="1000"/>
      <c r="Z14" s="1000"/>
      <c r="AA14" s="1000"/>
      <c r="AB14" s="1000"/>
      <c r="AC14" s="1000"/>
      <c r="AD14" s="1000"/>
      <c r="AE14" s="1000"/>
      <c r="AF14" s="1000"/>
      <c r="AG14" s="1000"/>
      <c r="AH14" s="1000"/>
      <c r="AI14" s="1000"/>
      <c r="AJ14" s="1000"/>
      <c r="AK14" s="1000"/>
      <c r="AL14" s="1000"/>
      <c r="AM14" s="1001"/>
      <c r="AN14" s="1000"/>
      <c r="AO14" s="1000"/>
      <c r="AP14" s="1002"/>
      <c r="AQ14" s="1000"/>
      <c r="AR14" s="1001"/>
      <c r="AS14" s="1002"/>
      <c r="AT14" s="1002"/>
      <c r="AU14" s="1002"/>
      <c r="AV14" s="1000"/>
      <c r="AW14" s="1001"/>
      <c r="AX14" s="1002"/>
      <c r="AY14" s="1002"/>
      <c r="AZ14" s="1002"/>
      <c r="BA14" s="1000"/>
      <c r="BB14" s="1001"/>
      <c r="BC14" s="1002"/>
      <c r="BD14" s="1002"/>
      <c r="BE14" s="1002"/>
      <c r="BF14" s="1000"/>
      <c r="BG14" s="1001"/>
      <c r="BH14" s="588"/>
      <c r="BI14" s="588"/>
      <c r="BJ14" s="588"/>
      <c r="BK14" s="588"/>
      <c r="BL14" s="1297"/>
      <c r="BM14" s="594"/>
    </row>
    <row r="15" spans="1:65" x14ac:dyDescent="0.2">
      <c r="A15" s="594"/>
      <c r="B15" s="1317" t="s">
        <v>302</v>
      </c>
      <c r="C15" s="594"/>
      <c r="D15" s="594"/>
      <c r="E15" s="594"/>
      <c r="F15" s="594"/>
      <c r="G15" s="594"/>
      <c r="H15" s="594"/>
      <c r="I15" s="594"/>
      <c r="J15" s="998">
        <v>0</v>
      </c>
      <c r="K15" s="998">
        <v>0</v>
      </c>
      <c r="L15" s="998">
        <v>0</v>
      </c>
      <c r="M15" s="998">
        <v>0</v>
      </c>
      <c r="N15" s="1354">
        <v>0</v>
      </c>
      <c r="O15" s="998">
        <v>0</v>
      </c>
      <c r="P15" s="998">
        <v>0</v>
      </c>
      <c r="Q15" s="998">
        <v>0</v>
      </c>
      <c r="R15" s="998">
        <v>0</v>
      </c>
      <c r="S15" s="998">
        <v>0</v>
      </c>
      <c r="T15" s="998">
        <v>0</v>
      </c>
      <c r="U15" s="998">
        <v>0</v>
      </c>
      <c r="V15" s="998">
        <v>0</v>
      </c>
      <c r="W15" s="998">
        <v>0</v>
      </c>
      <c r="X15" s="998">
        <v>0</v>
      </c>
      <c r="Y15" s="998">
        <v>0</v>
      </c>
      <c r="Z15" s="998">
        <v>0</v>
      </c>
      <c r="AA15" s="998">
        <v>0</v>
      </c>
      <c r="AB15" s="998">
        <v>0</v>
      </c>
      <c r="AC15" s="998">
        <v>0</v>
      </c>
      <c r="AD15" s="998">
        <v>0</v>
      </c>
      <c r="AE15" s="998">
        <v>0</v>
      </c>
      <c r="AF15" s="998">
        <v>0</v>
      </c>
      <c r="AG15" s="998">
        <v>0</v>
      </c>
      <c r="AH15" s="998">
        <v>0</v>
      </c>
      <c r="AI15" s="998">
        <v>0</v>
      </c>
      <c r="AJ15" s="998">
        <v>0</v>
      </c>
      <c r="AK15" s="1320"/>
      <c r="AL15" s="1320">
        <f t="shared" ref="AL15" si="21">AM15-SUM(AI15,AJ15,AK15)</f>
        <v>39.335000000000001</v>
      </c>
      <c r="AM15" s="1321">
        <v>39.335000000000001</v>
      </c>
      <c r="AN15" s="1322">
        <v>35.582999999999998</v>
      </c>
      <c r="AO15" s="1322">
        <v>12.208</v>
      </c>
      <c r="AP15" s="1322">
        <v>20.273</v>
      </c>
      <c r="AQ15" s="1320">
        <f t="shared" ref="AQ15" si="22">AR15-SUM(AN15,AO15,AP15)</f>
        <v>28.792000000000002</v>
      </c>
      <c r="AR15" s="1321">
        <v>96.855999999999995</v>
      </c>
      <c r="AS15" s="1322">
        <v>36.194000000000003</v>
      </c>
      <c r="AT15" s="1322">
        <v>47.457999999999998</v>
      </c>
      <c r="AU15" s="1322">
        <v>44.326000000000001</v>
      </c>
      <c r="AV15" s="1320">
        <f t="shared" ref="AV15" si="23">AW15-SUM(AS15,AT15,AU15)</f>
        <v>54.197000000000003</v>
      </c>
      <c r="AW15" s="1321">
        <v>182.17500000000001</v>
      </c>
      <c r="AX15" s="1322">
        <v>58.832000000000001</v>
      </c>
      <c r="AY15" s="1322">
        <v>60.02</v>
      </c>
      <c r="AZ15" s="1322">
        <v>52.192999999999998</v>
      </c>
      <c r="BA15" s="1320">
        <f t="shared" ref="BA15" si="24">BB15-SUM(AX15,AY15,AZ15)</f>
        <v>66.506999999999977</v>
      </c>
      <c r="BB15" s="1321">
        <v>237.55199999999999</v>
      </c>
      <c r="BC15" s="1322">
        <v>68.64</v>
      </c>
      <c r="BD15" s="1322">
        <v>65.727999999999994</v>
      </c>
      <c r="BE15" s="1322">
        <v>58.642000000000003</v>
      </c>
      <c r="BF15" s="1320">
        <f t="shared" ref="BF15" si="25">BG15-SUM(BC15,BD15,BE15)</f>
        <v>70.913000000000011</v>
      </c>
      <c r="BG15" s="1321">
        <v>263.923</v>
      </c>
      <c r="BH15" s="588"/>
      <c r="BI15" s="588"/>
      <c r="BJ15" s="588"/>
      <c r="BK15" s="588"/>
      <c r="BL15" s="1297"/>
      <c r="BM15" s="594"/>
    </row>
    <row r="16" spans="1:65" x14ac:dyDescent="0.2">
      <c r="A16" s="594"/>
      <c r="B16" s="1317"/>
      <c r="C16" s="594"/>
      <c r="D16" s="594"/>
      <c r="E16" s="594"/>
      <c r="F16" s="594"/>
      <c r="G16" s="594"/>
      <c r="H16" s="594"/>
      <c r="I16" s="594"/>
      <c r="J16" s="998"/>
      <c r="K16" s="998"/>
      <c r="L16" s="998"/>
      <c r="M16" s="998"/>
      <c r="N16" s="1354"/>
      <c r="O16" s="998"/>
      <c r="P16" s="998"/>
      <c r="Q16" s="998"/>
      <c r="R16" s="998"/>
      <c r="S16" s="998"/>
      <c r="T16" s="998"/>
      <c r="U16" s="998"/>
      <c r="V16" s="998"/>
      <c r="W16" s="998"/>
      <c r="X16" s="998"/>
      <c r="Y16" s="998"/>
      <c r="Z16" s="998"/>
      <c r="AA16" s="998"/>
      <c r="AB16" s="998"/>
      <c r="AC16" s="998"/>
      <c r="AD16" s="998"/>
      <c r="AE16" s="998"/>
      <c r="AF16" s="998"/>
      <c r="AG16" s="998"/>
      <c r="AH16" s="998"/>
      <c r="AI16" s="998"/>
      <c r="AJ16" s="998"/>
      <c r="AK16" s="588"/>
      <c r="AL16" s="588"/>
      <c r="AM16" s="588"/>
      <c r="AN16" s="588"/>
      <c r="AO16" s="588"/>
      <c r="AP16" s="588"/>
      <c r="AQ16" s="588"/>
      <c r="AR16" s="588"/>
      <c r="AS16" s="588"/>
      <c r="AT16" s="588"/>
      <c r="AU16" s="588"/>
      <c r="AV16" s="588"/>
      <c r="AW16" s="588"/>
      <c r="AX16" s="588"/>
      <c r="AY16" s="588"/>
      <c r="AZ16" s="588"/>
      <c r="BA16" s="588"/>
      <c r="BB16" s="588"/>
      <c r="BC16" s="588"/>
      <c r="BD16" s="588"/>
      <c r="BE16" s="588"/>
      <c r="BF16" s="588"/>
      <c r="BG16" s="588"/>
      <c r="BH16" s="588"/>
      <c r="BI16" s="588"/>
      <c r="BJ16" s="588"/>
      <c r="BK16" s="588"/>
      <c r="BL16" s="1297"/>
      <c r="BM16" s="594"/>
    </row>
    <row r="17" spans="1:65" x14ac:dyDescent="0.2">
      <c r="A17" s="594"/>
      <c r="B17" s="1317" t="s">
        <v>303</v>
      </c>
      <c r="C17" s="594"/>
      <c r="D17" s="594"/>
      <c r="E17" s="594"/>
      <c r="F17" s="594"/>
      <c r="G17" s="594"/>
      <c r="H17" s="594"/>
      <c r="I17" s="594"/>
      <c r="J17" s="998">
        <v>0</v>
      </c>
      <c r="K17" s="998">
        <v>0</v>
      </c>
      <c r="L17" s="998">
        <v>0</v>
      </c>
      <c r="M17" s="998">
        <v>0</v>
      </c>
      <c r="N17" s="1354">
        <v>0</v>
      </c>
      <c r="O17" s="998">
        <v>0</v>
      </c>
      <c r="P17" s="998">
        <v>0</v>
      </c>
      <c r="Q17" s="998">
        <v>0</v>
      </c>
      <c r="R17" s="998">
        <v>0</v>
      </c>
      <c r="S17" s="998">
        <v>0</v>
      </c>
      <c r="T17" s="998">
        <v>0</v>
      </c>
      <c r="U17" s="998">
        <v>0</v>
      </c>
      <c r="V17" s="998">
        <v>0</v>
      </c>
      <c r="W17" s="998">
        <v>0</v>
      </c>
      <c r="X17" s="998">
        <v>0</v>
      </c>
      <c r="Y17" s="998">
        <v>0</v>
      </c>
      <c r="Z17" s="998">
        <v>0</v>
      </c>
      <c r="AA17" s="998">
        <v>0</v>
      </c>
      <c r="AB17" s="998">
        <v>0</v>
      </c>
      <c r="AC17" s="998">
        <v>0</v>
      </c>
      <c r="AD17" s="998">
        <v>0</v>
      </c>
      <c r="AE17" s="998">
        <v>0</v>
      </c>
      <c r="AF17" s="998">
        <v>0</v>
      </c>
      <c r="AG17" s="998">
        <v>0</v>
      </c>
      <c r="AH17" s="998">
        <v>0</v>
      </c>
      <c r="AI17" s="998">
        <v>0</v>
      </c>
      <c r="AJ17" s="998">
        <v>0</v>
      </c>
      <c r="AK17" s="588"/>
      <c r="AL17" s="588">
        <f t="shared" ref="AL17:BG17" si="26">AL15/AL13</f>
        <v>1.5734000000000001</v>
      </c>
      <c r="AM17" s="887">
        <f t="shared" si="26"/>
        <v>1.5734000000000001</v>
      </c>
      <c r="AN17" s="887">
        <f t="shared" si="26"/>
        <v>1.4233199999999999</v>
      </c>
      <c r="AO17" s="887">
        <f t="shared" si="26"/>
        <v>0.48832000000000003</v>
      </c>
      <c r="AP17" s="887">
        <f t="shared" si="26"/>
        <v>0.81091999999999997</v>
      </c>
      <c r="AQ17" s="887">
        <f t="shared" si="26"/>
        <v>1.1073846153846154</v>
      </c>
      <c r="AR17" s="887">
        <f t="shared" si="26"/>
        <v>3.7252307692307691</v>
      </c>
      <c r="AS17" s="887">
        <f t="shared" si="26"/>
        <v>1.3161454545454547</v>
      </c>
      <c r="AT17" s="887">
        <f t="shared" si="26"/>
        <v>1.6949285714285713</v>
      </c>
      <c r="AU17" s="887">
        <f t="shared" si="26"/>
        <v>1.5552982456140352</v>
      </c>
      <c r="AV17" s="887">
        <f t="shared" si="26"/>
        <v>1.8065666666666667</v>
      </c>
      <c r="AW17" s="887">
        <f t="shared" si="26"/>
        <v>6.0725000000000007</v>
      </c>
      <c r="AX17" s="887">
        <f t="shared" si="26"/>
        <v>1.8978064516129032</v>
      </c>
      <c r="AY17" s="887">
        <f t="shared" si="26"/>
        <v>1.9361290322580647</v>
      </c>
      <c r="AZ17" s="887">
        <f t="shared" si="26"/>
        <v>1.6569206349206349</v>
      </c>
      <c r="BA17" s="887">
        <f t="shared" si="26"/>
        <v>2.0153636363636358</v>
      </c>
      <c r="BB17" s="887">
        <f t="shared" si="26"/>
        <v>7.1985454545454539</v>
      </c>
      <c r="BC17" s="887">
        <f t="shared" si="26"/>
        <v>1.9895652173913043</v>
      </c>
      <c r="BD17" s="887">
        <f t="shared" si="26"/>
        <v>1.8257777777777777</v>
      </c>
      <c r="BE17" s="887">
        <f t="shared" si="26"/>
        <v>1.584918918918919</v>
      </c>
      <c r="BF17" s="887">
        <f t="shared" si="26"/>
        <v>1.8418961038961041</v>
      </c>
      <c r="BG17" s="887">
        <f t="shared" si="26"/>
        <v>6.855142857142857</v>
      </c>
      <c r="BH17" s="588"/>
      <c r="BI17" s="588"/>
      <c r="BJ17" s="588"/>
      <c r="BK17" s="588"/>
      <c r="BL17" s="1297"/>
      <c r="BM17" s="594"/>
    </row>
    <row r="18" spans="1:65" x14ac:dyDescent="0.2">
      <c r="A18" s="594"/>
      <c r="B18" s="1317"/>
      <c r="C18" s="594"/>
      <c r="D18" s="594"/>
      <c r="E18" s="594"/>
      <c r="F18" s="594"/>
      <c r="G18" s="594"/>
      <c r="H18" s="594"/>
      <c r="I18" s="594"/>
      <c r="J18" s="588"/>
      <c r="K18" s="588"/>
      <c r="L18" s="588"/>
      <c r="M18" s="588"/>
      <c r="N18" s="1319"/>
      <c r="O18" s="588"/>
      <c r="P18" s="588"/>
      <c r="Q18" s="588"/>
      <c r="R18" s="588"/>
      <c r="S18" s="588"/>
      <c r="T18" s="588"/>
      <c r="U18" s="588"/>
      <c r="V18" s="588"/>
      <c r="W18" s="588"/>
      <c r="X18" s="588"/>
      <c r="Y18" s="588"/>
      <c r="Z18" s="588"/>
      <c r="AA18" s="588"/>
      <c r="AB18" s="588"/>
      <c r="AC18" s="588"/>
      <c r="AD18" s="588"/>
      <c r="AE18" s="588"/>
      <c r="AF18" s="588"/>
      <c r="AG18" s="588"/>
      <c r="AH18" s="588"/>
      <c r="AI18" s="588"/>
      <c r="AJ18" s="588"/>
      <c r="AK18" s="588"/>
      <c r="AL18" s="588"/>
      <c r="AM18" s="588"/>
      <c r="AN18" s="588"/>
      <c r="AO18" s="588"/>
      <c r="AP18" s="588"/>
      <c r="AQ18" s="588"/>
      <c r="AR18" s="588"/>
      <c r="AS18" s="588"/>
      <c r="AT18" s="588"/>
      <c r="AU18" s="588"/>
      <c r="AV18" s="588"/>
      <c r="AW18" s="588"/>
      <c r="AX18" s="588"/>
      <c r="AY18" s="588"/>
      <c r="AZ18" s="588"/>
      <c r="BA18" s="588"/>
      <c r="BB18" s="588"/>
      <c r="BC18" s="588"/>
      <c r="BD18" s="588"/>
      <c r="BE18" s="588"/>
      <c r="BF18" s="588"/>
      <c r="BG18" s="588"/>
      <c r="BH18" s="588"/>
      <c r="BI18" s="588"/>
      <c r="BJ18" s="588"/>
      <c r="BK18" s="588"/>
      <c r="BL18" s="1297"/>
      <c r="BM18" s="594"/>
    </row>
    <row r="19" spans="1:65" x14ac:dyDescent="0.2">
      <c r="A19" s="594"/>
      <c r="B19" s="1338" t="s">
        <v>304</v>
      </c>
      <c r="C19" s="594"/>
      <c r="D19" s="594"/>
      <c r="E19" s="594"/>
      <c r="F19" s="594"/>
      <c r="G19" s="594"/>
      <c r="H19" s="594"/>
      <c r="I19" s="594"/>
      <c r="J19" s="588"/>
      <c r="K19" s="588"/>
      <c r="L19" s="588"/>
      <c r="M19" s="588"/>
      <c r="N19" s="1319"/>
      <c r="O19" s="588"/>
      <c r="P19" s="588"/>
      <c r="Q19" s="588"/>
      <c r="R19" s="588"/>
      <c r="S19" s="588"/>
      <c r="T19" s="588"/>
      <c r="U19" s="588"/>
      <c r="V19" s="588"/>
      <c r="W19" s="588"/>
      <c r="X19" s="588"/>
      <c r="Y19" s="588"/>
      <c r="Z19" s="588"/>
      <c r="AA19" s="588"/>
      <c r="AB19" s="588"/>
      <c r="AC19" s="588"/>
      <c r="AD19" s="588"/>
      <c r="AE19" s="588"/>
      <c r="AF19" s="588"/>
      <c r="AG19" s="588"/>
      <c r="AH19" s="588"/>
      <c r="AI19" s="588"/>
      <c r="AJ19" s="588"/>
      <c r="AK19" s="588"/>
      <c r="AL19" s="588"/>
      <c r="AM19" s="588"/>
      <c r="AN19" s="588"/>
      <c r="AO19" s="588"/>
      <c r="AP19" s="588"/>
      <c r="AQ19" s="588"/>
      <c r="AR19" s="588"/>
      <c r="AS19" s="588"/>
      <c r="AT19" s="588"/>
      <c r="AU19" s="588"/>
      <c r="AV19" s="588"/>
      <c r="AW19" s="588"/>
      <c r="AX19" s="588"/>
      <c r="AY19" s="588"/>
      <c r="AZ19" s="588"/>
      <c r="BA19" s="588"/>
      <c r="BB19" s="588"/>
      <c r="BC19" s="588"/>
      <c r="BD19" s="588"/>
      <c r="BE19" s="588"/>
      <c r="BF19" s="588"/>
      <c r="BG19" s="588"/>
      <c r="BH19" s="588"/>
      <c r="BI19" s="588"/>
      <c r="BJ19" s="588"/>
      <c r="BK19" s="588"/>
      <c r="BL19" s="1297"/>
      <c r="BM19" s="594"/>
    </row>
    <row r="20" spans="1:65" x14ac:dyDescent="0.2">
      <c r="A20" s="594"/>
      <c r="B20" s="1317"/>
      <c r="C20" s="594"/>
      <c r="D20" s="594"/>
      <c r="E20" s="594"/>
      <c r="F20" s="594"/>
      <c r="G20" s="594"/>
      <c r="H20" s="594"/>
      <c r="I20" s="594"/>
      <c r="J20" s="588"/>
      <c r="K20" s="588"/>
      <c r="L20" s="588"/>
      <c r="M20" s="588"/>
      <c r="N20" s="1319"/>
      <c r="O20" s="588"/>
      <c r="P20" s="588"/>
      <c r="Q20" s="588"/>
      <c r="R20" s="588"/>
      <c r="S20" s="588"/>
      <c r="T20" s="588"/>
      <c r="U20" s="588"/>
      <c r="V20" s="588"/>
      <c r="W20" s="588"/>
      <c r="X20" s="588"/>
      <c r="Y20" s="588"/>
      <c r="Z20" s="588"/>
      <c r="AA20" s="588"/>
      <c r="AB20" s="588"/>
      <c r="AC20" s="588"/>
      <c r="AD20" s="588"/>
      <c r="AE20" s="588"/>
      <c r="AF20" s="588"/>
      <c r="AG20" s="588"/>
      <c r="AH20" s="588"/>
      <c r="AI20" s="588"/>
      <c r="AJ20" s="588"/>
      <c r="AK20" s="588"/>
      <c r="AL20" s="588"/>
      <c r="AM20" s="588"/>
      <c r="AN20" s="588"/>
      <c r="AO20" s="588"/>
      <c r="AP20" s="588"/>
      <c r="AQ20" s="588"/>
      <c r="AR20" s="588"/>
      <c r="AS20" s="588"/>
      <c r="AT20" s="588"/>
      <c r="AU20" s="588"/>
      <c r="AV20" s="588"/>
      <c r="AW20" s="588"/>
      <c r="AX20" s="588"/>
      <c r="AY20" s="588"/>
      <c r="AZ20" s="588"/>
      <c r="BA20" s="588"/>
      <c r="BB20" s="588"/>
      <c r="BC20" s="588"/>
      <c r="BD20" s="588"/>
      <c r="BE20" s="588"/>
      <c r="BF20" s="588"/>
      <c r="BG20" s="588"/>
      <c r="BH20" s="588"/>
      <c r="BI20" s="588"/>
      <c r="BJ20" s="588"/>
      <c r="BK20" s="588"/>
      <c r="BL20" s="1297"/>
      <c r="BM20" s="594"/>
    </row>
    <row r="21" spans="1:65" x14ac:dyDescent="0.2">
      <c r="A21" s="594"/>
      <c r="B21" s="1343" t="s">
        <v>305</v>
      </c>
      <c r="C21" s="1340"/>
      <c r="D21" s="594"/>
      <c r="E21" s="594"/>
      <c r="F21" s="594"/>
      <c r="G21" s="594"/>
      <c r="H21" s="594"/>
      <c r="I21" s="594"/>
      <c r="J21" s="901">
        <f>I24</f>
        <v>0</v>
      </c>
      <c r="K21" s="901">
        <f t="shared" ref="K21:M21" si="27">J24</f>
        <v>0</v>
      </c>
      <c r="L21" s="901">
        <f t="shared" si="27"/>
        <v>0</v>
      </c>
      <c r="M21" s="901">
        <f t="shared" si="27"/>
        <v>0</v>
      </c>
      <c r="N21" s="1355">
        <f>I24</f>
        <v>0</v>
      </c>
      <c r="O21" s="901">
        <f t="shared" ref="O21:R21" si="28">N24</f>
        <v>0</v>
      </c>
      <c r="P21" s="901">
        <f t="shared" si="28"/>
        <v>0</v>
      </c>
      <c r="Q21" s="901">
        <f t="shared" si="28"/>
        <v>1</v>
      </c>
      <c r="R21" s="901">
        <f t="shared" si="28"/>
        <v>1</v>
      </c>
      <c r="S21" s="999">
        <f>N24</f>
        <v>0</v>
      </c>
      <c r="T21" s="901">
        <f t="shared" ref="T21:W21" si="29">S24</f>
        <v>1</v>
      </c>
      <c r="U21" s="901">
        <f t="shared" si="29"/>
        <v>1</v>
      </c>
      <c r="V21" s="901">
        <f t="shared" si="29"/>
        <v>1</v>
      </c>
      <c r="W21" s="901">
        <f t="shared" si="29"/>
        <v>1</v>
      </c>
      <c r="X21" s="667">
        <f>S24</f>
        <v>1</v>
      </c>
      <c r="Y21" s="901">
        <f t="shared" ref="Y21:AB21" si="30">X24</f>
        <v>13</v>
      </c>
      <c r="Z21" s="901">
        <f t="shared" si="30"/>
        <v>13</v>
      </c>
      <c r="AA21" s="901">
        <f t="shared" si="30"/>
        <v>13</v>
      </c>
      <c r="AB21" s="901">
        <f t="shared" si="30"/>
        <v>13</v>
      </c>
      <c r="AC21" s="667">
        <f>X24</f>
        <v>13</v>
      </c>
      <c r="AD21" s="901">
        <f t="shared" ref="AD21:AG21" si="31">AC24</f>
        <v>13</v>
      </c>
      <c r="AE21" s="901">
        <f t="shared" si="31"/>
        <v>13</v>
      </c>
      <c r="AF21" s="901">
        <f t="shared" si="31"/>
        <v>13</v>
      </c>
      <c r="AG21" s="901">
        <f t="shared" si="31"/>
        <v>14</v>
      </c>
      <c r="AH21" s="667">
        <f>AC24</f>
        <v>13</v>
      </c>
      <c r="AI21" s="901">
        <f t="shared" ref="AI21:AJ21" si="32">AH24</f>
        <v>14</v>
      </c>
      <c r="AJ21" s="901">
        <f t="shared" si="32"/>
        <v>14</v>
      </c>
      <c r="AK21" s="998">
        <v>14</v>
      </c>
      <c r="AL21" s="901">
        <f>AK24</f>
        <v>14</v>
      </c>
      <c r="AM21" s="667">
        <f>AH24</f>
        <v>14</v>
      </c>
      <c r="AN21" s="901">
        <f>AM24</f>
        <v>13</v>
      </c>
      <c r="AO21" s="629"/>
      <c r="AP21" s="629"/>
      <c r="AQ21" s="629"/>
      <c r="AR21" s="667"/>
      <c r="AS21" s="629"/>
      <c r="AT21" s="629"/>
      <c r="AU21" s="629"/>
      <c r="AV21" s="629"/>
      <c r="AW21" s="667"/>
      <c r="AX21" s="629"/>
      <c r="AY21" s="629"/>
      <c r="AZ21" s="629"/>
      <c r="BA21" s="629"/>
      <c r="BB21" s="667"/>
      <c r="BC21" s="629"/>
      <c r="BD21" s="629"/>
      <c r="BE21" s="629"/>
      <c r="BF21" s="629"/>
      <c r="BG21" s="667"/>
      <c r="BH21" s="588"/>
      <c r="BI21" s="588"/>
      <c r="BJ21" s="588"/>
      <c r="BK21" s="588"/>
      <c r="BL21" s="1297"/>
      <c r="BM21" s="594"/>
    </row>
    <row r="22" spans="1:65" x14ac:dyDescent="0.2">
      <c r="A22" s="594"/>
      <c r="B22" s="1344" t="s">
        <v>306</v>
      </c>
      <c r="C22" s="1342"/>
      <c r="D22" s="594"/>
      <c r="E22" s="594"/>
      <c r="F22" s="594"/>
      <c r="G22" s="594"/>
      <c r="H22" s="594"/>
      <c r="I22" s="594"/>
      <c r="J22" s="995">
        <v>0</v>
      </c>
      <c r="K22" s="995">
        <v>0</v>
      </c>
      <c r="L22" s="995">
        <v>0</v>
      </c>
      <c r="M22" s="995">
        <v>0</v>
      </c>
      <c r="N22" s="1356">
        <f>SUM(J22,K22,L22,M22)</f>
        <v>0</v>
      </c>
      <c r="O22" s="995">
        <v>0</v>
      </c>
      <c r="P22" s="995">
        <v>1</v>
      </c>
      <c r="Q22" s="995">
        <v>0</v>
      </c>
      <c r="R22" s="995">
        <v>0</v>
      </c>
      <c r="S22" s="1323">
        <f t="shared" ref="S22:S23" si="33">SUM(O22,P22,Q22,R22)</f>
        <v>1</v>
      </c>
      <c r="T22" s="995">
        <v>0</v>
      </c>
      <c r="U22" s="995">
        <v>0</v>
      </c>
      <c r="V22" s="995">
        <v>0</v>
      </c>
      <c r="W22" s="995">
        <v>1</v>
      </c>
      <c r="X22" s="1323">
        <f t="shared" ref="X22:X23" si="34">SUM(T22,U22,V22,W22)</f>
        <v>1</v>
      </c>
      <c r="Y22" s="995">
        <v>0</v>
      </c>
      <c r="Z22" s="995">
        <v>0</v>
      </c>
      <c r="AA22" s="995">
        <v>0</v>
      </c>
      <c r="AB22" s="995">
        <v>0</v>
      </c>
      <c r="AC22" s="1323">
        <f t="shared" ref="AC22:AC23" si="35">SUM(Y22,Z22,AA22,AB22)</f>
        <v>0</v>
      </c>
      <c r="AD22" s="995">
        <v>0</v>
      </c>
      <c r="AE22" s="995">
        <v>0</v>
      </c>
      <c r="AF22" s="995">
        <v>1</v>
      </c>
      <c r="AG22" s="995">
        <v>0</v>
      </c>
      <c r="AH22" s="1323">
        <f t="shared" ref="AH22:AH23" si="36">SUM(AD22,AE22,AF22,AG22)</f>
        <v>1</v>
      </c>
      <c r="AI22" s="995">
        <v>0</v>
      </c>
      <c r="AJ22" s="995">
        <v>0</v>
      </c>
      <c r="AK22" s="995">
        <v>0</v>
      </c>
      <c r="AL22" s="995">
        <v>0</v>
      </c>
      <c r="AM22" s="1323">
        <f t="shared" ref="AM22:AM23" si="37">SUM(AI22,AJ22,AK22,AL22)</f>
        <v>0</v>
      </c>
      <c r="AN22" s="995">
        <v>0</v>
      </c>
      <c r="AO22" s="994"/>
      <c r="AP22" s="994"/>
      <c r="AQ22" s="994"/>
      <c r="AR22" s="996"/>
      <c r="AS22" s="994"/>
      <c r="AT22" s="994"/>
      <c r="AU22" s="994"/>
      <c r="AV22" s="994"/>
      <c r="AW22" s="996"/>
      <c r="AX22" s="994"/>
      <c r="AY22" s="994"/>
      <c r="AZ22" s="994"/>
      <c r="BA22" s="994"/>
      <c r="BB22" s="996"/>
      <c r="BC22" s="994"/>
      <c r="BD22" s="994"/>
      <c r="BE22" s="994"/>
      <c r="BF22" s="994"/>
      <c r="BG22" s="996"/>
      <c r="BH22" s="588"/>
      <c r="BI22" s="588"/>
      <c r="BJ22" s="588"/>
      <c r="BK22" s="588"/>
      <c r="BL22" s="1297"/>
      <c r="BM22" s="594"/>
    </row>
    <row r="23" spans="1:65" x14ac:dyDescent="0.2">
      <c r="A23" s="594"/>
      <c r="B23" s="1344" t="s">
        <v>307</v>
      </c>
      <c r="C23" s="1342"/>
      <c r="D23" s="594"/>
      <c r="E23" s="594"/>
      <c r="F23" s="594"/>
      <c r="G23" s="594"/>
      <c r="H23" s="594"/>
      <c r="I23" s="594"/>
      <c r="J23" s="995">
        <v>0</v>
      </c>
      <c r="K23" s="995">
        <v>0</v>
      </c>
      <c r="L23" s="995">
        <v>0</v>
      </c>
      <c r="M23" s="995">
        <v>0</v>
      </c>
      <c r="N23" s="1356">
        <f>SUM(J23,K23,L23,M23)</f>
        <v>0</v>
      </c>
      <c r="O23" s="995">
        <v>0</v>
      </c>
      <c r="P23" s="995">
        <v>0</v>
      </c>
      <c r="Q23" s="995">
        <v>0</v>
      </c>
      <c r="R23" s="995">
        <v>0</v>
      </c>
      <c r="S23" s="1323">
        <f t="shared" si="33"/>
        <v>0</v>
      </c>
      <c r="T23" s="995">
        <v>0</v>
      </c>
      <c r="U23" s="995">
        <v>0</v>
      </c>
      <c r="V23" s="995">
        <v>0</v>
      </c>
      <c r="W23" s="995">
        <v>0</v>
      </c>
      <c r="X23" s="1323">
        <f t="shared" si="34"/>
        <v>0</v>
      </c>
      <c r="Y23" s="995">
        <v>0</v>
      </c>
      <c r="Z23" s="995">
        <v>0</v>
      </c>
      <c r="AA23" s="995">
        <v>0</v>
      </c>
      <c r="AB23" s="995">
        <v>0</v>
      </c>
      <c r="AC23" s="1323">
        <f t="shared" si="35"/>
        <v>0</v>
      </c>
      <c r="AD23" s="995">
        <v>0</v>
      </c>
      <c r="AE23" s="995">
        <v>0</v>
      </c>
      <c r="AF23" s="995">
        <v>0</v>
      </c>
      <c r="AG23" s="1040">
        <f>-(AG22-(AG24-AG21))</f>
        <v>0</v>
      </c>
      <c r="AH23" s="1323">
        <f t="shared" si="36"/>
        <v>0</v>
      </c>
      <c r="AI23" s="1040">
        <f t="shared" ref="AI23:AJ23" si="38">-(AI22-(AI24-AI21))</f>
        <v>0</v>
      </c>
      <c r="AJ23" s="1040">
        <f t="shared" si="38"/>
        <v>0</v>
      </c>
      <c r="AK23" s="995">
        <v>0</v>
      </c>
      <c r="AL23" s="1040">
        <f>-(AL22-(AL24-AL21))</f>
        <v>-1</v>
      </c>
      <c r="AM23" s="1323">
        <f t="shared" si="37"/>
        <v>-1</v>
      </c>
      <c r="AN23" s="1040">
        <f>-(AN22-(AN24-AN21))</f>
        <v>0</v>
      </c>
      <c r="AO23" s="994"/>
      <c r="AP23" s="994"/>
      <c r="AQ23" s="994"/>
      <c r="AR23" s="996"/>
      <c r="AS23" s="994"/>
      <c r="AT23" s="994"/>
      <c r="AU23" s="994"/>
      <c r="AV23" s="994"/>
      <c r="AW23" s="996"/>
      <c r="AX23" s="994"/>
      <c r="AY23" s="994"/>
      <c r="AZ23" s="994"/>
      <c r="BA23" s="994"/>
      <c r="BB23" s="996"/>
      <c r="BC23" s="994"/>
      <c r="BD23" s="994"/>
      <c r="BE23" s="994"/>
      <c r="BF23" s="994"/>
      <c r="BG23" s="996"/>
      <c r="BH23" s="588"/>
      <c r="BI23" s="588"/>
      <c r="BJ23" s="588"/>
      <c r="BK23" s="588"/>
      <c r="BL23" s="1297"/>
      <c r="BM23" s="594"/>
    </row>
    <row r="24" spans="1:65" x14ac:dyDescent="0.2">
      <c r="A24" s="594"/>
      <c r="B24" s="1343" t="s">
        <v>308</v>
      </c>
      <c r="C24" s="1340"/>
      <c r="D24" s="594"/>
      <c r="E24" s="594"/>
      <c r="F24" s="594"/>
      <c r="G24" s="594"/>
      <c r="H24" s="594"/>
      <c r="I24" s="594"/>
      <c r="J24" s="901">
        <f t="shared" ref="J24:W24" si="39">SUM(J21:J23)</f>
        <v>0</v>
      </c>
      <c r="K24" s="901">
        <f t="shared" si="39"/>
        <v>0</v>
      </c>
      <c r="L24" s="901">
        <f t="shared" si="39"/>
        <v>0</v>
      </c>
      <c r="M24" s="901">
        <f t="shared" si="39"/>
        <v>0</v>
      </c>
      <c r="N24" s="1355">
        <f t="shared" si="39"/>
        <v>0</v>
      </c>
      <c r="O24" s="901">
        <f t="shared" si="39"/>
        <v>0</v>
      </c>
      <c r="P24" s="901">
        <f t="shared" si="39"/>
        <v>1</v>
      </c>
      <c r="Q24" s="901">
        <f t="shared" si="39"/>
        <v>1</v>
      </c>
      <c r="R24" s="901">
        <f t="shared" si="39"/>
        <v>1</v>
      </c>
      <c r="S24" s="999">
        <f t="shared" si="39"/>
        <v>1</v>
      </c>
      <c r="T24" s="901">
        <f t="shared" si="39"/>
        <v>1</v>
      </c>
      <c r="U24" s="901">
        <f t="shared" si="39"/>
        <v>1</v>
      </c>
      <c r="V24" s="901">
        <f t="shared" si="39"/>
        <v>1</v>
      </c>
      <c r="W24" s="629">
        <f t="shared" si="39"/>
        <v>2</v>
      </c>
      <c r="X24" s="1003">
        <v>13</v>
      </c>
      <c r="Y24" s="901">
        <f t="shared" ref="Y24:AF24" si="40">SUM(Y21:Y23)</f>
        <v>13</v>
      </c>
      <c r="Z24" s="901">
        <f t="shared" si="40"/>
        <v>13</v>
      </c>
      <c r="AA24" s="901">
        <f t="shared" si="40"/>
        <v>13</v>
      </c>
      <c r="AB24" s="629">
        <f t="shared" si="40"/>
        <v>13</v>
      </c>
      <c r="AC24" s="667">
        <f t="shared" si="40"/>
        <v>13</v>
      </c>
      <c r="AD24" s="901">
        <f t="shared" si="40"/>
        <v>13</v>
      </c>
      <c r="AE24" s="901">
        <f t="shared" si="40"/>
        <v>13</v>
      </c>
      <c r="AF24" s="901">
        <f t="shared" si="40"/>
        <v>14</v>
      </c>
      <c r="AG24" s="998">
        <v>14</v>
      </c>
      <c r="AH24" s="667">
        <f>SUM(AH21:AH23)</f>
        <v>14</v>
      </c>
      <c r="AI24" s="998">
        <v>14</v>
      </c>
      <c r="AJ24" s="998">
        <v>14</v>
      </c>
      <c r="AK24" s="998">
        <v>14</v>
      </c>
      <c r="AL24" s="998">
        <v>13</v>
      </c>
      <c r="AM24" s="667">
        <f>SUM(AM21:AM23)</f>
        <v>13</v>
      </c>
      <c r="AN24" s="998">
        <v>13</v>
      </c>
      <c r="AO24" s="629"/>
      <c r="AP24" s="629"/>
      <c r="AQ24" s="629"/>
      <c r="AR24" s="667"/>
      <c r="AS24" s="629"/>
      <c r="AT24" s="629"/>
      <c r="AU24" s="629"/>
      <c r="AV24" s="629"/>
      <c r="AW24" s="667"/>
      <c r="AX24" s="629"/>
      <c r="AY24" s="629"/>
      <c r="AZ24" s="629"/>
      <c r="BA24" s="629"/>
      <c r="BB24" s="667"/>
      <c r="BC24" s="629"/>
      <c r="BD24" s="629"/>
      <c r="BE24" s="629"/>
      <c r="BF24" s="629"/>
      <c r="BG24" s="667"/>
      <c r="BH24" s="588"/>
      <c r="BI24" s="588"/>
      <c r="BJ24" s="588"/>
      <c r="BK24" s="588"/>
      <c r="BL24" s="1297"/>
      <c r="BM24" s="594"/>
    </row>
    <row r="25" spans="1:65" x14ac:dyDescent="0.2">
      <c r="A25" s="594"/>
      <c r="B25" s="1339"/>
      <c r="C25" s="1340"/>
      <c r="D25" s="594"/>
      <c r="E25" s="594"/>
      <c r="F25" s="594"/>
      <c r="G25" s="594"/>
      <c r="H25" s="594"/>
      <c r="I25" s="594"/>
      <c r="J25" s="629"/>
      <c r="K25" s="629"/>
      <c r="L25" s="629"/>
      <c r="M25" s="629"/>
      <c r="N25" s="1357"/>
      <c r="O25" s="629"/>
      <c r="P25" s="629"/>
      <c r="Q25" s="629"/>
      <c r="R25" s="629"/>
      <c r="S25" s="667"/>
      <c r="T25" s="629"/>
      <c r="U25" s="629"/>
      <c r="V25" s="629"/>
      <c r="W25" s="629"/>
      <c r="X25" s="667"/>
      <c r="Y25" s="629"/>
      <c r="Z25" s="629"/>
      <c r="AA25" s="629"/>
      <c r="AB25" s="629"/>
      <c r="AC25" s="667"/>
      <c r="AD25" s="629"/>
      <c r="AE25" s="629"/>
      <c r="AF25" s="629"/>
      <c r="AG25" s="629"/>
      <c r="AH25" s="667"/>
      <c r="AI25" s="629"/>
      <c r="AJ25" s="629"/>
      <c r="AK25" s="629"/>
      <c r="AL25" s="629"/>
      <c r="AM25" s="667"/>
      <c r="AN25" s="629"/>
      <c r="AO25" s="629"/>
      <c r="AP25" s="629"/>
      <c r="AQ25" s="629"/>
      <c r="AR25" s="667"/>
      <c r="AS25" s="629"/>
      <c r="AT25" s="629"/>
      <c r="AU25" s="629"/>
      <c r="AV25" s="629"/>
      <c r="AW25" s="667"/>
      <c r="AX25" s="629"/>
      <c r="AY25" s="629"/>
      <c r="AZ25" s="629"/>
      <c r="BA25" s="629"/>
      <c r="BB25" s="667"/>
      <c r="BC25" s="629"/>
      <c r="BD25" s="629"/>
      <c r="BE25" s="629"/>
      <c r="BF25" s="629"/>
      <c r="BG25" s="667"/>
      <c r="BH25" s="588"/>
      <c r="BI25" s="588"/>
      <c r="BJ25" s="588"/>
      <c r="BK25" s="588"/>
      <c r="BL25" s="1297"/>
      <c r="BM25" s="594"/>
    </row>
    <row r="26" spans="1:65" x14ac:dyDescent="0.2">
      <c r="A26" s="594"/>
      <c r="B26" s="1343" t="s">
        <v>309</v>
      </c>
      <c r="C26" s="1340"/>
      <c r="D26" s="594"/>
      <c r="E26" s="594"/>
      <c r="F26" s="594"/>
      <c r="G26" s="594"/>
      <c r="H26" s="594"/>
      <c r="I26" s="594"/>
      <c r="J26" s="901">
        <f>I29</f>
        <v>0</v>
      </c>
      <c r="K26" s="901">
        <f t="shared" ref="K26:M26" si="41">J29</f>
        <v>0</v>
      </c>
      <c r="L26" s="901">
        <f t="shared" si="41"/>
        <v>0</v>
      </c>
      <c r="M26" s="901">
        <f t="shared" si="41"/>
        <v>0</v>
      </c>
      <c r="N26" s="1357">
        <f>I29</f>
        <v>0</v>
      </c>
      <c r="O26" s="901">
        <f t="shared" ref="O26:R26" si="42">N29</f>
        <v>0</v>
      </c>
      <c r="P26" s="901">
        <f t="shared" si="42"/>
        <v>0</v>
      </c>
      <c r="Q26" s="901">
        <f t="shared" si="42"/>
        <v>0</v>
      </c>
      <c r="R26" s="901">
        <f t="shared" si="42"/>
        <v>0</v>
      </c>
      <c r="S26" s="667">
        <f>N29</f>
        <v>0</v>
      </c>
      <c r="T26" s="901">
        <f t="shared" ref="T26:W26" si="43">S29</f>
        <v>0</v>
      </c>
      <c r="U26" s="901">
        <f t="shared" si="43"/>
        <v>0</v>
      </c>
      <c r="V26" s="901">
        <f t="shared" si="43"/>
        <v>0</v>
      </c>
      <c r="W26" s="901">
        <f t="shared" si="43"/>
        <v>0</v>
      </c>
      <c r="X26" s="667">
        <f>S29</f>
        <v>0</v>
      </c>
      <c r="Y26" s="901">
        <f t="shared" ref="Y26:AB26" si="44">X29</f>
        <v>0</v>
      </c>
      <c r="Z26" s="901">
        <f t="shared" si="44"/>
        <v>0</v>
      </c>
      <c r="AA26" s="901">
        <f t="shared" si="44"/>
        <v>0</v>
      </c>
      <c r="AB26" s="901">
        <f t="shared" si="44"/>
        <v>0</v>
      </c>
      <c r="AC26" s="667">
        <f>X29</f>
        <v>0</v>
      </c>
      <c r="AD26" s="901">
        <f t="shared" ref="AD26:AG26" si="45">AC29</f>
        <v>1</v>
      </c>
      <c r="AE26" s="901">
        <f t="shared" si="45"/>
        <v>1</v>
      </c>
      <c r="AF26" s="901">
        <f t="shared" si="45"/>
        <v>1</v>
      </c>
      <c r="AG26" s="901">
        <f t="shared" si="45"/>
        <v>1</v>
      </c>
      <c r="AH26" s="667">
        <f>AC29</f>
        <v>1</v>
      </c>
      <c r="AI26" s="901">
        <f t="shared" ref="AI26:AL26" si="46">AH29</f>
        <v>2</v>
      </c>
      <c r="AJ26" s="901">
        <f t="shared" si="46"/>
        <v>2</v>
      </c>
      <c r="AK26" s="901">
        <f t="shared" si="46"/>
        <v>2</v>
      </c>
      <c r="AL26" s="901">
        <f t="shared" si="46"/>
        <v>2</v>
      </c>
      <c r="AM26" s="667">
        <f>AH29</f>
        <v>2</v>
      </c>
      <c r="AN26" s="901">
        <f>AM29</f>
        <v>1</v>
      </c>
      <c r="AO26" s="629"/>
      <c r="AP26" s="629"/>
      <c r="AQ26" s="629"/>
      <c r="AR26" s="667"/>
      <c r="AS26" s="629"/>
      <c r="AT26" s="629"/>
      <c r="AU26" s="629"/>
      <c r="AV26" s="629"/>
      <c r="AW26" s="667"/>
      <c r="AX26" s="629"/>
      <c r="AY26" s="629"/>
      <c r="AZ26" s="629"/>
      <c r="BA26" s="629"/>
      <c r="BB26" s="667"/>
      <c r="BC26" s="629"/>
      <c r="BD26" s="629"/>
      <c r="BE26" s="629"/>
      <c r="BF26" s="629"/>
      <c r="BG26" s="667"/>
      <c r="BH26" s="588"/>
      <c r="BI26" s="588"/>
      <c r="BJ26" s="588"/>
      <c r="BK26" s="588"/>
      <c r="BL26" s="1297"/>
      <c r="BM26" s="594"/>
    </row>
    <row r="27" spans="1:65" x14ac:dyDescent="0.2">
      <c r="A27" s="594"/>
      <c r="B27" s="1344" t="s">
        <v>310</v>
      </c>
      <c r="C27" s="1342"/>
      <c r="D27" s="594"/>
      <c r="E27" s="594"/>
      <c r="F27" s="594"/>
      <c r="G27" s="594"/>
      <c r="H27" s="594"/>
      <c r="I27" s="594"/>
      <c r="J27" s="995">
        <v>0</v>
      </c>
      <c r="K27" s="995">
        <v>0</v>
      </c>
      <c r="L27" s="995">
        <v>0</v>
      </c>
      <c r="M27" s="995">
        <v>0</v>
      </c>
      <c r="N27" s="1356">
        <f>SUM(J27,K27,L27,M27)</f>
        <v>0</v>
      </c>
      <c r="O27" s="995">
        <v>0</v>
      </c>
      <c r="P27" s="995">
        <v>0</v>
      </c>
      <c r="Q27" s="995">
        <v>0</v>
      </c>
      <c r="R27" s="995">
        <v>0</v>
      </c>
      <c r="S27" s="1323">
        <f t="shared" ref="S27:S28" si="47">SUM(O27,P27,Q27,R27)</f>
        <v>0</v>
      </c>
      <c r="T27" s="995">
        <v>0</v>
      </c>
      <c r="U27" s="995">
        <v>0</v>
      </c>
      <c r="V27" s="995">
        <v>0</v>
      </c>
      <c r="W27" s="995">
        <v>0</v>
      </c>
      <c r="X27" s="1323">
        <f t="shared" ref="X27:X28" si="48">SUM(T27,U27,V27,W27)</f>
        <v>0</v>
      </c>
      <c r="Y27" s="995">
        <v>0</v>
      </c>
      <c r="Z27" s="995">
        <v>0</v>
      </c>
      <c r="AA27" s="995">
        <v>0</v>
      </c>
      <c r="AB27" s="995">
        <v>1</v>
      </c>
      <c r="AC27" s="1323">
        <f t="shared" ref="AC27:AC28" si="49">SUM(Y27,Z27,AA27,AB27)</f>
        <v>1</v>
      </c>
      <c r="AD27" s="995">
        <v>0</v>
      </c>
      <c r="AE27" s="995">
        <v>0</v>
      </c>
      <c r="AF27" s="995">
        <v>0</v>
      </c>
      <c r="AG27" s="995">
        <v>0</v>
      </c>
      <c r="AH27" s="1323">
        <f t="shared" ref="AH27:AH28" si="50">SUM(AD27,AE27,AF27,AG27)</f>
        <v>0</v>
      </c>
      <c r="AI27" s="995">
        <v>0</v>
      </c>
      <c r="AJ27" s="995">
        <v>0</v>
      </c>
      <c r="AK27" s="995">
        <v>0</v>
      </c>
      <c r="AL27" s="994"/>
      <c r="AM27" s="1323">
        <f t="shared" ref="AM27:AM28" si="51">SUM(AI27,AJ27,AK27,AL27)</f>
        <v>0</v>
      </c>
      <c r="AN27" s="995">
        <v>0</v>
      </c>
      <c r="AO27" s="994"/>
      <c r="AP27" s="994"/>
      <c r="AQ27" s="994"/>
      <c r="AR27" s="996"/>
      <c r="AS27" s="994"/>
      <c r="AT27" s="994"/>
      <c r="AU27" s="994"/>
      <c r="AV27" s="994"/>
      <c r="AW27" s="996"/>
      <c r="AX27" s="994"/>
      <c r="AY27" s="994"/>
      <c r="AZ27" s="994"/>
      <c r="BA27" s="994"/>
      <c r="BB27" s="996"/>
      <c r="BC27" s="994"/>
      <c r="BD27" s="994"/>
      <c r="BE27" s="994"/>
      <c r="BF27" s="994"/>
      <c r="BG27" s="996"/>
      <c r="BH27" s="588"/>
      <c r="BI27" s="588"/>
      <c r="BJ27" s="588"/>
      <c r="BK27" s="588"/>
      <c r="BL27" s="1297"/>
      <c r="BM27" s="594"/>
    </row>
    <row r="28" spans="1:65" x14ac:dyDescent="0.2">
      <c r="A28" s="594"/>
      <c r="B28" s="1344" t="s">
        <v>311</v>
      </c>
      <c r="C28" s="1342"/>
      <c r="D28" s="594"/>
      <c r="E28" s="594"/>
      <c r="F28" s="594"/>
      <c r="G28" s="594"/>
      <c r="H28" s="594"/>
      <c r="I28" s="594"/>
      <c r="J28" s="995">
        <v>0</v>
      </c>
      <c r="K28" s="995">
        <v>0</v>
      </c>
      <c r="L28" s="995">
        <v>0</v>
      </c>
      <c r="M28" s="995">
        <v>0</v>
      </c>
      <c r="N28" s="1356">
        <f>SUM(J28,K28,L28,M28)</f>
        <v>0</v>
      </c>
      <c r="O28" s="995">
        <v>0</v>
      </c>
      <c r="P28" s="995">
        <v>0</v>
      </c>
      <c r="Q28" s="995">
        <v>0</v>
      </c>
      <c r="R28" s="995">
        <v>0</v>
      </c>
      <c r="S28" s="1323">
        <f t="shared" si="47"/>
        <v>0</v>
      </c>
      <c r="T28" s="995">
        <v>0</v>
      </c>
      <c r="U28" s="995">
        <v>0</v>
      </c>
      <c r="V28" s="995">
        <v>0</v>
      </c>
      <c r="W28" s="995">
        <v>0</v>
      </c>
      <c r="X28" s="1323">
        <f t="shared" si="48"/>
        <v>0</v>
      </c>
      <c r="Y28" s="995">
        <v>0</v>
      </c>
      <c r="Z28" s="995">
        <v>0</v>
      </c>
      <c r="AA28" s="995">
        <v>0</v>
      </c>
      <c r="AB28" s="995">
        <v>0</v>
      </c>
      <c r="AC28" s="1323">
        <f t="shared" si="49"/>
        <v>0</v>
      </c>
      <c r="AD28" s="995">
        <v>0</v>
      </c>
      <c r="AE28" s="995">
        <v>0</v>
      </c>
      <c r="AF28" s="995">
        <v>0</v>
      </c>
      <c r="AG28" s="1040">
        <f>-(AG27-(AG29-AG26))</f>
        <v>1</v>
      </c>
      <c r="AH28" s="1323">
        <f t="shared" si="50"/>
        <v>1</v>
      </c>
      <c r="AI28" s="1040">
        <f t="shared" ref="AI28:AJ28" si="52">-(AI27-(AI29-AI26))</f>
        <v>0</v>
      </c>
      <c r="AJ28" s="1040">
        <f t="shared" si="52"/>
        <v>0</v>
      </c>
      <c r="AK28" s="995">
        <v>0</v>
      </c>
      <c r="AL28" s="1040">
        <f>-(AL27-(AL29-AL26))</f>
        <v>-1</v>
      </c>
      <c r="AM28" s="1323">
        <f t="shared" si="51"/>
        <v>-1</v>
      </c>
      <c r="AN28" s="1040">
        <f>-(AN27-(AN29-AN26))</f>
        <v>0</v>
      </c>
      <c r="AO28" s="994"/>
      <c r="AP28" s="994"/>
      <c r="AQ28" s="994"/>
      <c r="AR28" s="996"/>
      <c r="AS28" s="994"/>
      <c r="AT28" s="994"/>
      <c r="AU28" s="994"/>
      <c r="AV28" s="994"/>
      <c r="AW28" s="996"/>
      <c r="AX28" s="994"/>
      <c r="AY28" s="994"/>
      <c r="AZ28" s="994"/>
      <c r="BA28" s="994"/>
      <c r="BB28" s="996"/>
      <c r="BC28" s="994"/>
      <c r="BD28" s="994"/>
      <c r="BE28" s="994"/>
      <c r="BF28" s="994"/>
      <c r="BG28" s="996"/>
      <c r="BH28" s="588"/>
      <c r="BI28" s="588"/>
      <c r="BJ28" s="588"/>
      <c r="BK28" s="588"/>
      <c r="BL28" s="1297"/>
      <c r="BM28" s="594"/>
    </row>
    <row r="29" spans="1:65" x14ac:dyDescent="0.2">
      <c r="A29" s="594"/>
      <c r="B29" s="1343" t="s">
        <v>312</v>
      </c>
      <c r="C29" s="1340"/>
      <c r="D29" s="594"/>
      <c r="E29" s="594"/>
      <c r="F29" s="594"/>
      <c r="G29" s="594"/>
      <c r="H29" s="594"/>
      <c r="I29" s="594"/>
      <c r="J29" s="901">
        <f t="shared" ref="J29:AF29" si="53">SUM(J26:J28)</f>
        <v>0</v>
      </c>
      <c r="K29" s="901">
        <f t="shared" si="53"/>
        <v>0</v>
      </c>
      <c r="L29" s="901">
        <f t="shared" si="53"/>
        <v>0</v>
      </c>
      <c r="M29" s="901">
        <f t="shared" si="53"/>
        <v>0</v>
      </c>
      <c r="N29" s="1357">
        <f t="shared" si="53"/>
        <v>0</v>
      </c>
      <c r="O29" s="901">
        <f t="shared" si="53"/>
        <v>0</v>
      </c>
      <c r="P29" s="901">
        <f t="shared" si="53"/>
        <v>0</v>
      </c>
      <c r="Q29" s="901">
        <f t="shared" si="53"/>
        <v>0</v>
      </c>
      <c r="R29" s="901">
        <f t="shared" si="53"/>
        <v>0</v>
      </c>
      <c r="S29" s="667">
        <f t="shared" si="53"/>
        <v>0</v>
      </c>
      <c r="T29" s="901">
        <f t="shared" si="53"/>
        <v>0</v>
      </c>
      <c r="U29" s="901">
        <f t="shared" si="53"/>
        <v>0</v>
      </c>
      <c r="V29" s="901">
        <f t="shared" si="53"/>
        <v>0</v>
      </c>
      <c r="W29" s="901">
        <f t="shared" si="53"/>
        <v>0</v>
      </c>
      <c r="X29" s="667">
        <f t="shared" si="53"/>
        <v>0</v>
      </c>
      <c r="Y29" s="901">
        <f t="shared" si="53"/>
        <v>0</v>
      </c>
      <c r="Z29" s="901">
        <f t="shared" si="53"/>
        <v>0</v>
      </c>
      <c r="AA29" s="901">
        <f t="shared" si="53"/>
        <v>0</v>
      </c>
      <c r="AB29" s="901">
        <f t="shared" si="53"/>
        <v>1</v>
      </c>
      <c r="AC29" s="667">
        <f t="shared" si="53"/>
        <v>1</v>
      </c>
      <c r="AD29" s="901">
        <f t="shared" si="53"/>
        <v>1</v>
      </c>
      <c r="AE29" s="901">
        <f t="shared" si="53"/>
        <v>1</v>
      </c>
      <c r="AF29" s="901">
        <f t="shared" si="53"/>
        <v>1</v>
      </c>
      <c r="AG29" s="998">
        <v>2</v>
      </c>
      <c r="AH29" s="667">
        <f>SUM(AH26:AH28)</f>
        <v>2</v>
      </c>
      <c r="AI29" s="998">
        <v>2</v>
      </c>
      <c r="AJ29" s="998">
        <v>2</v>
      </c>
      <c r="AK29" s="998">
        <v>2</v>
      </c>
      <c r="AL29" s="998">
        <v>1</v>
      </c>
      <c r="AM29" s="667">
        <f>SUM(AM26:AM28)</f>
        <v>1</v>
      </c>
      <c r="AN29" s="998">
        <v>1</v>
      </c>
      <c r="AO29" s="629"/>
      <c r="AP29" s="629"/>
      <c r="AQ29" s="629"/>
      <c r="AR29" s="667"/>
      <c r="AS29" s="629"/>
      <c r="AT29" s="629"/>
      <c r="AU29" s="629"/>
      <c r="AV29" s="629"/>
      <c r="AW29" s="667"/>
      <c r="AX29" s="629"/>
      <c r="AY29" s="629"/>
      <c r="AZ29" s="629"/>
      <c r="BA29" s="629"/>
      <c r="BB29" s="667"/>
      <c r="BC29" s="629"/>
      <c r="BD29" s="629"/>
      <c r="BE29" s="629"/>
      <c r="BF29" s="629"/>
      <c r="BG29" s="667"/>
      <c r="BH29" s="588"/>
      <c r="BI29" s="588"/>
      <c r="BJ29" s="588"/>
      <c r="BK29" s="588"/>
      <c r="BL29" s="1297"/>
      <c r="BM29" s="594"/>
    </row>
    <row r="30" spans="1:65" x14ac:dyDescent="0.2">
      <c r="A30" s="594"/>
      <c r="B30" s="1339"/>
      <c r="C30" s="1340"/>
      <c r="D30" s="594"/>
      <c r="E30" s="594"/>
      <c r="F30" s="594"/>
      <c r="G30" s="594"/>
      <c r="H30" s="594"/>
      <c r="I30" s="594"/>
      <c r="J30" s="629"/>
      <c r="K30" s="629"/>
      <c r="L30" s="629"/>
      <c r="M30" s="629"/>
      <c r="N30" s="1357"/>
      <c r="O30" s="629"/>
      <c r="P30" s="629"/>
      <c r="Q30" s="629"/>
      <c r="R30" s="629"/>
      <c r="S30" s="667"/>
      <c r="T30" s="629"/>
      <c r="U30" s="629"/>
      <c r="V30" s="629"/>
      <c r="W30" s="629"/>
      <c r="X30" s="667"/>
      <c r="Y30" s="629"/>
      <c r="Z30" s="629"/>
      <c r="AA30" s="629"/>
      <c r="AB30" s="629"/>
      <c r="AC30" s="667"/>
      <c r="AD30" s="629"/>
      <c r="AE30" s="629"/>
      <c r="AF30" s="629"/>
      <c r="AG30" s="629"/>
      <c r="AH30" s="667"/>
      <c r="AI30" s="629"/>
      <c r="AJ30" s="629"/>
      <c r="AK30" s="629"/>
      <c r="AL30" s="629"/>
      <c r="AM30" s="667"/>
      <c r="AN30" s="629"/>
      <c r="AO30" s="629"/>
      <c r="AP30" s="629"/>
      <c r="AQ30" s="629"/>
      <c r="AR30" s="667"/>
      <c r="AS30" s="629"/>
      <c r="AT30" s="629"/>
      <c r="AU30" s="629"/>
      <c r="AV30" s="629"/>
      <c r="AW30" s="667"/>
      <c r="AX30" s="629"/>
      <c r="AY30" s="629"/>
      <c r="AZ30" s="629"/>
      <c r="BA30" s="629"/>
      <c r="BB30" s="667"/>
      <c r="BC30" s="629"/>
      <c r="BD30" s="629"/>
      <c r="BE30" s="629"/>
      <c r="BF30" s="629"/>
      <c r="BG30" s="667"/>
      <c r="BH30" s="588"/>
      <c r="BI30" s="588"/>
      <c r="BJ30" s="588"/>
      <c r="BK30" s="588"/>
      <c r="BL30" s="1297"/>
      <c r="BM30" s="594"/>
    </row>
    <row r="31" spans="1:65" x14ac:dyDescent="0.2">
      <c r="A31" s="594"/>
      <c r="B31" s="1343" t="s">
        <v>313</v>
      </c>
      <c r="C31" s="1340"/>
      <c r="D31" s="594"/>
      <c r="E31" s="594"/>
      <c r="F31" s="594"/>
      <c r="G31" s="594"/>
      <c r="H31" s="594"/>
      <c r="I31" s="594"/>
      <c r="J31" s="629">
        <v>0</v>
      </c>
      <c r="K31" s="629">
        <v>0</v>
      </c>
      <c r="L31" s="629">
        <v>0</v>
      </c>
      <c r="M31" s="629">
        <v>0</v>
      </c>
      <c r="N31" s="628">
        <v>0</v>
      </c>
      <c r="O31" s="629">
        <v>0</v>
      </c>
      <c r="P31" s="629">
        <v>0</v>
      </c>
      <c r="Q31" s="629">
        <v>0</v>
      </c>
      <c r="R31" s="629">
        <v>0</v>
      </c>
      <c r="S31" s="629">
        <v>0</v>
      </c>
      <c r="T31" s="629">
        <v>0</v>
      </c>
      <c r="U31" s="629">
        <v>0</v>
      </c>
      <c r="V31" s="629">
        <v>0</v>
      </c>
      <c r="W31" s="629">
        <v>0</v>
      </c>
      <c r="X31" s="629">
        <v>0</v>
      </c>
      <c r="Y31" s="629">
        <v>0</v>
      </c>
      <c r="Z31" s="629">
        <v>0</v>
      </c>
      <c r="AA31" s="629">
        <v>0</v>
      </c>
      <c r="AB31" s="629">
        <v>0</v>
      </c>
      <c r="AC31" s="629">
        <v>0</v>
      </c>
      <c r="AD31" s="629">
        <v>0</v>
      </c>
      <c r="AE31" s="629">
        <v>0</v>
      </c>
      <c r="AF31" s="629">
        <v>0</v>
      </c>
      <c r="AG31" s="998">
        <v>0</v>
      </c>
      <c r="AH31" s="1003">
        <v>0</v>
      </c>
      <c r="AI31" s="901">
        <f t="shared" ref="AI31:AL31" si="54">AH34</f>
        <v>1</v>
      </c>
      <c r="AJ31" s="901">
        <f t="shared" si="54"/>
        <v>1</v>
      </c>
      <c r="AK31" s="901">
        <f t="shared" si="54"/>
        <v>1</v>
      </c>
      <c r="AL31" s="901">
        <f t="shared" si="54"/>
        <v>1</v>
      </c>
      <c r="AM31" s="667">
        <f>AH34</f>
        <v>1</v>
      </c>
      <c r="AN31" s="901">
        <f>AM34</f>
        <v>1</v>
      </c>
      <c r="AO31" s="629"/>
      <c r="AP31" s="629"/>
      <c r="AQ31" s="629"/>
      <c r="AR31" s="667"/>
      <c r="AS31" s="629"/>
      <c r="AT31" s="629"/>
      <c r="AU31" s="629"/>
      <c r="AV31" s="629"/>
      <c r="AW31" s="667"/>
      <c r="AX31" s="629"/>
      <c r="AY31" s="629"/>
      <c r="AZ31" s="629"/>
      <c r="BA31" s="629"/>
      <c r="BB31" s="667"/>
      <c r="BC31" s="629"/>
      <c r="BD31" s="629"/>
      <c r="BE31" s="629"/>
      <c r="BF31" s="629"/>
      <c r="BG31" s="667"/>
      <c r="BH31" s="588"/>
      <c r="BI31" s="588"/>
      <c r="BJ31" s="588"/>
      <c r="BK31" s="588"/>
      <c r="BL31" s="1297"/>
      <c r="BM31" s="594"/>
    </row>
    <row r="32" spans="1:65" x14ac:dyDescent="0.2">
      <c r="A32" s="594"/>
      <c r="B32" s="1344" t="s">
        <v>314</v>
      </c>
      <c r="C32" s="1342"/>
      <c r="D32" s="594"/>
      <c r="E32" s="594"/>
      <c r="F32" s="594"/>
      <c r="G32" s="594"/>
      <c r="H32" s="594"/>
      <c r="I32" s="594"/>
      <c r="J32" s="629">
        <v>0</v>
      </c>
      <c r="K32" s="629">
        <v>0</v>
      </c>
      <c r="L32" s="629">
        <v>0</v>
      </c>
      <c r="M32" s="629">
        <v>0</v>
      </c>
      <c r="N32" s="628">
        <v>0</v>
      </c>
      <c r="O32" s="629">
        <v>0</v>
      </c>
      <c r="P32" s="629">
        <v>0</v>
      </c>
      <c r="Q32" s="629">
        <v>0</v>
      </c>
      <c r="R32" s="629">
        <v>0</v>
      </c>
      <c r="S32" s="629">
        <v>0</v>
      </c>
      <c r="T32" s="629">
        <v>0</v>
      </c>
      <c r="U32" s="629">
        <v>0</v>
      </c>
      <c r="V32" s="629">
        <v>0</v>
      </c>
      <c r="W32" s="629">
        <v>0</v>
      </c>
      <c r="X32" s="629">
        <v>0</v>
      </c>
      <c r="Y32" s="629">
        <v>0</v>
      </c>
      <c r="Z32" s="629">
        <v>0</v>
      </c>
      <c r="AA32" s="629">
        <v>0</v>
      </c>
      <c r="AB32" s="629">
        <v>0</v>
      </c>
      <c r="AC32" s="629">
        <v>0</v>
      </c>
      <c r="AD32" s="629">
        <v>0</v>
      </c>
      <c r="AE32" s="629">
        <v>0</v>
      </c>
      <c r="AF32" s="629">
        <v>0</v>
      </c>
      <c r="AG32" s="995">
        <v>1</v>
      </c>
      <c r="AH32" s="997">
        <v>1</v>
      </c>
      <c r="AI32" s="995">
        <v>0</v>
      </c>
      <c r="AJ32" s="995">
        <v>0</v>
      </c>
      <c r="AK32" s="995">
        <v>0</v>
      </c>
      <c r="AL32" s="994"/>
      <c r="AM32" s="996"/>
      <c r="AN32" s="995">
        <v>0</v>
      </c>
      <c r="AO32" s="994"/>
      <c r="AP32" s="994"/>
      <c r="AQ32" s="994"/>
      <c r="AR32" s="996"/>
      <c r="AS32" s="994"/>
      <c r="AT32" s="994"/>
      <c r="AU32" s="994"/>
      <c r="AV32" s="994"/>
      <c r="AW32" s="996"/>
      <c r="AX32" s="994"/>
      <c r="AY32" s="994"/>
      <c r="AZ32" s="994"/>
      <c r="BA32" s="994"/>
      <c r="BB32" s="996"/>
      <c r="BC32" s="994"/>
      <c r="BD32" s="994"/>
      <c r="BE32" s="994"/>
      <c r="BF32" s="994"/>
      <c r="BG32" s="996"/>
      <c r="BH32" s="588"/>
      <c r="BI32" s="588"/>
      <c r="BJ32" s="588"/>
      <c r="BK32" s="588"/>
      <c r="BL32" s="1297"/>
      <c r="BM32" s="594"/>
    </row>
    <row r="33" spans="1:65" x14ac:dyDescent="0.2">
      <c r="A33" s="594"/>
      <c r="B33" s="1344" t="s">
        <v>315</v>
      </c>
      <c r="C33" s="1342"/>
      <c r="D33" s="594"/>
      <c r="E33" s="594"/>
      <c r="F33" s="594"/>
      <c r="G33" s="594"/>
      <c r="H33" s="594"/>
      <c r="I33" s="594"/>
      <c r="J33" s="629">
        <v>0</v>
      </c>
      <c r="K33" s="629">
        <v>0</v>
      </c>
      <c r="L33" s="629">
        <v>0</v>
      </c>
      <c r="M33" s="629">
        <v>0</v>
      </c>
      <c r="N33" s="628">
        <v>0</v>
      </c>
      <c r="O33" s="629">
        <v>0</v>
      </c>
      <c r="P33" s="629">
        <v>0</v>
      </c>
      <c r="Q33" s="629">
        <v>0</v>
      </c>
      <c r="R33" s="629">
        <v>0</v>
      </c>
      <c r="S33" s="629">
        <v>0</v>
      </c>
      <c r="T33" s="629">
        <v>0</v>
      </c>
      <c r="U33" s="629">
        <v>0</v>
      </c>
      <c r="V33" s="629">
        <v>0</v>
      </c>
      <c r="W33" s="629">
        <v>0</v>
      </c>
      <c r="X33" s="629">
        <v>0</v>
      </c>
      <c r="Y33" s="629">
        <v>0</v>
      </c>
      <c r="Z33" s="629">
        <v>0</v>
      </c>
      <c r="AA33" s="629">
        <v>0</v>
      </c>
      <c r="AB33" s="629">
        <v>0</v>
      </c>
      <c r="AC33" s="629">
        <v>0</v>
      </c>
      <c r="AD33" s="629">
        <v>0</v>
      </c>
      <c r="AE33" s="629">
        <v>0</v>
      </c>
      <c r="AF33" s="629">
        <v>0</v>
      </c>
      <c r="AG33" s="1040">
        <f t="shared" ref="AG33:AJ33" si="55">-(AG32-(AG34-AG31))</f>
        <v>0</v>
      </c>
      <c r="AH33" s="1323">
        <f t="shared" si="55"/>
        <v>0</v>
      </c>
      <c r="AI33" s="1040">
        <f t="shared" si="55"/>
        <v>0</v>
      </c>
      <c r="AJ33" s="1040">
        <f t="shared" si="55"/>
        <v>0</v>
      </c>
      <c r="AK33" s="995">
        <v>0</v>
      </c>
      <c r="AL33" s="1040">
        <f t="shared" ref="AL33:AN33" si="56">-(AL32-(AL34-AL31))</f>
        <v>0</v>
      </c>
      <c r="AM33" s="1323">
        <f t="shared" si="56"/>
        <v>0</v>
      </c>
      <c r="AN33" s="1040">
        <f t="shared" si="56"/>
        <v>0</v>
      </c>
      <c r="AO33" s="994"/>
      <c r="AP33" s="994"/>
      <c r="AQ33" s="994"/>
      <c r="AR33" s="996"/>
      <c r="AS33" s="994"/>
      <c r="AT33" s="994"/>
      <c r="AU33" s="994"/>
      <c r="AV33" s="994"/>
      <c r="AW33" s="996"/>
      <c r="AX33" s="994"/>
      <c r="AY33" s="994"/>
      <c r="AZ33" s="994"/>
      <c r="BA33" s="994"/>
      <c r="BB33" s="996"/>
      <c r="BC33" s="994"/>
      <c r="BD33" s="994"/>
      <c r="BE33" s="994"/>
      <c r="BF33" s="994"/>
      <c r="BG33" s="996"/>
      <c r="BH33" s="588"/>
      <c r="BI33" s="588"/>
      <c r="BJ33" s="588"/>
      <c r="BK33" s="588"/>
      <c r="BL33" s="1297"/>
      <c r="BM33" s="594"/>
    </row>
    <row r="34" spans="1:65" x14ac:dyDescent="0.2">
      <c r="A34" s="594"/>
      <c r="B34" s="1343" t="s">
        <v>316</v>
      </c>
      <c r="C34" s="1340"/>
      <c r="D34" s="594"/>
      <c r="E34" s="594"/>
      <c r="F34" s="594"/>
      <c r="G34" s="594"/>
      <c r="H34" s="594"/>
      <c r="I34" s="594"/>
      <c r="J34" s="629">
        <v>0</v>
      </c>
      <c r="K34" s="629">
        <v>0</v>
      </c>
      <c r="L34" s="629">
        <v>0</v>
      </c>
      <c r="M34" s="629">
        <v>0</v>
      </c>
      <c r="N34" s="628">
        <v>0</v>
      </c>
      <c r="O34" s="629">
        <v>0</v>
      </c>
      <c r="P34" s="629">
        <v>0</v>
      </c>
      <c r="Q34" s="629">
        <v>0</v>
      </c>
      <c r="R34" s="629">
        <v>0</v>
      </c>
      <c r="S34" s="629">
        <v>0</v>
      </c>
      <c r="T34" s="629">
        <v>0</v>
      </c>
      <c r="U34" s="629">
        <v>0</v>
      </c>
      <c r="V34" s="629">
        <v>0</v>
      </c>
      <c r="W34" s="629">
        <v>0</v>
      </c>
      <c r="X34" s="629">
        <v>0</v>
      </c>
      <c r="Y34" s="629">
        <v>0</v>
      </c>
      <c r="Z34" s="629">
        <v>0</v>
      </c>
      <c r="AA34" s="629">
        <v>0</v>
      </c>
      <c r="AB34" s="629">
        <v>0</v>
      </c>
      <c r="AC34" s="629">
        <v>0</v>
      </c>
      <c r="AD34" s="629">
        <v>0</v>
      </c>
      <c r="AE34" s="629">
        <v>0</v>
      </c>
      <c r="AF34" s="629">
        <v>0</v>
      </c>
      <c r="AG34" s="998">
        <v>1</v>
      </c>
      <c r="AH34" s="1003">
        <v>1</v>
      </c>
      <c r="AI34" s="998">
        <v>1</v>
      </c>
      <c r="AJ34" s="998">
        <v>1</v>
      </c>
      <c r="AK34" s="998">
        <v>1</v>
      </c>
      <c r="AL34" s="998">
        <v>1</v>
      </c>
      <c r="AM34" s="667">
        <f>AL34</f>
        <v>1</v>
      </c>
      <c r="AN34" s="998">
        <v>1</v>
      </c>
      <c r="AO34" s="629"/>
      <c r="AP34" s="629"/>
      <c r="AQ34" s="629"/>
      <c r="AR34" s="667"/>
      <c r="AS34" s="629"/>
      <c r="AT34" s="629"/>
      <c r="AU34" s="629"/>
      <c r="AV34" s="629"/>
      <c r="AW34" s="667"/>
      <c r="AX34" s="629"/>
      <c r="AY34" s="629"/>
      <c r="AZ34" s="629"/>
      <c r="BA34" s="629"/>
      <c r="BB34" s="667"/>
      <c r="BC34" s="629"/>
      <c r="BD34" s="629"/>
      <c r="BE34" s="629"/>
      <c r="BF34" s="629"/>
      <c r="BG34" s="667"/>
      <c r="BH34" s="588"/>
      <c r="BI34" s="588"/>
      <c r="BJ34" s="588"/>
      <c r="BK34" s="588"/>
      <c r="BL34" s="1297"/>
      <c r="BM34" s="594"/>
    </row>
    <row r="35" spans="1:65" x14ac:dyDescent="0.2">
      <c r="A35" s="594"/>
      <c r="B35" s="1339"/>
      <c r="C35" s="1340"/>
      <c r="D35" s="594"/>
      <c r="E35" s="594"/>
      <c r="F35" s="594"/>
      <c r="G35" s="594"/>
      <c r="H35" s="594"/>
      <c r="I35" s="594"/>
      <c r="J35" s="629"/>
      <c r="K35" s="629"/>
      <c r="L35" s="629"/>
      <c r="M35" s="629"/>
      <c r="N35" s="1357"/>
      <c r="O35" s="629"/>
      <c r="P35" s="629"/>
      <c r="Q35" s="629"/>
      <c r="R35" s="629"/>
      <c r="S35" s="667"/>
      <c r="T35" s="629"/>
      <c r="U35" s="629"/>
      <c r="V35" s="629"/>
      <c r="W35" s="629"/>
      <c r="X35" s="667"/>
      <c r="Y35" s="629"/>
      <c r="Z35" s="629"/>
      <c r="AA35" s="629"/>
      <c r="AB35" s="629"/>
      <c r="AC35" s="667"/>
      <c r="AD35" s="629"/>
      <c r="AE35" s="629"/>
      <c r="AF35" s="629"/>
      <c r="AG35" s="629"/>
      <c r="AH35" s="667"/>
      <c r="AI35" s="629"/>
      <c r="AJ35" s="629"/>
      <c r="AK35" s="629"/>
      <c r="AL35" s="629"/>
      <c r="AM35" s="667"/>
      <c r="AN35" s="629"/>
      <c r="AO35" s="629"/>
      <c r="AP35" s="629"/>
      <c r="AQ35" s="629"/>
      <c r="AR35" s="667"/>
      <c r="AS35" s="629"/>
      <c r="AT35" s="629"/>
      <c r="AU35" s="629"/>
      <c r="AV35" s="629"/>
      <c r="AW35" s="667"/>
      <c r="AX35" s="629"/>
      <c r="AY35" s="629"/>
      <c r="AZ35" s="629"/>
      <c r="BA35" s="629"/>
      <c r="BB35" s="667"/>
      <c r="BC35" s="629"/>
      <c r="BD35" s="629"/>
      <c r="BE35" s="629"/>
      <c r="BF35" s="629"/>
      <c r="BG35" s="667"/>
      <c r="BH35" s="588"/>
      <c r="BI35" s="588"/>
      <c r="BJ35" s="588"/>
      <c r="BK35" s="588"/>
      <c r="BL35" s="1297"/>
      <c r="BM35" s="594"/>
    </row>
    <row r="36" spans="1:65" x14ac:dyDescent="0.2">
      <c r="A36" s="594"/>
      <c r="B36" s="1343" t="s">
        <v>317</v>
      </c>
      <c r="C36" s="1340"/>
      <c r="D36" s="594"/>
      <c r="E36" s="594"/>
      <c r="F36" s="594"/>
      <c r="G36" s="594"/>
      <c r="H36" s="594"/>
      <c r="I36" s="594"/>
      <c r="J36" s="629">
        <v>0</v>
      </c>
      <c r="K36" s="629">
        <v>0</v>
      </c>
      <c r="L36" s="629">
        <v>0</v>
      </c>
      <c r="M36" s="629">
        <v>0</v>
      </c>
      <c r="N36" s="628">
        <v>0</v>
      </c>
      <c r="O36" s="629">
        <v>0</v>
      </c>
      <c r="P36" s="629">
        <v>0</v>
      </c>
      <c r="Q36" s="629">
        <v>0</v>
      </c>
      <c r="R36" s="629">
        <v>0</v>
      </c>
      <c r="S36" s="629">
        <v>0</v>
      </c>
      <c r="T36" s="629">
        <v>0</v>
      </c>
      <c r="U36" s="629">
        <v>0</v>
      </c>
      <c r="V36" s="629">
        <v>0</v>
      </c>
      <c r="W36" s="629">
        <v>0</v>
      </c>
      <c r="X36" s="629">
        <v>0</v>
      </c>
      <c r="Y36" s="629">
        <v>0</v>
      </c>
      <c r="Z36" s="629">
        <v>0</v>
      </c>
      <c r="AA36" s="629">
        <v>0</v>
      </c>
      <c r="AB36" s="629">
        <v>0</v>
      </c>
      <c r="AC36" s="629">
        <v>0</v>
      </c>
      <c r="AD36" s="629">
        <v>0</v>
      </c>
      <c r="AE36" s="629">
        <v>0</v>
      </c>
      <c r="AF36" s="629">
        <v>0</v>
      </c>
      <c r="AG36" s="629">
        <v>0</v>
      </c>
      <c r="AH36" s="629">
        <v>0</v>
      </c>
      <c r="AI36" s="629">
        <v>0</v>
      </c>
      <c r="AJ36" s="629">
        <v>0</v>
      </c>
      <c r="AK36" s="629"/>
      <c r="AL36" s="901">
        <f>AK39</f>
        <v>22</v>
      </c>
      <c r="AM36" s="667"/>
      <c r="AN36" s="901">
        <f>AM39</f>
        <v>24</v>
      </c>
      <c r="AO36" s="629"/>
      <c r="AP36" s="629"/>
      <c r="AQ36" s="629"/>
      <c r="AR36" s="667"/>
      <c r="AS36" s="629"/>
      <c r="AT36" s="629"/>
      <c r="AU36" s="629"/>
      <c r="AV36" s="629"/>
      <c r="AW36" s="667"/>
      <c r="AX36" s="629"/>
      <c r="AY36" s="629"/>
      <c r="AZ36" s="629"/>
      <c r="BA36" s="629"/>
      <c r="BB36" s="667"/>
      <c r="BC36" s="629"/>
      <c r="BD36" s="629"/>
      <c r="BE36" s="629"/>
      <c r="BF36" s="629"/>
      <c r="BG36" s="667"/>
      <c r="BH36" s="588"/>
      <c r="BI36" s="588"/>
      <c r="BJ36" s="588"/>
      <c r="BK36" s="588"/>
      <c r="BL36" s="1297"/>
      <c r="BM36" s="594"/>
    </row>
    <row r="37" spans="1:65" x14ac:dyDescent="0.2">
      <c r="A37" s="594"/>
      <c r="B37" s="1344" t="s">
        <v>318</v>
      </c>
      <c r="C37" s="1342"/>
      <c r="D37" s="594"/>
      <c r="E37" s="594"/>
      <c r="F37" s="594"/>
      <c r="G37" s="594"/>
      <c r="H37" s="594"/>
      <c r="I37" s="594"/>
      <c r="J37" s="629">
        <v>0</v>
      </c>
      <c r="K37" s="629">
        <v>0</v>
      </c>
      <c r="L37" s="629">
        <v>0</v>
      </c>
      <c r="M37" s="629">
        <v>0</v>
      </c>
      <c r="N37" s="628">
        <v>0</v>
      </c>
      <c r="O37" s="629">
        <v>0</v>
      </c>
      <c r="P37" s="629">
        <v>0</v>
      </c>
      <c r="Q37" s="629">
        <v>0</v>
      </c>
      <c r="R37" s="629">
        <v>0</v>
      </c>
      <c r="S37" s="629">
        <v>0</v>
      </c>
      <c r="T37" s="629">
        <v>0</v>
      </c>
      <c r="U37" s="629">
        <v>0</v>
      </c>
      <c r="V37" s="629">
        <v>0</v>
      </c>
      <c r="W37" s="629">
        <v>0</v>
      </c>
      <c r="X37" s="629">
        <v>0</v>
      </c>
      <c r="Y37" s="629">
        <v>0</v>
      </c>
      <c r="Z37" s="629">
        <v>0</v>
      </c>
      <c r="AA37" s="629">
        <v>0</v>
      </c>
      <c r="AB37" s="629">
        <v>0</v>
      </c>
      <c r="AC37" s="629">
        <v>0</v>
      </c>
      <c r="AD37" s="629">
        <v>0</v>
      </c>
      <c r="AE37" s="629">
        <v>0</v>
      </c>
      <c r="AF37" s="629">
        <v>0</v>
      </c>
      <c r="AG37" s="629">
        <v>0</v>
      </c>
      <c r="AH37" s="629">
        <v>0</v>
      </c>
      <c r="AI37" s="629">
        <v>0</v>
      </c>
      <c r="AJ37" s="629">
        <v>0</v>
      </c>
      <c r="AK37" s="994"/>
      <c r="AL37" s="995">
        <v>2</v>
      </c>
      <c r="AM37" s="1323">
        <f>AK39+AL37</f>
        <v>24</v>
      </c>
      <c r="AN37" s="995">
        <v>1</v>
      </c>
      <c r="AO37" s="994"/>
      <c r="AP37" s="994"/>
      <c r="AQ37" s="994"/>
      <c r="AR37" s="996"/>
      <c r="AS37" s="994"/>
      <c r="AT37" s="994"/>
      <c r="AU37" s="994"/>
      <c r="AV37" s="994"/>
      <c r="AW37" s="996"/>
      <c r="AX37" s="994"/>
      <c r="AY37" s="994"/>
      <c r="AZ37" s="994"/>
      <c r="BA37" s="994"/>
      <c r="BB37" s="996"/>
      <c r="BC37" s="994"/>
      <c r="BD37" s="994"/>
      <c r="BE37" s="994"/>
      <c r="BF37" s="994"/>
      <c r="BG37" s="996"/>
      <c r="BH37" s="588"/>
      <c r="BI37" s="588"/>
      <c r="BJ37" s="588"/>
      <c r="BK37" s="588"/>
      <c r="BL37" s="1297"/>
      <c r="BM37" s="594"/>
    </row>
    <row r="38" spans="1:65" x14ac:dyDescent="0.2">
      <c r="A38" s="594"/>
      <c r="B38" s="1344" t="s">
        <v>319</v>
      </c>
      <c r="C38" s="1342"/>
      <c r="D38" s="594"/>
      <c r="E38" s="594"/>
      <c r="F38" s="594"/>
      <c r="G38" s="594"/>
      <c r="H38" s="594"/>
      <c r="I38" s="594"/>
      <c r="J38" s="629">
        <v>0</v>
      </c>
      <c r="K38" s="629">
        <v>0</v>
      </c>
      <c r="L38" s="629">
        <v>0</v>
      </c>
      <c r="M38" s="629">
        <v>0</v>
      </c>
      <c r="N38" s="628">
        <v>0</v>
      </c>
      <c r="O38" s="629">
        <v>0</v>
      </c>
      <c r="P38" s="629">
        <v>0</v>
      </c>
      <c r="Q38" s="629">
        <v>0</v>
      </c>
      <c r="R38" s="629">
        <v>0</v>
      </c>
      <c r="S38" s="629">
        <v>0</v>
      </c>
      <c r="T38" s="629">
        <v>0</v>
      </c>
      <c r="U38" s="629">
        <v>0</v>
      </c>
      <c r="V38" s="629">
        <v>0</v>
      </c>
      <c r="W38" s="629">
        <v>0</v>
      </c>
      <c r="X38" s="629">
        <v>0</v>
      </c>
      <c r="Y38" s="629">
        <v>0</v>
      </c>
      <c r="Z38" s="629">
        <v>0</v>
      </c>
      <c r="AA38" s="629">
        <v>0</v>
      </c>
      <c r="AB38" s="629">
        <v>0</v>
      </c>
      <c r="AC38" s="629">
        <v>0</v>
      </c>
      <c r="AD38" s="629">
        <v>0</v>
      </c>
      <c r="AE38" s="629">
        <v>0</v>
      </c>
      <c r="AF38" s="629">
        <v>0</v>
      </c>
      <c r="AG38" s="629">
        <v>0</v>
      </c>
      <c r="AH38" s="629">
        <v>0</v>
      </c>
      <c r="AI38" s="629">
        <v>0</v>
      </c>
      <c r="AJ38" s="629">
        <v>0</v>
      </c>
      <c r="AK38" s="994"/>
      <c r="AL38" s="995">
        <v>0</v>
      </c>
      <c r="AM38" s="996"/>
      <c r="AN38" s="995">
        <v>0</v>
      </c>
      <c r="AO38" s="994"/>
      <c r="AP38" s="994"/>
      <c r="AQ38" s="994"/>
      <c r="AR38" s="996"/>
      <c r="AS38" s="994"/>
      <c r="AT38" s="994"/>
      <c r="AU38" s="994"/>
      <c r="AV38" s="994"/>
      <c r="AW38" s="996"/>
      <c r="AX38" s="994"/>
      <c r="AY38" s="994"/>
      <c r="AZ38" s="994"/>
      <c r="BA38" s="994"/>
      <c r="BB38" s="996"/>
      <c r="BC38" s="994"/>
      <c r="BD38" s="994"/>
      <c r="BE38" s="994"/>
      <c r="BF38" s="994"/>
      <c r="BG38" s="996"/>
      <c r="BH38" s="588"/>
      <c r="BI38" s="588"/>
      <c r="BJ38" s="588"/>
      <c r="BK38" s="588"/>
      <c r="BL38" s="1297"/>
      <c r="BM38" s="594"/>
    </row>
    <row r="39" spans="1:65" x14ac:dyDescent="0.2">
      <c r="A39" s="594"/>
      <c r="B39" s="1343" t="s">
        <v>320</v>
      </c>
      <c r="C39" s="1340"/>
      <c r="D39" s="594"/>
      <c r="E39" s="594"/>
      <c r="F39" s="594"/>
      <c r="G39" s="594"/>
      <c r="H39" s="594"/>
      <c r="I39" s="594"/>
      <c r="J39" s="629">
        <v>0</v>
      </c>
      <c r="K39" s="629">
        <v>0</v>
      </c>
      <c r="L39" s="629">
        <v>0</v>
      </c>
      <c r="M39" s="629">
        <v>0</v>
      </c>
      <c r="N39" s="628">
        <v>0</v>
      </c>
      <c r="O39" s="629">
        <v>0</v>
      </c>
      <c r="P39" s="629">
        <v>0</v>
      </c>
      <c r="Q39" s="629">
        <v>0</v>
      </c>
      <c r="R39" s="629">
        <v>0</v>
      </c>
      <c r="S39" s="629">
        <v>0</v>
      </c>
      <c r="T39" s="629">
        <v>0</v>
      </c>
      <c r="U39" s="629">
        <v>0</v>
      </c>
      <c r="V39" s="629">
        <v>0</v>
      </c>
      <c r="W39" s="629">
        <v>0</v>
      </c>
      <c r="X39" s="629">
        <v>0</v>
      </c>
      <c r="Y39" s="629">
        <v>0</v>
      </c>
      <c r="Z39" s="629">
        <v>0</v>
      </c>
      <c r="AA39" s="629">
        <v>0</v>
      </c>
      <c r="AB39" s="629">
        <v>0</v>
      </c>
      <c r="AC39" s="629">
        <v>0</v>
      </c>
      <c r="AD39" s="629">
        <v>0</v>
      </c>
      <c r="AE39" s="629">
        <v>0</v>
      </c>
      <c r="AF39" s="629">
        <v>0</v>
      </c>
      <c r="AG39" s="629">
        <v>0</v>
      </c>
      <c r="AH39" s="629">
        <v>0</v>
      </c>
      <c r="AI39" s="629">
        <v>0</v>
      </c>
      <c r="AJ39" s="629">
        <v>0</v>
      </c>
      <c r="AK39" s="998">
        <v>22</v>
      </c>
      <c r="AL39" s="998">
        <v>24</v>
      </c>
      <c r="AM39" s="667">
        <f>AL39</f>
        <v>24</v>
      </c>
      <c r="AN39" s="998">
        <v>25</v>
      </c>
      <c r="AO39" s="629"/>
      <c r="AP39" s="629"/>
      <c r="AQ39" s="629"/>
      <c r="AR39" s="667"/>
      <c r="AS39" s="629"/>
      <c r="AT39" s="629"/>
      <c r="AU39" s="629"/>
      <c r="AV39" s="629"/>
      <c r="AW39" s="667"/>
      <c r="AX39" s="629"/>
      <c r="AY39" s="629"/>
      <c r="AZ39" s="629"/>
      <c r="BA39" s="629"/>
      <c r="BB39" s="667"/>
      <c r="BC39" s="629"/>
      <c r="BD39" s="629"/>
      <c r="BE39" s="629"/>
      <c r="BF39" s="629"/>
      <c r="BG39" s="667"/>
      <c r="BH39" s="588"/>
      <c r="BI39" s="588"/>
      <c r="BJ39" s="588"/>
      <c r="BK39" s="588"/>
      <c r="BL39" s="1297"/>
      <c r="BM39" s="594"/>
    </row>
    <row r="40" spans="1:65" x14ac:dyDescent="0.2">
      <c r="A40" s="594"/>
      <c r="B40" s="1339"/>
      <c r="C40" s="1340"/>
      <c r="D40" s="594"/>
      <c r="E40" s="594"/>
      <c r="F40" s="594"/>
      <c r="G40" s="594"/>
      <c r="H40" s="594"/>
      <c r="I40" s="594"/>
      <c r="J40" s="629"/>
      <c r="K40" s="629"/>
      <c r="L40" s="629"/>
      <c r="M40" s="629"/>
      <c r="N40" s="1357"/>
      <c r="O40" s="629"/>
      <c r="P40" s="629"/>
      <c r="Q40" s="629"/>
      <c r="R40" s="629"/>
      <c r="S40" s="667"/>
      <c r="T40" s="629"/>
      <c r="U40" s="629"/>
      <c r="V40" s="629"/>
      <c r="W40" s="629"/>
      <c r="X40" s="667"/>
      <c r="Y40" s="629"/>
      <c r="Z40" s="629"/>
      <c r="AA40" s="629"/>
      <c r="AB40" s="629"/>
      <c r="AC40" s="667"/>
      <c r="AD40" s="629"/>
      <c r="AE40" s="629"/>
      <c r="AF40" s="629"/>
      <c r="AG40" s="629"/>
      <c r="AH40" s="667"/>
      <c r="AI40" s="629"/>
      <c r="AJ40" s="629"/>
      <c r="AK40" s="629"/>
      <c r="AL40" s="629"/>
      <c r="AM40" s="667"/>
      <c r="AN40" s="629"/>
      <c r="AO40" s="629"/>
      <c r="AP40" s="629"/>
      <c r="AQ40" s="629"/>
      <c r="AR40" s="667"/>
      <c r="AS40" s="629"/>
      <c r="AT40" s="629"/>
      <c r="AU40" s="629"/>
      <c r="AV40" s="629"/>
      <c r="AW40" s="667"/>
      <c r="AX40" s="629"/>
      <c r="AY40" s="629"/>
      <c r="AZ40" s="629"/>
      <c r="BA40" s="629"/>
      <c r="BB40" s="667"/>
      <c r="BC40" s="629"/>
      <c r="BD40" s="629"/>
      <c r="BE40" s="629"/>
      <c r="BF40" s="629"/>
      <c r="BG40" s="667"/>
      <c r="BH40" s="588"/>
      <c r="BI40" s="588"/>
      <c r="BJ40" s="588"/>
      <c r="BK40" s="588"/>
      <c r="BL40" s="1297"/>
      <c r="BM40" s="594"/>
    </row>
    <row r="41" spans="1:65" x14ac:dyDescent="0.2">
      <c r="A41" s="594"/>
      <c r="B41" s="1343" t="s">
        <v>321</v>
      </c>
      <c r="C41" s="1340"/>
      <c r="D41" s="594"/>
      <c r="E41" s="594"/>
      <c r="F41" s="594"/>
      <c r="G41" s="594"/>
      <c r="H41" s="594"/>
      <c r="I41" s="594"/>
      <c r="J41" s="901">
        <f t="shared" ref="J41:AJ43" si="57">J21+J26+J31</f>
        <v>0</v>
      </c>
      <c r="K41" s="901">
        <f t="shared" si="57"/>
        <v>0</v>
      </c>
      <c r="L41" s="901">
        <f t="shared" si="57"/>
        <v>0</v>
      </c>
      <c r="M41" s="901">
        <f t="shared" si="57"/>
        <v>0</v>
      </c>
      <c r="N41" s="1355">
        <f t="shared" si="57"/>
        <v>0</v>
      </c>
      <c r="O41" s="901">
        <f t="shared" si="57"/>
        <v>0</v>
      </c>
      <c r="P41" s="901">
        <f t="shared" si="57"/>
        <v>0</v>
      </c>
      <c r="Q41" s="901">
        <f t="shared" si="57"/>
        <v>1</v>
      </c>
      <c r="R41" s="901">
        <f t="shared" si="57"/>
        <v>1</v>
      </c>
      <c r="S41" s="999">
        <f t="shared" si="57"/>
        <v>0</v>
      </c>
      <c r="T41" s="901">
        <f t="shared" si="57"/>
        <v>1</v>
      </c>
      <c r="U41" s="901">
        <f t="shared" si="57"/>
        <v>1</v>
      </c>
      <c r="V41" s="901">
        <f t="shared" si="57"/>
        <v>1</v>
      </c>
      <c r="W41" s="901">
        <f t="shared" si="57"/>
        <v>1</v>
      </c>
      <c r="X41" s="999">
        <f t="shared" si="57"/>
        <v>1</v>
      </c>
      <c r="Y41" s="901">
        <f t="shared" si="57"/>
        <v>13</v>
      </c>
      <c r="Z41" s="901">
        <f t="shared" si="57"/>
        <v>13</v>
      </c>
      <c r="AA41" s="901">
        <f t="shared" si="57"/>
        <v>13</v>
      </c>
      <c r="AB41" s="901">
        <f t="shared" si="57"/>
        <v>13</v>
      </c>
      <c r="AC41" s="999">
        <f t="shared" si="57"/>
        <v>13</v>
      </c>
      <c r="AD41" s="901">
        <f t="shared" si="57"/>
        <v>14</v>
      </c>
      <c r="AE41" s="901">
        <f t="shared" si="57"/>
        <v>14</v>
      </c>
      <c r="AF41" s="901">
        <f t="shared" si="57"/>
        <v>14</v>
      </c>
      <c r="AG41" s="901">
        <f t="shared" si="57"/>
        <v>15</v>
      </c>
      <c r="AH41" s="999">
        <f t="shared" si="57"/>
        <v>14</v>
      </c>
      <c r="AI41" s="901">
        <f t="shared" si="57"/>
        <v>17</v>
      </c>
      <c r="AJ41" s="901">
        <f t="shared" si="57"/>
        <v>17</v>
      </c>
      <c r="AK41" s="901">
        <f t="shared" ref="AK41:AO43" si="58">AK21+AK26+AK31+AK36</f>
        <v>17</v>
      </c>
      <c r="AL41" s="901">
        <f t="shared" si="58"/>
        <v>39</v>
      </c>
      <c r="AM41" s="999">
        <f t="shared" si="58"/>
        <v>17</v>
      </c>
      <c r="AN41" s="901">
        <f t="shared" ref="AN41:AQ41" si="59">AM44</f>
        <v>39</v>
      </c>
      <c r="AO41" s="901">
        <f t="shared" si="59"/>
        <v>40</v>
      </c>
      <c r="AP41" s="901">
        <f t="shared" si="59"/>
        <v>40</v>
      </c>
      <c r="AQ41" s="901">
        <f t="shared" si="59"/>
        <v>41</v>
      </c>
      <c r="AR41" s="999">
        <f>AM44</f>
        <v>39</v>
      </c>
      <c r="AS41" s="901">
        <f t="shared" ref="AS41:AV41" si="60">AR44</f>
        <v>39</v>
      </c>
      <c r="AT41" s="901">
        <f t="shared" si="60"/>
        <v>38</v>
      </c>
      <c r="AU41" s="901">
        <f t="shared" si="60"/>
        <v>39</v>
      </c>
      <c r="AV41" s="901">
        <f t="shared" si="60"/>
        <v>40</v>
      </c>
      <c r="AW41" s="999">
        <f>AR44</f>
        <v>39</v>
      </c>
      <c r="AX41" s="901">
        <f t="shared" ref="AX41:BA41" si="61">AW44</f>
        <v>40</v>
      </c>
      <c r="AY41" s="901">
        <f t="shared" si="61"/>
        <v>38</v>
      </c>
      <c r="AZ41" s="901">
        <f t="shared" si="61"/>
        <v>39</v>
      </c>
      <c r="BA41" s="901">
        <f t="shared" si="61"/>
        <v>39</v>
      </c>
      <c r="BB41" s="999">
        <f>AW44</f>
        <v>40</v>
      </c>
      <c r="BC41" s="901">
        <f t="shared" ref="BC41:BF41" si="62">BB44</f>
        <v>40</v>
      </c>
      <c r="BD41" s="901">
        <f t="shared" si="62"/>
        <v>40</v>
      </c>
      <c r="BE41" s="901">
        <f t="shared" si="62"/>
        <v>40</v>
      </c>
      <c r="BF41" s="901">
        <f t="shared" si="62"/>
        <v>40</v>
      </c>
      <c r="BG41" s="999">
        <f>BB44</f>
        <v>40</v>
      </c>
      <c r="BH41" s="588"/>
      <c r="BI41" s="588"/>
      <c r="BJ41" s="588"/>
      <c r="BK41" s="588"/>
      <c r="BL41" s="1297"/>
      <c r="BM41" s="594"/>
    </row>
    <row r="42" spans="1:65" x14ac:dyDescent="0.2">
      <c r="A42" s="594"/>
      <c r="B42" s="1341" t="s">
        <v>322</v>
      </c>
      <c r="C42" s="1342"/>
      <c r="D42" s="594"/>
      <c r="E42" s="594"/>
      <c r="F42" s="594"/>
      <c r="G42" s="594"/>
      <c r="H42" s="594"/>
      <c r="I42" s="594"/>
      <c r="J42" s="994">
        <f t="shared" si="57"/>
        <v>0</v>
      </c>
      <c r="K42" s="994">
        <f t="shared" si="57"/>
        <v>0</v>
      </c>
      <c r="L42" s="994">
        <f t="shared" si="57"/>
        <v>0</v>
      </c>
      <c r="M42" s="994">
        <f t="shared" si="57"/>
        <v>0</v>
      </c>
      <c r="N42" s="1358">
        <f t="shared" si="57"/>
        <v>0</v>
      </c>
      <c r="O42" s="994">
        <f t="shared" si="57"/>
        <v>0</v>
      </c>
      <c r="P42" s="994">
        <f t="shared" si="57"/>
        <v>1</v>
      </c>
      <c r="Q42" s="994">
        <f t="shared" si="57"/>
        <v>0</v>
      </c>
      <c r="R42" s="994">
        <f t="shared" si="57"/>
        <v>0</v>
      </c>
      <c r="S42" s="996">
        <f t="shared" si="57"/>
        <v>1</v>
      </c>
      <c r="T42" s="994">
        <f t="shared" si="57"/>
        <v>0</v>
      </c>
      <c r="U42" s="994">
        <f t="shared" si="57"/>
        <v>0</v>
      </c>
      <c r="V42" s="994">
        <f t="shared" si="57"/>
        <v>0</v>
      </c>
      <c r="W42" s="994">
        <f t="shared" si="57"/>
        <v>1</v>
      </c>
      <c r="X42" s="996">
        <f t="shared" si="57"/>
        <v>1</v>
      </c>
      <c r="Y42" s="994">
        <f t="shared" si="57"/>
        <v>0</v>
      </c>
      <c r="Z42" s="994">
        <f t="shared" si="57"/>
        <v>0</v>
      </c>
      <c r="AA42" s="994">
        <f t="shared" si="57"/>
        <v>0</v>
      </c>
      <c r="AB42" s="994">
        <f t="shared" si="57"/>
        <v>1</v>
      </c>
      <c r="AC42" s="996">
        <f t="shared" si="57"/>
        <v>1</v>
      </c>
      <c r="AD42" s="994">
        <f t="shared" si="57"/>
        <v>0</v>
      </c>
      <c r="AE42" s="994">
        <f t="shared" si="57"/>
        <v>0</v>
      </c>
      <c r="AF42" s="994">
        <f t="shared" si="57"/>
        <v>1</v>
      </c>
      <c r="AG42" s="994">
        <f t="shared" si="57"/>
        <v>1</v>
      </c>
      <c r="AH42" s="996">
        <f t="shared" si="57"/>
        <v>2</v>
      </c>
      <c r="AI42" s="994">
        <f t="shared" si="57"/>
        <v>0</v>
      </c>
      <c r="AJ42" s="994">
        <f t="shared" si="57"/>
        <v>0</v>
      </c>
      <c r="AK42" s="994">
        <f t="shared" si="58"/>
        <v>0</v>
      </c>
      <c r="AL42" s="994">
        <f t="shared" si="58"/>
        <v>2</v>
      </c>
      <c r="AM42" s="996">
        <f t="shared" si="58"/>
        <v>24</v>
      </c>
      <c r="AN42" s="1040">
        <f t="shared" si="58"/>
        <v>1</v>
      </c>
      <c r="AO42" s="994">
        <f t="shared" si="58"/>
        <v>0</v>
      </c>
      <c r="AP42" s="995">
        <v>2</v>
      </c>
      <c r="AQ42" s="995">
        <v>0</v>
      </c>
      <c r="AR42" s="996">
        <f t="shared" ref="AR42:AR43" si="63">SUM(AN42,AO42,AP42,AQ42)</f>
        <v>3</v>
      </c>
      <c r="AS42" s="995">
        <v>0</v>
      </c>
      <c r="AT42" s="995">
        <v>1</v>
      </c>
      <c r="AU42" s="995">
        <v>1</v>
      </c>
      <c r="AV42" s="995">
        <v>0</v>
      </c>
      <c r="AW42" s="996">
        <f t="shared" ref="AW42:AW43" si="64">SUM(AS42,AT42,AU42,AV42)</f>
        <v>2</v>
      </c>
      <c r="AX42" s="995">
        <v>0</v>
      </c>
      <c r="AY42" s="995">
        <v>1</v>
      </c>
      <c r="AZ42" s="995">
        <v>0</v>
      </c>
      <c r="BA42" s="995">
        <v>2</v>
      </c>
      <c r="BB42" s="996">
        <f t="shared" ref="BB42:BB43" si="65">SUM(AX42,AY42,AZ42,BA42)</f>
        <v>3</v>
      </c>
      <c r="BC42" s="995">
        <v>1</v>
      </c>
      <c r="BD42" s="995">
        <v>0</v>
      </c>
      <c r="BE42" s="995">
        <v>0</v>
      </c>
      <c r="BF42" s="995">
        <v>0</v>
      </c>
      <c r="BG42" s="996">
        <f t="shared" ref="BG42:BG43" si="66">SUM(BC42,BD42,BE42,BF42)</f>
        <v>1</v>
      </c>
      <c r="BH42" s="588"/>
      <c r="BI42" s="588"/>
      <c r="BJ42" s="588"/>
      <c r="BK42" s="588"/>
      <c r="BL42" s="1297"/>
      <c r="BM42" s="594"/>
    </row>
    <row r="43" spans="1:65" x14ac:dyDescent="0.2">
      <c r="A43" s="594"/>
      <c r="B43" s="1341" t="s">
        <v>323</v>
      </c>
      <c r="C43" s="1342"/>
      <c r="D43" s="594"/>
      <c r="E43" s="594"/>
      <c r="F43" s="594"/>
      <c r="G43" s="594"/>
      <c r="H43" s="594"/>
      <c r="I43" s="594"/>
      <c r="J43" s="994">
        <f t="shared" si="57"/>
        <v>0</v>
      </c>
      <c r="K43" s="994">
        <f t="shared" si="57"/>
        <v>0</v>
      </c>
      <c r="L43" s="994">
        <f t="shared" si="57"/>
        <v>0</v>
      </c>
      <c r="M43" s="994">
        <f t="shared" si="57"/>
        <v>0</v>
      </c>
      <c r="N43" s="1358">
        <f t="shared" si="57"/>
        <v>0</v>
      </c>
      <c r="O43" s="994">
        <f t="shared" si="57"/>
        <v>0</v>
      </c>
      <c r="P43" s="994">
        <f t="shared" si="57"/>
        <v>0</v>
      </c>
      <c r="Q43" s="994">
        <f t="shared" si="57"/>
        <v>0</v>
      </c>
      <c r="R43" s="994">
        <f t="shared" si="57"/>
        <v>0</v>
      </c>
      <c r="S43" s="996">
        <f t="shared" si="57"/>
        <v>0</v>
      </c>
      <c r="T43" s="994">
        <f t="shared" si="57"/>
        <v>0</v>
      </c>
      <c r="U43" s="994">
        <f t="shared" si="57"/>
        <v>0</v>
      </c>
      <c r="V43" s="994">
        <f t="shared" si="57"/>
        <v>0</v>
      </c>
      <c r="W43" s="994">
        <f t="shared" si="57"/>
        <v>0</v>
      </c>
      <c r="X43" s="996">
        <f t="shared" si="57"/>
        <v>0</v>
      </c>
      <c r="Y43" s="994">
        <f t="shared" si="57"/>
        <v>0</v>
      </c>
      <c r="Z43" s="994">
        <f t="shared" si="57"/>
        <v>0</v>
      </c>
      <c r="AA43" s="994">
        <f t="shared" si="57"/>
        <v>0</v>
      </c>
      <c r="AB43" s="994">
        <f t="shared" si="57"/>
        <v>0</v>
      </c>
      <c r="AC43" s="996">
        <f t="shared" si="57"/>
        <v>0</v>
      </c>
      <c r="AD43" s="994">
        <f t="shared" si="57"/>
        <v>0</v>
      </c>
      <c r="AE43" s="994">
        <f t="shared" si="57"/>
        <v>0</v>
      </c>
      <c r="AF43" s="994">
        <f t="shared" si="57"/>
        <v>0</v>
      </c>
      <c r="AG43" s="994">
        <f t="shared" si="57"/>
        <v>1</v>
      </c>
      <c r="AH43" s="996">
        <f t="shared" si="57"/>
        <v>1</v>
      </c>
      <c r="AI43" s="994">
        <f t="shared" si="57"/>
        <v>0</v>
      </c>
      <c r="AJ43" s="994">
        <f t="shared" si="57"/>
        <v>0</v>
      </c>
      <c r="AK43" s="994">
        <f t="shared" si="58"/>
        <v>0</v>
      </c>
      <c r="AL43" s="994">
        <f t="shared" si="58"/>
        <v>-2</v>
      </c>
      <c r="AM43" s="996">
        <f t="shared" si="58"/>
        <v>-2</v>
      </c>
      <c r="AN43" s="1040">
        <f t="shared" si="58"/>
        <v>0</v>
      </c>
      <c r="AO43" s="994">
        <f t="shared" ref="AO43:AP43" si="67">AO44-AO42-AO41</f>
        <v>0</v>
      </c>
      <c r="AP43" s="994">
        <f t="shared" si="67"/>
        <v>-1</v>
      </c>
      <c r="AQ43" s="995">
        <v>-2</v>
      </c>
      <c r="AR43" s="996">
        <f t="shared" si="63"/>
        <v>-3</v>
      </c>
      <c r="AS43" s="1040">
        <f>AS44-AS41-AS42</f>
        <v>-1</v>
      </c>
      <c r="AT43" s="994">
        <f t="shared" ref="AT43:AV43" si="68">AT44-AT42-AT41</f>
        <v>0</v>
      </c>
      <c r="AU43" s="994">
        <f t="shared" si="68"/>
        <v>0</v>
      </c>
      <c r="AV43" s="994">
        <f t="shared" si="68"/>
        <v>0</v>
      </c>
      <c r="AW43" s="996">
        <f t="shared" si="64"/>
        <v>-1</v>
      </c>
      <c r="AX43" s="1040">
        <f>AX44-AX41-AX42</f>
        <v>-2</v>
      </c>
      <c r="AY43" s="994">
        <f t="shared" ref="AY43:BA43" si="69">AY44-AY42-AY41</f>
        <v>0</v>
      </c>
      <c r="AZ43" s="994">
        <f t="shared" si="69"/>
        <v>0</v>
      </c>
      <c r="BA43" s="994">
        <f t="shared" si="69"/>
        <v>-1</v>
      </c>
      <c r="BB43" s="996">
        <f t="shared" si="65"/>
        <v>-3</v>
      </c>
      <c r="BC43" s="1040">
        <f>BC44-BC41-BC42</f>
        <v>-1</v>
      </c>
      <c r="BD43" s="994">
        <f t="shared" ref="BD43:BF43" si="70">BD44-BD42-BD41</f>
        <v>0</v>
      </c>
      <c r="BE43" s="994">
        <f t="shared" si="70"/>
        <v>0</v>
      </c>
      <c r="BF43" s="994">
        <f t="shared" si="70"/>
        <v>-1</v>
      </c>
      <c r="BG43" s="996">
        <f t="shared" si="66"/>
        <v>-2</v>
      </c>
      <c r="BH43" s="588"/>
      <c r="BI43" s="588"/>
      <c r="BJ43" s="588"/>
      <c r="BK43" s="588"/>
      <c r="BL43" s="1297"/>
      <c r="BM43" s="594"/>
    </row>
    <row r="44" spans="1:65" x14ac:dyDescent="0.2">
      <c r="A44" s="594"/>
      <c r="B44" s="1343" t="s">
        <v>324</v>
      </c>
      <c r="C44" s="1340"/>
      <c r="D44" s="594"/>
      <c r="E44" s="594"/>
      <c r="F44" s="594"/>
      <c r="G44" s="594"/>
      <c r="H44" s="594"/>
      <c r="I44" s="594"/>
      <c r="J44" s="901">
        <f t="shared" ref="J44:AN44" si="71">SUM(J41:J43)</f>
        <v>0</v>
      </c>
      <c r="K44" s="901">
        <f t="shared" si="71"/>
        <v>0</v>
      </c>
      <c r="L44" s="901">
        <f t="shared" si="71"/>
        <v>0</v>
      </c>
      <c r="M44" s="901">
        <f t="shared" si="71"/>
        <v>0</v>
      </c>
      <c r="N44" s="1355">
        <f t="shared" si="71"/>
        <v>0</v>
      </c>
      <c r="O44" s="901">
        <f t="shared" si="71"/>
        <v>0</v>
      </c>
      <c r="P44" s="901">
        <f t="shared" si="71"/>
        <v>1</v>
      </c>
      <c r="Q44" s="901">
        <f t="shared" si="71"/>
        <v>1</v>
      </c>
      <c r="R44" s="901">
        <f t="shared" si="71"/>
        <v>1</v>
      </c>
      <c r="S44" s="999">
        <f t="shared" si="71"/>
        <v>1</v>
      </c>
      <c r="T44" s="901">
        <f t="shared" si="71"/>
        <v>1</v>
      </c>
      <c r="U44" s="901">
        <f t="shared" si="71"/>
        <v>1</v>
      </c>
      <c r="V44" s="901">
        <f t="shared" si="71"/>
        <v>1</v>
      </c>
      <c r="W44" s="901">
        <f t="shared" si="71"/>
        <v>2</v>
      </c>
      <c r="X44" s="999">
        <f t="shared" si="71"/>
        <v>2</v>
      </c>
      <c r="Y44" s="901">
        <f t="shared" si="71"/>
        <v>13</v>
      </c>
      <c r="Z44" s="901">
        <f t="shared" si="71"/>
        <v>13</v>
      </c>
      <c r="AA44" s="901">
        <f t="shared" si="71"/>
        <v>13</v>
      </c>
      <c r="AB44" s="901">
        <f t="shared" si="71"/>
        <v>14</v>
      </c>
      <c r="AC44" s="999">
        <f t="shared" si="71"/>
        <v>14</v>
      </c>
      <c r="AD44" s="901">
        <f t="shared" si="71"/>
        <v>14</v>
      </c>
      <c r="AE44" s="901">
        <f t="shared" si="71"/>
        <v>14</v>
      </c>
      <c r="AF44" s="901">
        <f t="shared" si="71"/>
        <v>15</v>
      </c>
      <c r="AG44" s="901">
        <f t="shared" si="71"/>
        <v>17</v>
      </c>
      <c r="AH44" s="999">
        <f t="shared" si="71"/>
        <v>17</v>
      </c>
      <c r="AI44" s="901">
        <f t="shared" si="71"/>
        <v>17</v>
      </c>
      <c r="AJ44" s="901">
        <f t="shared" si="71"/>
        <v>17</v>
      </c>
      <c r="AK44" s="901">
        <f t="shared" si="71"/>
        <v>17</v>
      </c>
      <c r="AL44" s="901">
        <f t="shared" si="71"/>
        <v>39</v>
      </c>
      <c r="AM44" s="999">
        <f t="shared" si="71"/>
        <v>39</v>
      </c>
      <c r="AN44" s="901">
        <f t="shared" si="71"/>
        <v>40</v>
      </c>
      <c r="AO44" s="998">
        <v>40</v>
      </c>
      <c r="AP44" s="998">
        <v>41</v>
      </c>
      <c r="AQ44" s="901">
        <f t="shared" ref="AQ44:AR44" si="72">SUM(AQ41:AQ43)</f>
        <v>39</v>
      </c>
      <c r="AR44" s="999">
        <f t="shared" si="72"/>
        <v>39</v>
      </c>
      <c r="AS44" s="998">
        <v>38</v>
      </c>
      <c r="AT44" s="998">
        <v>39</v>
      </c>
      <c r="AU44" s="998">
        <v>40</v>
      </c>
      <c r="AV44" s="998">
        <v>40</v>
      </c>
      <c r="AW44" s="999">
        <f>SUM(AW41:AW43)</f>
        <v>40</v>
      </c>
      <c r="AX44" s="998">
        <v>38</v>
      </c>
      <c r="AY44" s="998">
        <v>39</v>
      </c>
      <c r="AZ44" s="998">
        <v>39</v>
      </c>
      <c r="BA44" s="998">
        <v>40</v>
      </c>
      <c r="BB44" s="999">
        <f>SUM(BB41:BB43)</f>
        <v>40</v>
      </c>
      <c r="BC44" s="998">
        <v>40</v>
      </c>
      <c r="BD44" s="998">
        <v>40</v>
      </c>
      <c r="BE44" s="998">
        <v>40</v>
      </c>
      <c r="BF44" s="998">
        <v>39</v>
      </c>
      <c r="BG44" s="999">
        <f t="shared" ref="BG44" si="73">SUM(BG41:BG43)</f>
        <v>39</v>
      </c>
      <c r="BH44" s="588"/>
      <c r="BI44" s="588"/>
      <c r="BJ44" s="588"/>
      <c r="BK44" s="588"/>
      <c r="BL44" s="1297"/>
      <c r="BM44" s="594"/>
    </row>
    <row r="45" spans="1:65" x14ac:dyDescent="0.2">
      <c r="A45" s="594"/>
      <c r="B45" s="1317"/>
      <c r="C45" s="594"/>
      <c r="D45" s="594"/>
      <c r="E45" s="594"/>
      <c r="F45" s="594"/>
      <c r="G45" s="594"/>
      <c r="H45" s="594"/>
      <c r="I45" s="594"/>
      <c r="J45" s="588"/>
      <c r="K45" s="588"/>
      <c r="L45" s="588"/>
      <c r="M45" s="588"/>
      <c r="N45" s="1319"/>
      <c r="O45" s="588"/>
      <c r="P45" s="588"/>
      <c r="Q45" s="588"/>
      <c r="R45" s="588"/>
      <c r="S45" s="588"/>
      <c r="T45" s="588"/>
      <c r="U45" s="588"/>
      <c r="V45" s="588"/>
      <c r="W45" s="588"/>
      <c r="X45" s="588"/>
      <c r="Y45" s="588"/>
      <c r="Z45" s="588"/>
      <c r="AA45" s="588"/>
      <c r="AB45" s="588"/>
      <c r="AC45" s="588"/>
      <c r="AD45" s="588"/>
      <c r="AE45" s="588"/>
      <c r="AF45" s="588"/>
      <c r="AG45" s="588"/>
      <c r="AH45" s="588"/>
      <c r="AI45" s="588"/>
      <c r="AJ45" s="588"/>
      <c r="AK45" s="588"/>
      <c r="AL45" s="588"/>
      <c r="AM45" s="588"/>
      <c r="AN45" s="588"/>
      <c r="AO45" s="588"/>
      <c r="AP45" s="588"/>
      <c r="AQ45" s="588"/>
      <c r="AR45" s="588"/>
      <c r="AS45" s="588"/>
      <c r="AT45" s="588"/>
      <c r="AU45" s="588"/>
      <c r="AV45" s="588"/>
      <c r="AW45" s="588"/>
      <c r="AX45" s="588"/>
      <c r="AY45" s="588"/>
      <c r="AZ45" s="588"/>
      <c r="BA45" s="588"/>
      <c r="BB45" s="588"/>
      <c r="BC45" s="588"/>
      <c r="BD45" s="588"/>
      <c r="BE45" s="588"/>
      <c r="BF45" s="588"/>
      <c r="BG45" s="588"/>
      <c r="BH45" s="588"/>
      <c r="BI45" s="588"/>
      <c r="BJ45" s="588"/>
      <c r="BK45" s="588"/>
      <c r="BL45" s="1297"/>
      <c r="BM45" s="594"/>
    </row>
    <row r="46" spans="1:65" x14ac:dyDescent="0.2">
      <c r="A46" s="594"/>
      <c r="B46" s="1317"/>
      <c r="C46" s="594"/>
      <c r="D46" s="594"/>
      <c r="E46" s="594"/>
      <c r="F46" s="594"/>
      <c r="G46" s="594"/>
      <c r="H46" s="594"/>
      <c r="I46" s="594"/>
      <c r="J46" s="588"/>
      <c r="K46" s="588"/>
      <c r="L46" s="588"/>
      <c r="M46" s="588"/>
      <c r="N46" s="1319"/>
      <c r="O46" s="588"/>
      <c r="P46" s="588"/>
      <c r="Q46" s="588"/>
      <c r="R46" s="588"/>
      <c r="S46" s="588"/>
      <c r="T46" s="588"/>
      <c r="U46" s="588"/>
      <c r="V46" s="588"/>
      <c r="W46" s="588"/>
      <c r="X46" s="588"/>
      <c r="Y46" s="588"/>
      <c r="Z46" s="588"/>
      <c r="AA46" s="588"/>
      <c r="AB46" s="588"/>
      <c r="AC46" s="588"/>
      <c r="AD46" s="588"/>
      <c r="AE46" s="588"/>
      <c r="AF46" s="588"/>
      <c r="AG46" s="588"/>
      <c r="AH46" s="588"/>
      <c r="AI46" s="588"/>
      <c r="AJ46" s="588"/>
      <c r="AK46" s="588"/>
      <c r="AL46" s="588"/>
      <c r="AM46" s="588"/>
      <c r="AN46" s="588"/>
      <c r="AO46" s="588"/>
      <c r="AP46" s="588"/>
      <c r="AQ46" s="588"/>
      <c r="AR46" s="588"/>
      <c r="AS46" s="588"/>
      <c r="AT46" s="588"/>
      <c r="AU46" s="588"/>
      <c r="AV46" s="588"/>
      <c r="AW46" s="588"/>
      <c r="AX46" s="588"/>
      <c r="AY46" s="588"/>
      <c r="AZ46" s="588"/>
      <c r="BA46" s="588"/>
      <c r="BB46" s="588"/>
      <c r="BC46" s="588"/>
      <c r="BD46" s="588"/>
      <c r="BE46" s="588"/>
      <c r="BF46" s="588"/>
      <c r="BG46" s="588"/>
      <c r="BH46" s="588"/>
      <c r="BI46" s="588"/>
      <c r="BJ46" s="588"/>
      <c r="BK46" s="588"/>
      <c r="BL46" s="1297"/>
      <c r="BM46" s="594"/>
    </row>
    <row r="47" spans="1:65" x14ac:dyDescent="0.2">
      <c r="A47" s="594"/>
      <c r="B47" s="1317" t="s">
        <v>325</v>
      </c>
      <c r="C47" s="594"/>
      <c r="D47" s="594"/>
      <c r="E47" s="594"/>
      <c r="F47" s="594"/>
      <c r="G47" s="594"/>
      <c r="H47" s="594"/>
      <c r="I47" s="594"/>
      <c r="J47" s="1003">
        <v>44.825000000000003</v>
      </c>
      <c r="K47" s="1003">
        <v>44.951999999999998</v>
      </c>
      <c r="L47" s="1003">
        <v>44.843000000000004</v>
      </c>
      <c r="M47" s="1003">
        <v>49.207999999999998</v>
      </c>
      <c r="N47" s="1359"/>
      <c r="O47" s="1003">
        <v>45.155999999999999</v>
      </c>
      <c r="P47" s="1003">
        <v>45.822000000000003</v>
      </c>
      <c r="Q47" s="1003">
        <v>45.612000000000002</v>
      </c>
      <c r="R47" s="1003">
        <v>50.261000000000003</v>
      </c>
      <c r="S47" s="1003">
        <v>125.96444037609113</v>
      </c>
      <c r="T47" s="1003">
        <v>47.377000000000002</v>
      </c>
      <c r="U47" s="1003">
        <v>46.944000000000003</v>
      </c>
      <c r="V47" s="1003">
        <v>47.978000000000002</v>
      </c>
      <c r="W47" s="1003">
        <v>55.337000000000003</v>
      </c>
      <c r="X47" s="1003">
        <v>132.80961368353863</v>
      </c>
      <c r="Y47" s="1003">
        <v>48.192</v>
      </c>
      <c r="Z47" s="1003">
        <v>49.640999999999998</v>
      </c>
      <c r="AA47" s="1003">
        <v>47.82</v>
      </c>
      <c r="AB47" s="1003">
        <v>57.033000000000001</v>
      </c>
      <c r="AC47" s="1003">
        <v>132.76750259515808</v>
      </c>
      <c r="AD47" s="1003">
        <v>49.917999999999999</v>
      </c>
      <c r="AE47" s="1003">
        <v>51.076000000000001</v>
      </c>
      <c r="AF47" s="1003">
        <v>50.671999999999997</v>
      </c>
      <c r="AG47" s="1003">
        <v>54.369</v>
      </c>
      <c r="AH47" s="1003">
        <v>132.47779585260233</v>
      </c>
      <c r="AI47" s="1003">
        <v>50.847999999999999</v>
      </c>
      <c r="AJ47" s="1003">
        <v>51.125999999999998</v>
      </c>
      <c r="AK47" s="1003">
        <v>50.435000000000002</v>
      </c>
      <c r="AL47" s="1003">
        <f>AM47-SUM(AI47,AJ47,AK47)</f>
        <v>-2.9859998710447542</v>
      </c>
      <c r="AM47" s="1003">
        <v>149.42300012895524</v>
      </c>
      <c r="AN47" s="1003">
        <v>60.54</v>
      </c>
      <c r="AO47" s="1003">
        <v>28.815999999999999</v>
      </c>
      <c r="AP47" s="1003">
        <v>52.469000000000001</v>
      </c>
      <c r="AQ47" s="1003">
        <f>AR47-SUM(AN47,AO47,AP47)</f>
        <v>-25.911664771609153</v>
      </c>
      <c r="AR47" s="1003">
        <v>115.91333522839084</v>
      </c>
      <c r="AS47" s="1003">
        <v>59.011000000000003</v>
      </c>
      <c r="AT47" s="1003">
        <v>71.241</v>
      </c>
      <c r="AU47" s="1003">
        <v>73.236000000000004</v>
      </c>
      <c r="AV47" s="1003">
        <f>AW47-SUM(AS47,AT47,AU47)</f>
        <v>-14.538396674337264</v>
      </c>
      <c r="AW47" s="1003">
        <v>188.94960332566274</v>
      </c>
      <c r="AX47" s="1003">
        <v>72.305000000000007</v>
      </c>
      <c r="AY47" s="1003">
        <v>75.527000000000001</v>
      </c>
      <c r="AZ47" s="1003">
        <v>74.793000000000006</v>
      </c>
      <c r="BA47" s="1003">
        <f>BB47-SUM(AX47,AY47,AZ47)</f>
        <v>-10.254832533988406</v>
      </c>
      <c r="BB47" s="1003">
        <v>212.37016746601159</v>
      </c>
      <c r="BC47" s="1003">
        <v>78.171000000000006</v>
      </c>
      <c r="BD47" s="1003">
        <v>82.027000000000001</v>
      </c>
      <c r="BE47" s="1003">
        <v>81.010999999999996</v>
      </c>
      <c r="BF47" s="1003">
        <f>BG47-SUM(BC47,BD47,BE47)</f>
        <v>-19.713127051784056</v>
      </c>
      <c r="BG47" s="1003">
        <v>221.49587294821595</v>
      </c>
      <c r="BH47" s="588"/>
      <c r="BI47" s="588"/>
      <c r="BJ47" s="588"/>
      <c r="BK47" s="588"/>
      <c r="BL47" s="1297"/>
      <c r="BM47" s="594"/>
    </row>
    <row r="48" spans="1:65" x14ac:dyDescent="0.2">
      <c r="A48" s="594"/>
      <c r="B48" s="1317"/>
      <c r="C48" s="594"/>
      <c r="D48" s="594"/>
      <c r="E48" s="594"/>
      <c r="F48" s="594"/>
      <c r="G48" s="594"/>
      <c r="H48" s="594"/>
      <c r="I48" s="594"/>
      <c r="J48" s="588"/>
      <c r="K48" s="588"/>
      <c r="L48" s="588"/>
      <c r="M48" s="588"/>
      <c r="N48" s="1319"/>
      <c r="O48" s="588"/>
      <c r="P48" s="588"/>
      <c r="Q48" s="588"/>
      <c r="R48" s="588"/>
      <c r="S48" s="588"/>
      <c r="T48" s="588"/>
      <c r="U48" s="588"/>
      <c r="V48" s="588"/>
      <c r="W48" s="588"/>
      <c r="X48" s="588"/>
      <c r="Y48" s="588"/>
      <c r="Z48" s="588"/>
      <c r="AA48" s="588"/>
      <c r="AB48" s="588"/>
      <c r="AC48" s="588"/>
      <c r="AD48" s="588"/>
      <c r="AE48" s="588"/>
      <c r="AF48" s="588"/>
      <c r="AG48" s="588"/>
      <c r="AH48" s="588"/>
      <c r="AI48" s="588"/>
      <c r="AJ48" s="588"/>
      <c r="AK48" s="588"/>
      <c r="AL48" s="588"/>
      <c r="AM48" s="588"/>
      <c r="AN48" s="588"/>
      <c r="AO48" s="588"/>
      <c r="AP48" s="588"/>
      <c r="AQ48" s="588"/>
      <c r="AR48" s="588"/>
      <c r="AS48" s="588"/>
      <c r="AT48" s="588"/>
      <c r="AU48" s="588"/>
      <c r="AV48" s="588"/>
      <c r="AW48" s="588"/>
      <c r="AX48" s="588"/>
      <c r="AY48" s="588"/>
      <c r="AZ48" s="588"/>
      <c r="BA48" s="588"/>
      <c r="BB48" s="588"/>
      <c r="BC48" s="588"/>
      <c r="BD48" s="588"/>
      <c r="BE48" s="588"/>
      <c r="BF48" s="588"/>
      <c r="BG48" s="588"/>
      <c r="BH48" s="588"/>
      <c r="BI48" s="588"/>
      <c r="BJ48" s="588"/>
      <c r="BK48" s="588"/>
      <c r="BL48" s="1297"/>
      <c r="BM48" s="594"/>
    </row>
    <row r="49" spans="1:65" x14ac:dyDescent="0.2">
      <c r="A49" s="594"/>
      <c r="B49" s="1324" t="s">
        <v>219</v>
      </c>
      <c r="C49" s="1041"/>
      <c r="D49" s="1041"/>
      <c r="E49" s="1041"/>
      <c r="F49" s="1041"/>
      <c r="G49" s="1041"/>
      <c r="H49" s="1041"/>
      <c r="I49" s="1041"/>
      <c r="J49" s="1041"/>
      <c r="K49" s="1041"/>
      <c r="L49" s="1041"/>
      <c r="M49" s="1041"/>
      <c r="N49" s="1324"/>
      <c r="O49" s="1041"/>
      <c r="P49" s="1041"/>
      <c r="Q49" s="1041"/>
      <c r="R49" s="1041"/>
      <c r="S49" s="1042">
        <f t="shared" ref="S49:BG49" si="74">S15+S47</f>
        <v>125.96444037609113</v>
      </c>
      <c r="T49" s="1042">
        <f t="shared" si="74"/>
        <v>47.377000000000002</v>
      </c>
      <c r="U49" s="1042">
        <f t="shared" si="74"/>
        <v>46.944000000000003</v>
      </c>
      <c r="V49" s="1042">
        <f t="shared" si="74"/>
        <v>47.978000000000002</v>
      </c>
      <c r="W49" s="1042">
        <f t="shared" si="74"/>
        <v>55.337000000000003</v>
      </c>
      <c r="X49" s="1042">
        <f t="shared" si="74"/>
        <v>132.80961368353863</v>
      </c>
      <c r="Y49" s="1042">
        <f t="shared" si="74"/>
        <v>48.192</v>
      </c>
      <c r="Z49" s="1042">
        <f t="shared" si="74"/>
        <v>49.640999999999998</v>
      </c>
      <c r="AA49" s="1042">
        <f t="shared" si="74"/>
        <v>47.82</v>
      </c>
      <c r="AB49" s="1042">
        <f t="shared" si="74"/>
        <v>57.033000000000001</v>
      </c>
      <c r="AC49" s="1042">
        <f t="shared" si="74"/>
        <v>132.76750259515808</v>
      </c>
      <c r="AD49" s="1042">
        <f t="shared" si="74"/>
        <v>49.917999999999999</v>
      </c>
      <c r="AE49" s="1042">
        <f t="shared" si="74"/>
        <v>51.076000000000001</v>
      </c>
      <c r="AF49" s="1042">
        <f t="shared" si="74"/>
        <v>50.671999999999997</v>
      </c>
      <c r="AG49" s="1042">
        <f t="shared" si="74"/>
        <v>54.369</v>
      </c>
      <c r="AH49" s="1042">
        <f t="shared" si="74"/>
        <v>132.47779585260233</v>
      </c>
      <c r="AI49" s="1042">
        <f t="shared" si="74"/>
        <v>50.847999999999999</v>
      </c>
      <c r="AJ49" s="1042">
        <f t="shared" si="74"/>
        <v>51.125999999999998</v>
      </c>
      <c r="AK49" s="1042">
        <f t="shared" si="74"/>
        <v>50.435000000000002</v>
      </c>
      <c r="AL49" s="1042">
        <f t="shared" si="74"/>
        <v>36.349000128955247</v>
      </c>
      <c r="AM49" s="1042">
        <f t="shared" si="74"/>
        <v>188.75800012895525</v>
      </c>
      <c r="AN49" s="1042">
        <f t="shared" si="74"/>
        <v>96.12299999999999</v>
      </c>
      <c r="AO49" s="1042">
        <f t="shared" si="74"/>
        <v>41.024000000000001</v>
      </c>
      <c r="AP49" s="1042">
        <f t="shared" si="74"/>
        <v>72.742000000000004</v>
      </c>
      <c r="AQ49" s="1042">
        <f t="shared" si="74"/>
        <v>2.8803352283908481</v>
      </c>
      <c r="AR49" s="1042">
        <f t="shared" si="74"/>
        <v>212.76933522839084</v>
      </c>
      <c r="AS49" s="1042">
        <f t="shared" si="74"/>
        <v>95.205000000000013</v>
      </c>
      <c r="AT49" s="1042">
        <f t="shared" si="74"/>
        <v>118.699</v>
      </c>
      <c r="AU49" s="1042">
        <f t="shared" si="74"/>
        <v>117.56200000000001</v>
      </c>
      <c r="AV49" s="1042">
        <f t="shared" si="74"/>
        <v>39.658603325662739</v>
      </c>
      <c r="AW49" s="1042">
        <f t="shared" si="74"/>
        <v>371.12460332566275</v>
      </c>
      <c r="AX49" s="1042">
        <f t="shared" si="74"/>
        <v>131.137</v>
      </c>
      <c r="AY49" s="1042">
        <f t="shared" si="74"/>
        <v>135.547</v>
      </c>
      <c r="AZ49" s="1042">
        <f t="shared" si="74"/>
        <v>126.986</v>
      </c>
      <c r="BA49" s="1042">
        <f t="shared" si="74"/>
        <v>56.252167466011571</v>
      </c>
      <c r="BB49" s="1042">
        <f t="shared" si="74"/>
        <v>449.92216746601162</v>
      </c>
      <c r="BC49" s="1042">
        <f t="shared" si="74"/>
        <v>146.81100000000001</v>
      </c>
      <c r="BD49" s="1042">
        <f t="shared" si="74"/>
        <v>147.755</v>
      </c>
      <c r="BE49" s="1042">
        <f t="shared" si="74"/>
        <v>139.65299999999999</v>
      </c>
      <c r="BF49" s="1042">
        <f t="shared" si="74"/>
        <v>51.199872948215955</v>
      </c>
      <c r="BG49" s="1042">
        <f t="shared" si="74"/>
        <v>485.41887294821595</v>
      </c>
      <c r="BH49" s="1042">
        <f>BG49*'Forecast Assumptions'!G15+'Revenue Build - FRC &amp; Others'!BG49</f>
        <v>509.68981659562672</v>
      </c>
      <c r="BI49" s="1042">
        <f>BH49*'Forecast Assumptions'!H15+'Revenue Build - FRC &amp; Others'!BH49</f>
        <v>535.17430742540807</v>
      </c>
      <c r="BJ49" s="1042">
        <f>BI49*'Forecast Assumptions'!I15+'Revenue Build - FRC &amp; Others'!BI49</f>
        <v>561.93302279667853</v>
      </c>
      <c r="BK49" s="1042">
        <f>BJ49*'Forecast Assumptions'!J15+'Revenue Build - FRC &amp; Others'!BJ49</f>
        <v>590.02967393651249</v>
      </c>
      <c r="BL49" s="1325">
        <f>BK49*'Forecast Assumptions'!K15+'Revenue Build - FRC &amp; Others'!BK49</f>
        <v>619.53115763333813</v>
      </c>
      <c r="BM49" s="594"/>
    </row>
    <row r="50" spans="1:65" x14ac:dyDescent="0.2">
      <c r="A50" s="594"/>
      <c r="B50" s="1317"/>
      <c r="C50" s="594"/>
      <c r="D50" s="594"/>
      <c r="E50" s="594"/>
      <c r="F50" s="594"/>
      <c r="G50" s="594"/>
      <c r="H50" s="594"/>
      <c r="I50" s="594"/>
      <c r="J50" s="1317"/>
      <c r="K50" s="594"/>
      <c r="L50" s="594"/>
      <c r="M50" s="594"/>
      <c r="N50" s="1319"/>
      <c r="O50" s="588"/>
      <c r="P50" s="588"/>
      <c r="Q50" s="588"/>
      <c r="R50" s="588"/>
      <c r="S50" s="588"/>
      <c r="T50" s="588"/>
      <c r="U50" s="588"/>
      <c r="V50" s="588"/>
      <c r="W50" s="588"/>
      <c r="X50" s="588"/>
      <c r="Y50" s="588"/>
      <c r="Z50" s="588"/>
      <c r="AA50" s="588"/>
      <c r="AB50" s="588"/>
      <c r="AC50" s="588"/>
      <c r="AD50" s="588"/>
      <c r="AE50" s="588"/>
      <c r="AF50" s="588"/>
      <c r="AG50" s="588"/>
      <c r="AH50" s="588"/>
      <c r="AI50" s="588"/>
      <c r="AJ50" s="588"/>
      <c r="AK50" s="588"/>
      <c r="AL50" s="588"/>
      <c r="AM50" s="588"/>
      <c r="AN50" s="588"/>
      <c r="AO50" s="588"/>
      <c r="AP50" s="588"/>
      <c r="AQ50" s="588"/>
      <c r="AR50" s="588"/>
      <c r="AS50" s="588"/>
      <c r="AT50" s="588"/>
      <c r="AU50" s="588"/>
      <c r="AV50" s="588"/>
      <c r="AW50" s="588"/>
      <c r="AX50" s="588"/>
      <c r="AY50" s="588"/>
      <c r="AZ50" s="588"/>
      <c r="BA50" s="588"/>
      <c r="BB50" s="588"/>
      <c r="BC50" s="588"/>
      <c r="BD50" s="588"/>
      <c r="BE50" s="588"/>
      <c r="BF50" s="588"/>
      <c r="BG50" s="588"/>
      <c r="BH50" s="588"/>
      <c r="BI50" s="588"/>
      <c r="BJ50" s="588"/>
      <c r="BK50" s="588"/>
      <c r="BL50" s="1297"/>
      <c r="BM50" s="594"/>
    </row>
    <row r="51" spans="1:65" x14ac:dyDescent="0.2">
      <c r="A51" s="594"/>
      <c r="B51" s="1317" t="s">
        <v>326</v>
      </c>
      <c r="C51" s="594"/>
      <c r="D51" s="594"/>
      <c r="E51" s="594"/>
      <c r="F51" s="594"/>
      <c r="G51" s="594"/>
      <c r="H51" s="594"/>
      <c r="I51" s="594"/>
      <c r="J51" s="1317" t="s">
        <v>326</v>
      </c>
      <c r="K51" s="594"/>
      <c r="L51" s="594"/>
      <c r="M51" s="594"/>
      <c r="N51" s="1319"/>
      <c r="O51" s="588"/>
      <c r="P51" s="588"/>
      <c r="Q51" s="588"/>
      <c r="R51" s="588"/>
      <c r="S51" s="902">
        <f t="shared" ref="S51:BG51" si="75">S10+S11+S42+S43</f>
        <v>1</v>
      </c>
      <c r="T51" s="902">
        <f t="shared" si="75"/>
        <v>0</v>
      </c>
      <c r="U51" s="902">
        <f t="shared" si="75"/>
        <v>0</v>
      </c>
      <c r="V51" s="902">
        <f t="shared" si="75"/>
        <v>0</v>
      </c>
      <c r="W51" s="902">
        <f t="shared" si="75"/>
        <v>1</v>
      </c>
      <c r="X51" s="902">
        <f t="shared" si="75"/>
        <v>1</v>
      </c>
      <c r="Y51" s="902">
        <f t="shared" si="75"/>
        <v>0</v>
      </c>
      <c r="Z51" s="902">
        <f t="shared" si="75"/>
        <v>0</v>
      </c>
      <c r="AA51" s="902">
        <f t="shared" si="75"/>
        <v>0</v>
      </c>
      <c r="AB51" s="902">
        <f t="shared" si="75"/>
        <v>1</v>
      </c>
      <c r="AC51" s="902">
        <f t="shared" si="75"/>
        <v>1</v>
      </c>
      <c r="AD51" s="902">
        <f t="shared" si="75"/>
        <v>0</v>
      </c>
      <c r="AE51" s="902">
        <f t="shared" si="75"/>
        <v>0</v>
      </c>
      <c r="AF51" s="902">
        <f t="shared" si="75"/>
        <v>1</v>
      </c>
      <c r="AG51" s="902">
        <f t="shared" si="75"/>
        <v>2</v>
      </c>
      <c r="AH51" s="902">
        <f t="shared" si="75"/>
        <v>3</v>
      </c>
      <c r="AI51" s="902">
        <f t="shared" si="75"/>
        <v>0</v>
      </c>
      <c r="AJ51" s="902">
        <f t="shared" si="75"/>
        <v>0</v>
      </c>
      <c r="AK51" s="902">
        <f t="shared" si="75"/>
        <v>0</v>
      </c>
      <c r="AL51" s="902">
        <f t="shared" si="75"/>
        <v>0</v>
      </c>
      <c r="AM51" s="902">
        <f t="shared" si="75"/>
        <v>47</v>
      </c>
      <c r="AN51" s="902">
        <f t="shared" si="75"/>
        <v>1</v>
      </c>
      <c r="AO51" s="902">
        <f t="shared" si="75"/>
        <v>0</v>
      </c>
      <c r="AP51" s="902">
        <f t="shared" si="75"/>
        <v>1</v>
      </c>
      <c r="AQ51" s="902">
        <f t="shared" si="75"/>
        <v>0</v>
      </c>
      <c r="AR51" s="902">
        <f t="shared" si="75"/>
        <v>2</v>
      </c>
      <c r="AS51" s="902">
        <f t="shared" si="75"/>
        <v>0</v>
      </c>
      <c r="AT51" s="902">
        <f t="shared" si="75"/>
        <v>1</v>
      </c>
      <c r="AU51" s="902">
        <f t="shared" si="75"/>
        <v>2</v>
      </c>
      <c r="AV51" s="902">
        <f t="shared" si="75"/>
        <v>2</v>
      </c>
      <c r="AW51" s="902">
        <f t="shared" si="75"/>
        <v>5</v>
      </c>
      <c r="AX51" s="902">
        <f t="shared" si="75"/>
        <v>-2</v>
      </c>
      <c r="AY51" s="902">
        <f t="shared" si="75"/>
        <v>1</v>
      </c>
      <c r="AZ51" s="902">
        <f t="shared" si="75"/>
        <v>1</v>
      </c>
      <c r="BA51" s="902">
        <f t="shared" si="75"/>
        <v>3</v>
      </c>
      <c r="BB51" s="902">
        <f t="shared" si="75"/>
        <v>3</v>
      </c>
      <c r="BC51" s="902">
        <f t="shared" si="75"/>
        <v>1</v>
      </c>
      <c r="BD51" s="902">
        <f t="shared" si="75"/>
        <v>2</v>
      </c>
      <c r="BE51" s="902">
        <f t="shared" si="75"/>
        <v>0</v>
      </c>
      <c r="BF51" s="902">
        <f t="shared" si="75"/>
        <v>2</v>
      </c>
      <c r="BG51" s="902">
        <f t="shared" si="75"/>
        <v>5</v>
      </c>
      <c r="BH51" s="889">
        <f>'Forecast Assumptions'!F11</f>
        <v>7</v>
      </c>
      <c r="BI51" s="889">
        <f>'Forecast Assumptions'!G11</f>
        <v>7</v>
      </c>
      <c r="BJ51" s="889">
        <f>'Forecast Assumptions'!H11</f>
        <v>4</v>
      </c>
      <c r="BK51" s="889">
        <f>'Forecast Assumptions'!I11</f>
        <v>5</v>
      </c>
      <c r="BL51" s="890">
        <f>'Forecast Assumptions'!J11</f>
        <v>5</v>
      </c>
      <c r="BM51" s="594"/>
    </row>
    <row r="52" spans="1:65" ht="16" thickBot="1" x14ac:dyDescent="0.25">
      <c r="A52" s="594"/>
      <c r="B52" s="1345" t="s">
        <v>327</v>
      </c>
      <c r="C52" s="1346"/>
      <c r="D52" s="1346"/>
      <c r="E52" s="1346"/>
      <c r="F52" s="1346"/>
      <c r="G52" s="1346"/>
      <c r="H52" s="1346"/>
      <c r="I52" s="1346"/>
      <c r="J52" s="1346"/>
      <c r="K52" s="1346"/>
      <c r="L52" s="1346"/>
      <c r="M52" s="1346"/>
      <c r="N52" s="1345"/>
      <c r="O52" s="1346"/>
      <c r="P52" s="1346"/>
      <c r="Q52" s="1346"/>
      <c r="R52" s="1346"/>
      <c r="S52" s="1347">
        <f t="shared" ref="S52:BG52" si="76">S12+S44</f>
        <v>1</v>
      </c>
      <c r="T52" s="1347">
        <f t="shared" si="76"/>
        <v>1</v>
      </c>
      <c r="U52" s="1347">
        <f t="shared" si="76"/>
        <v>1</v>
      </c>
      <c r="V52" s="1347">
        <f t="shared" si="76"/>
        <v>1</v>
      </c>
      <c r="W52" s="1347">
        <f t="shared" si="76"/>
        <v>2</v>
      </c>
      <c r="X52" s="1347">
        <f t="shared" si="76"/>
        <v>2</v>
      </c>
      <c r="Y52" s="1347">
        <f t="shared" si="76"/>
        <v>13</v>
      </c>
      <c r="Z52" s="1347">
        <f t="shared" si="76"/>
        <v>13</v>
      </c>
      <c r="AA52" s="1347">
        <f t="shared" si="76"/>
        <v>13</v>
      </c>
      <c r="AB52" s="1347">
        <f t="shared" si="76"/>
        <v>14</v>
      </c>
      <c r="AC52" s="1347">
        <f t="shared" si="76"/>
        <v>14</v>
      </c>
      <c r="AD52" s="1347">
        <f t="shared" si="76"/>
        <v>14</v>
      </c>
      <c r="AE52" s="1347">
        <f t="shared" si="76"/>
        <v>14</v>
      </c>
      <c r="AF52" s="1347">
        <f t="shared" si="76"/>
        <v>15</v>
      </c>
      <c r="AG52" s="1347">
        <f t="shared" si="76"/>
        <v>17</v>
      </c>
      <c r="AH52" s="1347">
        <f t="shared" si="76"/>
        <v>17</v>
      </c>
      <c r="AI52" s="1347">
        <f t="shared" si="76"/>
        <v>17</v>
      </c>
      <c r="AJ52" s="1347">
        <f t="shared" si="76"/>
        <v>17</v>
      </c>
      <c r="AK52" s="1347">
        <f t="shared" si="76"/>
        <v>42</v>
      </c>
      <c r="AL52" s="1347">
        <f t="shared" si="76"/>
        <v>64</v>
      </c>
      <c r="AM52" s="1347">
        <f t="shared" si="76"/>
        <v>64</v>
      </c>
      <c r="AN52" s="1347">
        <f t="shared" si="76"/>
        <v>65</v>
      </c>
      <c r="AO52" s="1347">
        <f t="shared" si="76"/>
        <v>65</v>
      </c>
      <c r="AP52" s="1347">
        <f t="shared" si="76"/>
        <v>66</v>
      </c>
      <c r="AQ52" s="1347">
        <f t="shared" si="76"/>
        <v>66</v>
      </c>
      <c r="AR52" s="1347">
        <f t="shared" si="76"/>
        <v>66</v>
      </c>
      <c r="AS52" s="1347">
        <f t="shared" si="76"/>
        <v>66</v>
      </c>
      <c r="AT52" s="1347">
        <f t="shared" si="76"/>
        <v>67</v>
      </c>
      <c r="AU52" s="1347">
        <f t="shared" si="76"/>
        <v>69</v>
      </c>
      <c r="AV52" s="1347">
        <f t="shared" si="76"/>
        <v>71</v>
      </c>
      <c r="AW52" s="1347">
        <f t="shared" si="76"/>
        <v>71</v>
      </c>
      <c r="AX52" s="1347">
        <f t="shared" si="76"/>
        <v>69</v>
      </c>
      <c r="AY52" s="1347">
        <f t="shared" si="76"/>
        <v>70</v>
      </c>
      <c r="AZ52" s="1347">
        <f t="shared" si="76"/>
        <v>71</v>
      </c>
      <c r="BA52" s="1347">
        <f t="shared" si="76"/>
        <v>74</v>
      </c>
      <c r="BB52" s="1347">
        <f t="shared" si="76"/>
        <v>74</v>
      </c>
      <c r="BC52" s="1347">
        <f t="shared" si="76"/>
        <v>75</v>
      </c>
      <c r="BD52" s="1347">
        <f t="shared" si="76"/>
        <v>77</v>
      </c>
      <c r="BE52" s="1347">
        <f t="shared" si="76"/>
        <v>77</v>
      </c>
      <c r="BF52" s="1347">
        <f t="shared" si="76"/>
        <v>79</v>
      </c>
      <c r="BG52" s="1347">
        <f t="shared" si="76"/>
        <v>79</v>
      </c>
      <c r="BH52" s="1347">
        <f>BG52+BH51</f>
        <v>86</v>
      </c>
      <c r="BI52" s="1347">
        <f>BH52+BI51</f>
        <v>93</v>
      </c>
      <c r="BJ52" s="1347">
        <f>BI52+BJ51</f>
        <v>97</v>
      </c>
      <c r="BK52" s="1347">
        <f>BJ52+BK51</f>
        <v>102</v>
      </c>
      <c r="BL52" s="1348">
        <f>BK52+BL51</f>
        <v>107</v>
      </c>
      <c r="BM52" s="594"/>
    </row>
    <row r="53" spans="1:65" x14ac:dyDescent="0.2">
      <c r="A53" s="594"/>
      <c r="BM53" s="594"/>
    </row>
    <row r="54" spans="1:65" x14ac:dyDescent="0.2">
      <c r="A54" s="594"/>
      <c r="B54" s="594"/>
      <c r="C54" s="594"/>
      <c r="D54" s="594"/>
      <c r="E54" s="594"/>
      <c r="F54" s="594"/>
      <c r="G54" s="594"/>
      <c r="H54" s="594"/>
      <c r="I54" s="594"/>
      <c r="J54" s="594"/>
      <c r="K54" s="594"/>
      <c r="L54" s="594"/>
      <c r="M54" s="594"/>
      <c r="N54" s="594"/>
      <c r="O54" s="594"/>
      <c r="P54" s="594"/>
      <c r="Q54" s="594"/>
      <c r="R54" s="594"/>
      <c r="S54" s="594"/>
      <c r="T54" s="594"/>
      <c r="U54" s="594"/>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594"/>
      <c r="BJ54" s="594"/>
      <c r="BK54" s="594"/>
      <c r="BL54" s="594"/>
      <c r="BM54" s="594"/>
    </row>
    <row r="55" spans="1:65" x14ac:dyDescent="0.2">
      <c r="A55" s="594"/>
      <c r="B55" s="594"/>
      <c r="C55" s="594"/>
      <c r="D55" s="594"/>
      <c r="E55" s="594"/>
      <c r="F55" s="594"/>
      <c r="G55" s="594"/>
      <c r="H55" s="594"/>
      <c r="I55" s="594"/>
      <c r="J55" s="594"/>
      <c r="K55" s="594"/>
      <c r="L55" s="594"/>
      <c r="M55" s="594"/>
      <c r="N55" s="594"/>
      <c r="O55" s="594"/>
      <c r="P55" s="594"/>
      <c r="Q55" s="594"/>
      <c r="R55" s="594"/>
      <c r="S55" s="594"/>
      <c r="T55" s="594"/>
      <c r="U55" s="594"/>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594"/>
      <c r="BJ55" s="594"/>
      <c r="BK55" s="594"/>
      <c r="BL55" s="594"/>
      <c r="BM55" s="594"/>
    </row>
    <row r="56" spans="1:65" x14ac:dyDescent="0.2">
      <c r="A56" s="594"/>
      <c r="B56" s="594"/>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594"/>
      <c r="BJ56" s="594"/>
      <c r="BK56" s="594"/>
      <c r="BL56" s="594"/>
      <c r="BM56" s="594"/>
    </row>
    <row r="57" spans="1:65" x14ac:dyDescent="0.2">
      <c r="A57" s="594"/>
      <c r="B57" s="594"/>
      <c r="C57" s="594"/>
      <c r="D57" s="594"/>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594"/>
      <c r="BJ57" s="594"/>
      <c r="BK57" s="594"/>
      <c r="BL57" s="594"/>
      <c r="BM57" s="594"/>
    </row>
  </sheetData>
  <mergeCells count="2">
    <mergeCell ref="N2:BG2"/>
    <mergeCell ref="BH4:BL4"/>
  </mergeCells>
  <pageMargins left="0.7" right="0.7" top="0.75" bottom="0.75" header="0.3" footer="0.3"/>
  <pageSetup orientation="portrait" horizontalDpi="1200" verticalDpi="1200" r:id="rId1"/>
  <ignoredErrors>
    <ignoredError sqref="J9:BG13 N21:BL48 N50:BL52 N49:BH49 BJ49:BL49"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C592-F0AB-42B4-B5AD-491714333CA7}">
  <dimension ref="B3:BE38"/>
  <sheetViews>
    <sheetView showGridLines="0" zoomScale="73" workbookViewId="0">
      <selection activeCell="AF24" sqref="AF24"/>
    </sheetView>
  </sheetViews>
  <sheetFormatPr baseColWidth="10" defaultColWidth="9.1640625" defaultRowHeight="15" outlineLevelCol="1" x14ac:dyDescent="0.2"/>
  <cols>
    <col min="1" max="1" width="9.1640625" style="689"/>
    <col min="2" max="2" width="69.5" style="689" customWidth="1"/>
    <col min="3" max="6" width="0" style="689" hidden="1" customWidth="1" outlineLevel="1"/>
    <col min="7" max="7" width="9.1640625" style="689" collapsed="1"/>
    <col min="8" max="11" width="9.1640625" style="689" hidden="1" customWidth="1" outlineLevel="1"/>
    <col min="12" max="12" width="9.1640625" style="689" collapsed="1"/>
    <col min="13" max="16" width="0" style="689" hidden="1" customWidth="1" outlineLevel="1"/>
    <col min="17" max="17" width="9.1640625" style="689" collapsed="1"/>
    <col min="18" max="21" width="0" style="689" hidden="1" customWidth="1" outlineLevel="1"/>
    <col min="22" max="22" width="9.1640625" style="689" collapsed="1"/>
    <col min="23" max="26" width="0" style="689" hidden="1" customWidth="1" outlineLevel="1"/>
    <col min="27" max="27" width="9.1640625" style="689" collapsed="1"/>
    <col min="28" max="31" width="0" style="689" hidden="1" customWidth="1" outlineLevel="1"/>
    <col min="32" max="32" width="9.1640625" style="689" collapsed="1"/>
    <col min="33" max="36" width="0" style="689" hidden="1" customWidth="1" outlineLevel="1"/>
    <col min="37" max="37" width="9.1640625" style="689" collapsed="1"/>
    <col min="38" max="41" width="0" style="689" hidden="1" customWidth="1" outlineLevel="1"/>
    <col min="42" max="42" width="9.1640625" style="689" collapsed="1"/>
    <col min="43" max="46" width="9.1640625" style="689" hidden="1" customWidth="1" outlineLevel="1"/>
    <col min="47" max="47" width="9.1640625" style="689" collapsed="1"/>
    <col min="48" max="51" width="9.1640625" style="689" hidden="1" customWidth="1" outlineLevel="1"/>
    <col min="52" max="52" width="9.1640625" style="689" collapsed="1"/>
    <col min="53" max="53" width="9.5" style="689" bestFit="1" customWidth="1"/>
    <col min="54" max="16384" width="9.1640625" style="689"/>
  </cols>
  <sheetData>
    <row r="3" spans="2:57" ht="16" thickBot="1" x14ac:dyDescent="0.25"/>
    <row r="4" spans="2:57" x14ac:dyDescent="0.2">
      <c r="B4" s="1510" t="s">
        <v>155</v>
      </c>
      <c r="C4" s="1511">
        <v>41730</v>
      </c>
      <c r="D4" s="1511">
        <v>41821</v>
      </c>
      <c r="E4" s="1511">
        <v>41912</v>
      </c>
      <c r="F4" s="1511">
        <v>42003</v>
      </c>
      <c r="G4" s="1511">
        <v>42003</v>
      </c>
      <c r="H4" s="1511">
        <v>42094</v>
      </c>
      <c r="I4" s="1511">
        <v>42185</v>
      </c>
      <c r="J4" s="1511">
        <v>42276</v>
      </c>
      <c r="K4" s="1511">
        <v>42367</v>
      </c>
      <c r="L4" s="1511">
        <v>42367</v>
      </c>
      <c r="M4" s="1511">
        <v>42458</v>
      </c>
      <c r="N4" s="1511">
        <v>42549</v>
      </c>
      <c r="O4" s="1511">
        <v>42640</v>
      </c>
      <c r="P4" s="1511">
        <v>42738</v>
      </c>
      <c r="Q4" s="1511">
        <v>42738</v>
      </c>
      <c r="R4" s="1511">
        <v>42829</v>
      </c>
      <c r="S4" s="1511">
        <v>42920</v>
      </c>
      <c r="T4" s="1511">
        <v>43011</v>
      </c>
      <c r="U4" s="1511">
        <v>43102</v>
      </c>
      <c r="V4" s="1511">
        <v>43102</v>
      </c>
      <c r="W4" s="1511">
        <v>43193</v>
      </c>
      <c r="X4" s="1511">
        <v>43284</v>
      </c>
      <c r="Y4" s="1511">
        <v>43375</v>
      </c>
      <c r="Z4" s="1511">
        <v>43466</v>
      </c>
      <c r="AA4" s="1511">
        <v>43466</v>
      </c>
      <c r="AB4" s="1511">
        <v>43557</v>
      </c>
      <c r="AC4" s="1511">
        <v>43648</v>
      </c>
      <c r="AD4" s="1511">
        <v>43739</v>
      </c>
      <c r="AE4" s="1511">
        <v>43830</v>
      </c>
      <c r="AF4" s="1511">
        <v>43830</v>
      </c>
      <c r="AG4" s="1511">
        <v>43921</v>
      </c>
      <c r="AH4" s="1511">
        <v>44012</v>
      </c>
      <c r="AI4" s="1511">
        <v>44103</v>
      </c>
      <c r="AJ4" s="1511">
        <v>44194</v>
      </c>
      <c r="AK4" s="1511">
        <v>44194</v>
      </c>
      <c r="AL4" s="1511">
        <v>44285</v>
      </c>
      <c r="AM4" s="1511">
        <v>44376</v>
      </c>
      <c r="AN4" s="1511">
        <v>44467</v>
      </c>
      <c r="AO4" s="1511">
        <v>44558</v>
      </c>
      <c r="AP4" s="1511">
        <v>44558</v>
      </c>
      <c r="AQ4" s="1511">
        <v>44649</v>
      </c>
      <c r="AR4" s="1511">
        <v>44740</v>
      </c>
      <c r="AS4" s="1511">
        <v>44831</v>
      </c>
      <c r="AT4" s="1511">
        <v>44929</v>
      </c>
      <c r="AU4" s="1511">
        <v>44929</v>
      </c>
      <c r="AV4" s="1511">
        <v>45019</v>
      </c>
      <c r="AW4" s="1511">
        <v>45111</v>
      </c>
      <c r="AX4" s="1511">
        <v>45202</v>
      </c>
      <c r="AY4" s="1511">
        <v>45293</v>
      </c>
      <c r="AZ4" s="638">
        <v>45293</v>
      </c>
      <c r="BA4" s="1326"/>
      <c r="BB4" s="1326"/>
      <c r="BC4" s="1326"/>
      <c r="BD4" s="1326"/>
      <c r="BE4" s="1327"/>
    </row>
    <row r="5" spans="2:57" x14ac:dyDescent="0.2">
      <c r="B5" s="1512"/>
      <c r="C5" s="592" t="s">
        <v>157</v>
      </c>
      <c r="D5" s="592" t="s">
        <v>158</v>
      </c>
      <c r="E5" s="592" t="s">
        <v>159</v>
      </c>
      <c r="F5" s="592" t="s">
        <v>160</v>
      </c>
      <c r="G5" s="593" t="s">
        <v>161</v>
      </c>
      <c r="H5" s="593" t="s">
        <v>162</v>
      </c>
      <c r="I5" s="593" t="s">
        <v>163</v>
      </c>
      <c r="J5" s="593" t="s">
        <v>164</v>
      </c>
      <c r="K5" s="593" t="s">
        <v>165</v>
      </c>
      <c r="L5" s="593" t="s">
        <v>166</v>
      </c>
      <c r="M5" s="593" t="s">
        <v>167</v>
      </c>
      <c r="N5" s="593" t="s">
        <v>168</v>
      </c>
      <c r="O5" s="593" t="s">
        <v>169</v>
      </c>
      <c r="P5" s="593" t="s">
        <v>170</v>
      </c>
      <c r="Q5" s="593" t="s">
        <v>171</v>
      </c>
      <c r="R5" s="593" t="s">
        <v>172</v>
      </c>
      <c r="S5" s="593" t="s">
        <v>173</v>
      </c>
      <c r="T5" s="593" t="s">
        <v>174</v>
      </c>
      <c r="U5" s="593" t="s">
        <v>175</v>
      </c>
      <c r="V5" s="593" t="s">
        <v>176</v>
      </c>
      <c r="W5" s="593" t="s">
        <v>177</v>
      </c>
      <c r="X5" s="593" t="s">
        <v>178</v>
      </c>
      <c r="Y5" s="593" t="s">
        <v>179</v>
      </c>
      <c r="Z5" s="593" t="s">
        <v>180</v>
      </c>
      <c r="AA5" s="593" t="s">
        <v>181</v>
      </c>
      <c r="AB5" s="593" t="s">
        <v>182</v>
      </c>
      <c r="AC5" s="593" t="s">
        <v>183</v>
      </c>
      <c r="AD5" s="593" t="s">
        <v>184</v>
      </c>
      <c r="AE5" s="593" t="s">
        <v>185</v>
      </c>
      <c r="AF5" s="593" t="s">
        <v>186</v>
      </c>
      <c r="AG5" s="593" t="s">
        <v>187</v>
      </c>
      <c r="AH5" s="593" t="s">
        <v>188</v>
      </c>
      <c r="AI5" s="593" t="s">
        <v>189</v>
      </c>
      <c r="AJ5" s="593" t="s">
        <v>190</v>
      </c>
      <c r="AK5" s="593" t="s">
        <v>191</v>
      </c>
      <c r="AL5" s="593" t="s">
        <v>192</v>
      </c>
      <c r="AM5" s="593" t="s">
        <v>193</v>
      </c>
      <c r="AN5" s="593" t="s">
        <v>194</v>
      </c>
      <c r="AO5" s="593" t="s">
        <v>195</v>
      </c>
      <c r="AP5" s="593" t="s">
        <v>196</v>
      </c>
      <c r="AQ5" s="593" t="s">
        <v>197</v>
      </c>
      <c r="AR5" s="593" t="s">
        <v>198</v>
      </c>
      <c r="AS5" s="593" t="s">
        <v>199</v>
      </c>
      <c r="AT5" s="593" t="s">
        <v>200</v>
      </c>
      <c r="AU5" s="593" t="s">
        <v>201</v>
      </c>
      <c r="AV5" s="593" t="s">
        <v>202</v>
      </c>
      <c r="AW5" s="593" t="s">
        <v>203</v>
      </c>
      <c r="AX5" s="593" t="s">
        <v>204</v>
      </c>
      <c r="AY5" s="593" t="s">
        <v>205</v>
      </c>
      <c r="AZ5" s="593" t="s">
        <v>206</v>
      </c>
      <c r="BA5" s="593" t="s">
        <v>207</v>
      </c>
      <c r="BB5" s="593" t="s">
        <v>208</v>
      </c>
      <c r="BC5" s="593" t="s">
        <v>209</v>
      </c>
      <c r="BD5" s="593" t="s">
        <v>210</v>
      </c>
      <c r="BE5" s="640" t="s">
        <v>211</v>
      </c>
    </row>
    <row r="6" spans="2:57" x14ac:dyDescent="0.2">
      <c r="B6" s="690"/>
      <c r="BE6" s="1328"/>
    </row>
    <row r="7" spans="2:57" x14ac:dyDescent="0.2">
      <c r="B7" s="1513" t="s">
        <v>328</v>
      </c>
      <c r="C7" s="1360"/>
      <c r="D7" s="1360"/>
      <c r="E7" s="1360"/>
      <c r="F7" s="1360"/>
      <c r="G7" s="1360"/>
      <c r="H7" s="1360"/>
      <c r="I7" s="1360"/>
      <c r="J7" s="1360"/>
      <c r="K7" s="1360"/>
      <c r="L7" s="1360"/>
      <c r="M7" s="1360"/>
      <c r="N7" s="1360"/>
      <c r="O7" s="1360"/>
      <c r="P7" s="1360"/>
      <c r="Q7" s="1360"/>
      <c r="R7" s="1360"/>
      <c r="S7" s="1360"/>
      <c r="T7" s="1360"/>
      <c r="U7" s="1360"/>
      <c r="V7" s="1360"/>
      <c r="W7" s="1360"/>
      <c r="X7" s="1360"/>
      <c r="Y7" s="1360"/>
      <c r="Z7" s="1360"/>
      <c r="AA7" s="1360"/>
      <c r="AB7" s="1360"/>
      <c r="AC7" s="1360"/>
      <c r="AD7" s="1360"/>
      <c r="AE7" s="1360"/>
      <c r="AF7" s="1360"/>
      <c r="AG7" s="1360"/>
      <c r="AH7" s="1360"/>
      <c r="AI7" s="1360"/>
      <c r="AJ7" s="1360"/>
      <c r="AK7" s="1360"/>
      <c r="AL7" s="1360"/>
      <c r="AM7" s="1360"/>
      <c r="AN7" s="1360"/>
      <c r="AO7" s="1360"/>
      <c r="AP7" s="1360"/>
      <c r="AQ7" s="1360"/>
      <c r="AR7" s="1360"/>
      <c r="AS7" s="1360"/>
      <c r="AT7" s="1360"/>
      <c r="AU7" s="1360"/>
      <c r="AV7" s="1360"/>
      <c r="AW7" s="1360"/>
      <c r="AX7" s="1360"/>
      <c r="AY7" s="1360"/>
      <c r="AZ7" s="1360"/>
      <c r="BA7" s="1360"/>
      <c r="BB7" s="1360"/>
      <c r="BC7" s="1360"/>
      <c r="BD7" s="1360"/>
      <c r="BE7" s="1361"/>
    </row>
    <row r="8" spans="2:57" x14ac:dyDescent="0.2">
      <c r="B8" s="690"/>
      <c r="BE8" s="1328"/>
    </row>
    <row r="9" spans="2:57" x14ac:dyDescent="0.2">
      <c r="B9" s="690"/>
      <c r="BE9" s="1328"/>
    </row>
    <row r="10" spans="2:57" ht="16" thickBot="1" x14ac:dyDescent="0.25">
      <c r="B10" s="690"/>
      <c r="BE10" s="1328"/>
    </row>
    <row r="11" spans="2:57" x14ac:dyDescent="0.2">
      <c r="B11" s="1362" t="s">
        <v>329</v>
      </c>
      <c r="C11" s="1329"/>
      <c r="D11" s="1329"/>
      <c r="E11" s="1329"/>
      <c r="F11" s="1329"/>
      <c r="G11" s="1398"/>
      <c r="H11" s="1399"/>
      <c r="I11" s="1399"/>
      <c r="J11" s="1399"/>
      <c r="K11" s="1399"/>
      <c r="L11" s="1400">
        <v>1</v>
      </c>
      <c r="M11" s="1399"/>
      <c r="N11" s="1399"/>
      <c r="O11" s="1399"/>
      <c r="P11" s="1399"/>
      <c r="Q11" s="1400">
        <v>1</v>
      </c>
      <c r="R11" s="1399"/>
      <c r="S11" s="1399"/>
      <c r="T11" s="1399"/>
      <c r="U11" s="1399"/>
      <c r="V11" s="1400">
        <v>1</v>
      </c>
      <c r="W11" s="1399"/>
      <c r="X11" s="1399"/>
      <c r="Y11" s="1399"/>
      <c r="Z11" s="1399"/>
      <c r="AA11" s="1400">
        <v>2</v>
      </c>
      <c r="AB11" s="1399"/>
      <c r="AC11" s="1399"/>
      <c r="AD11" s="1399"/>
      <c r="AE11" s="1399"/>
      <c r="AF11" s="1400">
        <v>4</v>
      </c>
      <c r="AG11" s="1399"/>
      <c r="AH11" s="1399"/>
      <c r="AI11" s="1399"/>
      <c r="AJ11" s="1399"/>
      <c r="AK11" s="1400">
        <v>4</v>
      </c>
      <c r="AL11" s="1399"/>
      <c r="AM11" s="1399"/>
      <c r="AN11" s="1399"/>
      <c r="AO11" s="1399"/>
      <c r="AP11" s="1400">
        <v>4</v>
      </c>
      <c r="AQ11" s="1399"/>
      <c r="AR11" s="1399"/>
      <c r="AS11" s="1399"/>
      <c r="AT11" s="1399"/>
      <c r="AU11" s="1400">
        <v>4</v>
      </c>
      <c r="AV11" s="1399"/>
      <c r="AW11" s="1399"/>
      <c r="AX11" s="1399"/>
      <c r="AY11" s="1399"/>
      <c r="AZ11" s="1400">
        <v>4</v>
      </c>
      <c r="BA11" s="1401">
        <v>5</v>
      </c>
      <c r="BB11" s="1401">
        <v>5</v>
      </c>
      <c r="BC11" s="1401">
        <v>5</v>
      </c>
      <c r="BD11" s="1401">
        <v>5</v>
      </c>
      <c r="BE11" s="1402">
        <v>5</v>
      </c>
    </row>
    <row r="12" spans="2:57" x14ac:dyDescent="0.2">
      <c r="B12" s="1362" t="s">
        <v>330</v>
      </c>
      <c r="C12" s="1329"/>
      <c r="D12" s="1329"/>
      <c r="E12" s="1329"/>
      <c r="F12" s="1329"/>
      <c r="G12" s="1403"/>
      <c r="H12" s="1404"/>
      <c r="I12" s="1404"/>
      <c r="J12" s="1404"/>
      <c r="K12" s="1404"/>
      <c r="L12" s="1369">
        <v>3</v>
      </c>
      <c r="M12" s="1404"/>
      <c r="N12" s="1404"/>
      <c r="O12" s="1404"/>
      <c r="P12" s="1404"/>
      <c r="Q12" s="1369">
        <v>3</v>
      </c>
      <c r="R12" s="1404"/>
      <c r="S12" s="1404"/>
      <c r="T12" s="1404"/>
      <c r="U12" s="1404"/>
      <c r="V12" s="1369">
        <v>3</v>
      </c>
      <c r="W12" s="1404"/>
      <c r="X12" s="1404"/>
      <c r="Y12" s="1404"/>
      <c r="Z12" s="1404"/>
      <c r="AA12" s="1369">
        <v>3</v>
      </c>
      <c r="AB12" s="1404"/>
      <c r="AC12" s="1404"/>
      <c r="AD12" s="1404"/>
      <c r="AE12" s="1404"/>
      <c r="AF12" s="1369">
        <v>3</v>
      </c>
      <c r="AG12" s="1404"/>
      <c r="AH12" s="1404"/>
      <c r="AI12" s="1404"/>
      <c r="AJ12" s="1404"/>
      <c r="AK12" s="1369">
        <v>3</v>
      </c>
      <c r="AL12" s="1404"/>
      <c r="AM12" s="1404"/>
      <c r="AN12" s="1404"/>
      <c r="AO12" s="1404"/>
      <c r="AP12" s="1369">
        <v>3</v>
      </c>
      <c r="AQ12" s="1404"/>
      <c r="AR12" s="1404"/>
      <c r="AS12" s="1404"/>
      <c r="AT12" s="1404"/>
      <c r="AU12" s="1369">
        <v>3</v>
      </c>
      <c r="AV12" s="1404"/>
      <c r="AW12" s="1404"/>
      <c r="AX12" s="1404"/>
      <c r="AY12" s="1404"/>
      <c r="AZ12" s="1369">
        <v>3</v>
      </c>
      <c r="BA12" s="1370">
        <v>3</v>
      </c>
      <c r="BB12" s="1370">
        <v>3</v>
      </c>
      <c r="BC12" s="1370">
        <v>3</v>
      </c>
      <c r="BD12" s="1370">
        <v>3</v>
      </c>
      <c r="BE12" s="1371">
        <v>3</v>
      </c>
    </row>
    <row r="13" spans="2:57" x14ac:dyDescent="0.2">
      <c r="B13" s="1362" t="s">
        <v>331</v>
      </c>
      <c r="C13" s="1329"/>
      <c r="D13" s="1329"/>
      <c r="E13" s="1329"/>
      <c r="F13" s="1329"/>
      <c r="G13" s="1403"/>
      <c r="H13" s="1404"/>
      <c r="I13" s="1404"/>
      <c r="J13" s="1404"/>
      <c r="K13" s="1404"/>
      <c r="L13" s="1369">
        <v>1</v>
      </c>
      <c r="M13" s="1404"/>
      <c r="N13" s="1404"/>
      <c r="O13" s="1404"/>
      <c r="P13" s="1404"/>
      <c r="Q13" s="1369">
        <v>1</v>
      </c>
      <c r="R13" s="1404"/>
      <c r="S13" s="1404"/>
      <c r="T13" s="1404"/>
      <c r="U13" s="1404"/>
      <c r="V13" s="1369">
        <v>1</v>
      </c>
      <c r="W13" s="1404"/>
      <c r="X13" s="1404"/>
      <c r="Y13" s="1404"/>
      <c r="Z13" s="1404"/>
      <c r="AA13" s="1369">
        <v>1</v>
      </c>
      <c r="AB13" s="1404"/>
      <c r="AC13" s="1404"/>
      <c r="AD13" s="1404"/>
      <c r="AE13" s="1404"/>
      <c r="AF13" s="1372"/>
      <c r="AG13" s="1404"/>
      <c r="AH13" s="1404"/>
      <c r="AI13" s="1404"/>
      <c r="AJ13" s="1404"/>
      <c r="AK13" s="1372"/>
      <c r="AL13" s="1404"/>
      <c r="AM13" s="1404"/>
      <c r="AN13" s="1404"/>
      <c r="AO13" s="1404"/>
      <c r="AP13" s="1372"/>
      <c r="AQ13" s="1404"/>
      <c r="AR13" s="1404"/>
      <c r="AS13" s="1404"/>
      <c r="AT13" s="1404"/>
      <c r="AU13" s="1372"/>
      <c r="AV13" s="1404"/>
      <c r="AW13" s="1404"/>
      <c r="AX13" s="1404"/>
      <c r="AY13" s="1404"/>
      <c r="AZ13" s="1372"/>
      <c r="BA13" s="1370">
        <v>0</v>
      </c>
      <c r="BB13" s="1370">
        <v>0</v>
      </c>
      <c r="BC13" s="1370">
        <v>0</v>
      </c>
      <c r="BD13" s="1370">
        <v>0</v>
      </c>
      <c r="BE13" s="1371">
        <v>0</v>
      </c>
    </row>
    <row r="14" spans="2:57" x14ac:dyDescent="0.2">
      <c r="B14" s="1362" t="s">
        <v>332</v>
      </c>
      <c r="C14" s="1329"/>
      <c r="D14" s="1329"/>
      <c r="E14" s="1329"/>
      <c r="F14" s="1329"/>
      <c r="G14" s="1403"/>
      <c r="H14" s="1404"/>
      <c r="I14" s="1404"/>
      <c r="J14" s="1404"/>
      <c r="K14" s="1404"/>
      <c r="L14" s="1372"/>
      <c r="M14" s="1404"/>
      <c r="N14" s="1404"/>
      <c r="O14" s="1404"/>
      <c r="P14" s="1404"/>
      <c r="Q14" s="1369">
        <v>1</v>
      </c>
      <c r="R14" s="1404"/>
      <c r="S14" s="1404"/>
      <c r="T14" s="1404"/>
      <c r="U14" s="1404"/>
      <c r="V14" s="1369">
        <v>3</v>
      </c>
      <c r="W14" s="1404"/>
      <c r="X14" s="1404"/>
      <c r="Y14" s="1404"/>
      <c r="Z14" s="1404"/>
      <c r="AA14" s="1369">
        <v>3</v>
      </c>
      <c r="AB14" s="1404"/>
      <c r="AC14" s="1404"/>
      <c r="AD14" s="1404"/>
      <c r="AE14" s="1404"/>
      <c r="AF14" s="1369">
        <v>3</v>
      </c>
      <c r="AG14" s="1404"/>
      <c r="AH14" s="1404"/>
      <c r="AI14" s="1404"/>
      <c r="AJ14" s="1404"/>
      <c r="AK14" s="1369">
        <v>3</v>
      </c>
      <c r="AL14" s="1404"/>
      <c r="AM14" s="1404"/>
      <c r="AN14" s="1404"/>
      <c r="AO14" s="1404"/>
      <c r="AP14" s="1369">
        <v>3</v>
      </c>
      <c r="AQ14" s="1404"/>
      <c r="AR14" s="1404"/>
      <c r="AS14" s="1404"/>
      <c r="AT14" s="1404"/>
      <c r="AU14" s="1369">
        <v>3</v>
      </c>
      <c r="AV14" s="1404"/>
      <c r="AW14" s="1404"/>
      <c r="AX14" s="1404"/>
      <c r="AY14" s="1404"/>
      <c r="AZ14" s="1369">
        <v>3</v>
      </c>
      <c r="BA14" s="1370">
        <v>3</v>
      </c>
      <c r="BB14" s="1370">
        <v>3</v>
      </c>
      <c r="BC14" s="1370">
        <v>3</v>
      </c>
      <c r="BD14" s="1370">
        <v>3</v>
      </c>
      <c r="BE14" s="1371">
        <v>3</v>
      </c>
    </row>
    <row r="15" spans="2:57" x14ac:dyDescent="0.2">
      <c r="B15" s="1362" t="s">
        <v>333</v>
      </c>
      <c r="C15" s="1329"/>
      <c r="D15" s="1329"/>
      <c r="E15" s="1329"/>
      <c r="F15" s="1329"/>
      <c r="G15" s="1403"/>
      <c r="H15" s="1404"/>
      <c r="I15" s="1404"/>
      <c r="J15" s="1404"/>
      <c r="K15" s="1404"/>
      <c r="L15" s="1369">
        <v>4</v>
      </c>
      <c r="M15" s="1404"/>
      <c r="N15" s="1404"/>
      <c r="O15" s="1404"/>
      <c r="P15" s="1404"/>
      <c r="Q15" s="1369">
        <v>5</v>
      </c>
      <c r="R15" s="1404"/>
      <c r="S15" s="1404"/>
      <c r="T15" s="1404"/>
      <c r="U15" s="1404"/>
      <c r="V15" s="1369">
        <v>5</v>
      </c>
      <c r="W15" s="1404"/>
      <c r="X15" s="1404"/>
      <c r="Y15" s="1404"/>
      <c r="Z15" s="1404"/>
      <c r="AA15" s="1369">
        <v>5</v>
      </c>
      <c r="AB15" s="1404"/>
      <c r="AC15" s="1404"/>
      <c r="AD15" s="1404"/>
      <c r="AE15" s="1404"/>
      <c r="AF15" s="1369">
        <v>6</v>
      </c>
      <c r="AG15" s="1404"/>
      <c r="AH15" s="1404"/>
      <c r="AI15" s="1404"/>
      <c r="AJ15" s="1404"/>
      <c r="AK15" s="1369">
        <v>6</v>
      </c>
      <c r="AL15" s="1404"/>
      <c r="AM15" s="1404"/>
      <c r="AN15" s="1404"/>
      <c r="AO15" s="1404"/>
      <c r="AP15" s="1369">
        <v>6</v>
      </c>
      <c r="AQ15" s="1404"/>
      <c r="AR15" s="1404"/>
      <c r="AS15" s="1404"/>
      <c r="AT15" s="1404"/>
      <c r="AU15" s="1369">
        <v>6</v>
      </c>
      <c r="AV15" s="1404"/>
      <c r="AW15" s="1404"/>
      <c r="AX15" s="1404"/>
      <c r="AY15" s="1404"/>
      <c r="AZ15" s="1369">
        <v>6</v>
      </c>
      <c r="BA15" s="1370">
        <v>7</v>
      </c>
      <c r="BB15" s="1370">
        <v>7</v>
      </c>
      <c r="BC15" s="1370">
        <v>7</v>
      </c>
      <c r="BD15" s="1370">
        <v>7</v>
      </c>
      <c r="BE15" s="1371">
        <v>7</v>
      </c>
    </row>
    <row r="16" spans="2:57" x14ac:dyDescent="0.2">
      <c r="B16" s="1362" t="s">
        <v>334</v>
      </c>
      <c r="C16" s="1329"/>
      <c r="D16" s="1329"/>
      <c r="E16" s="1329"/>
      <c r="F16" s="1329"/>
      <c r="G16" s="1403"/>
      <c r="H16" s="1404"/>
      <c r="I16" s="1404"/>
      <c r="J16" s="1404"/>
      <c r="K16" s="1404"/>
      <c r="L16" s="1372"/>
      <c r="M16" s="1404"/>
      <c r="N16" s="1404"/>
      <c r="O16" s="1404"/>
      <c r="P16" s="1404"/>
      <c r="Q16" s="1372"/>
      <c r="R16" s="1404"/>
      <c r="S16" s="1404"/>
      <c r="T16" s="1404"/>
      <c r="U16" s="1404"/>
      <c r="V16" s="1369">
        <v>1</v>
      </c>
      <c r="W16" s="1404"/>
      <c r="X16" s="1404"/>
      <c r="Y16" s="1404"/>
      <c r="Z16" s="1404"/>
      <c r="AA16" s="1369">
        <v>1</v>
      </c>
      <c r="AB16" s="1404"/>
      <c r="AC16" s="1404"/>
      <c r="AD16" s="1404"/>
      <c r="AE16" s="1404"/>
      <c r="AF16" s="1369">
        <v>1</v>
      </c>
      <c r="AG16" s="1404"/>
      <c r="AH16" s="1404"/>
      <c r="AI16" s="1404"/>
      <c r="AJ16" s="1404"/>
      <c r="AK16" s="1369">
        <v>1</v>
      </c>
      <c r="AL16" s="1404"/>
      <c r="AM16" s="1404"/>
      <c r="AN16" s="1404"/>
      <c r="AO16" s="1404"/>
      <c r="AP16" s="1369">
        <v>1</v>
      </c>
      <c r="AQ16" s="1404"/>
      <c r="AR16" s="1404"/>
      <c r="AS16" s="1404"/>
      <c r="AT16" s="1404"/>
      <c r="AU16" s="1458">
        <v>1</v>
      </c>
      <c r="AV16" s="1459"/>
      <c r="AW16" s="1459"/>
      <c r="AX16" s="1459"/>
      <c r="AY16" s="1459"/>
      <c r="AZ16" s="1458">
        <v>1</v>
      </c>
      <c r="BA16" s="1460">
        <v>1</v>
      </c>
      <c r="BB16" s="1460">
        <v>1</v>
      </c>
      <c r="BC16" s="1460">
        <v>1</v>
      </c>
      <c r="BD16" s="1460">
        <v>1</v>
      </c>
      <c r="BE16" s="1461">
        <v>1</v>
      </c>
    </row>
    <row r="17" spans="2:57" x14ac:dyDescent="0.2">
      <c r="B17" s="1514" t="s">
        <v>335</v>
      </c>
      <c r="C17" s="1330"/>
      <c r="D17" s="1330"/>
      <c r="E17" s="1330"/>
      <c r="F17" s="1330"/>
      <c r="G17" s="1405"/>
      <c r="H17" s="1374"/>
      <c r="I17" s="1374"/>
      <c r="J17" s="1374"/>
      <c r="K17" s="1374"/>
      <c r="L17" s="1515">
        <f>SUM(L11:L16)</f>
        <v>9</v>
      </c>
      <c r="M17" s="1374"/>
      <c r="N17" s="1374"/>
      <c r="O17" s="1374"/>
      <c r="P17" s="1374"/>
      <c r="Q17" s="1515">
        <f>SUM(Q11:Q16)</f>
        <v>11</v>
      </c>
      <c r="R17" s="1374"/>
      <c r="S17" s="1374"/>
      <c r="T17" s="1374"/>
      <c r="U17" s="1374"/>
      <c r="V17" s="1515">
        <f>SUM(V11:V16)</f>
        <v>14</v>
      </c>
      <c r="W17" s="1374"/>
      <c r="X17" s="1374"/>
      <c r="Y17" s="1374"/>
      <c r="Z17" s="1374"/>
      <c r="AA17" s="1515">
        <f>SUM(AA11:AA16)</f>
        <v>15</v>
      </c>
      <c r="AB17" s="1374"/>
      <c r="AC17" s="1374"/>
      <c r="AD17" s="1374"/>
      <c r="AE17" s="1374"/>
      <c r="AF17" s="1515">
        <f>SUM(AF11:AF16)</f>
        <v>17</v>
      </c>
      <c r="AG17" s="1374"/>
      <c r="AH17" s="1374"/>
      <c r="AI17" s="1374"/>
      <c r="AJ17" s="1374"/>
      <c r="AK17" s="1515">
        <f>SUM(AK11:AK16)</f>
        <v>17</v>
      </c>
      <c r="AL17" s="1374"/>
      <c r="AM17" s="1374"/>
      <c r="AN17" s="1374"/>
      <c r="AO17" s="1374"/>
      <c r="AP17" s="1373">
        <f>SUM(AP11:AP16)</f>
        <v>17</v>
      </c>
      <c r="AQ17" s="1374"/>
      <c r="AR17" s="1374"/>
      <c r="AS17" s="1374"/>
      <c r="AT17" s="1374"/>
      <c r="AU17" s="1375">
        <f>SUM(AU11:AU16)</f>
        <v>17</v>
      </c>
      <c r="AV17" s="1382"/>
      <c r="AW17" s="1382"/>
      <c r="AX17" s="1382"/>
      <c r="AY17" s="1382"/>
      <c r="AZ17" s="1375">
        <f t="shared" ref="AZ17:BE17" si="0">IFERROR(SUM(AZ11:AZ16),"n/a")</f>
        <v>17</v>
      </c>
      <c r="BA17" s="1375">
        <f t="shared" si="0"/>
        <v>19</v>
      </c>
      <c r="BB17" s="1375">
        <f>IFERROR(SUM(BB11:BB16),"n/a")</f>
        <v>19</v>
      </c>
      <c r="BC17" s="1375">
        <f t="shared" si="0"/>
        <v>19</v>
      </c>
      <c r="BD17" s="1375">
        <f t="shared" si="0"/>
        <v>19</v>
      </c>
      <c r="BE17" s="1516">
        <f t="shared" si="0"/>
        <v>19</v>
      </c>
    </row>
    <row r="18" spans="2:57" x14ac:dyDescent="0.2">
      <c r="B18" s="1517" t="s">
        <v>336</v>
      </c>
      <c r="C18" s="1331"/>
      <c r="D18" s="1331"/>
      <c r="E18" s="1331"/>
      <c r="F18" s="1331"/>
      <c r="G18" s="1406"/>
      <c r="H18" s="1382"/>
      <c r="I18" s="1382"/>
      <c r="J18" s="1382"/>
      <c r="K18" s="1382"/>
      <c r="L18" s="1376">
        <v>2</v>
      </c>
      <c r="M18" s="1382"/>
      <c r="N18" s="1382"/>
      <c r="O18" s="1382"/>
      <c r="P18" s="1382"/>
      <c r="Q18" s="1376">
        <v>3</v>
      </c>
      <c r="R18" s="1382"/>
      <c r="S18" s="1382"/>
      <c r="T18" s="1382"/>
      <c r="U18" s="1382"/>
      <c r="V18" s="1376">
        <v>3</v>
      </c>
      <c r="W18" s="1382"/>
      <c r="X18" s="1382"/>
      <c r="Y18" s="1382"/>
      <c r="Z18" s="1382"/>
      <c r="AA18" s="1376">
        <v>3</v>
      </c>
      <c r="AB18" s="1382"/>
      <c r="AC18" s="1382"/>
      <c r="AD18" s="1382"/>
      <c r="AE18" s="1382"/>
      <c r="AF18" s="1376">
        <v>5</v>
      </c>
      <c r="AG18" s="1382"/>
      <c r="AH18" s="1382"/>
      <c r="AI18" s="1382"/>
      <c r="AJ18" s="1382"/>
      <c r="AK18" s="1376">
        <v>6</v>
      </c>
      <c r="AL18" s="1382"/>
      <c r="AM18" s="1382"/>
      <c r="AN18" s="1382"/>
      <c r="AO18" s="1382"/>
      <c r="AP18" s="1376">
        <v>6</v>
      </c>
      <c r="AQ18" s="1382"/>
      <c r="AR18" s="1382"/>
      <c r="AS18" s="1382"/>
      <c r="AT18" s="1382"/>
      <c r="AU18" s="1376">
        <v>7</v>
      </c>
      <c r="AV18" s="1382"/>
      <c r="AW18" s="1382"/>
      <c r="AX18" s="1382"/>
      <c r="AY18" s="1382"/>
      <c r="AZ18" s="1376">
        <v>7</v>
      </c>
      <c r="BA18" s="1376">
        <v>8</v>
      </c>
      <c r="BB18" s="1376">
        <v>8</v>
      </c>
      <c r="BC18" s="1376">
        <v>8</v>
      </c>
      <c r="BD18" s="1376">
        <v>9</v>
      </c>
      <c r="BE18" s="1518">
        <v>9</v>
      </c>
    </row>
    <row r="19" spans="2:57" x14ac:dyDescent="0.2">
      <c r="B19" s="1362" t="s">
        <v>337</v>
      </c>
      <c r="C19" s="1329"/>
      <c r="D19" s="1329"/>
      <c r="E19" s="1329"/>
      <c r="F19" s="1329"/>
      <c r="G19" s="1403"/>
      <c r="H19" s="1404"/>
      <c r="I19" s="1404"/>
      <c r="J19" s="1404"/>
      <c r="K19" s="1404"/>
      <c r="L19" s="1372"/>
      <c r="M19" s="1404"/>
      <c r="N19" s="1404"/>
      <c r="O19" s="1404"/>
      <c r="P19" s="1404"/>
      <c r="Q19" s="1372"/>
      <c r="R19" s="1404"/>
      <c r="S19" s="1404"/>
      <c r="T19" s="1404"/>
      <c r="U19" s="1404"/>
      <c r="V19" s="1372"/>
      <c r="W19" s="1404"/>
      <c r="X19" s="1404"/>
      <c r="Y19" s="1404"/>
      <c r="Z19" s="1404"/>
      <c r="AA19" s="1372"/>
      <c r="AB19" s="1404"/>
      <c r="AC19" s="1404"/>
      <c r="AD19" s="1404"/>
      <c r="AE19" s="1404"/>
      <c r="AF19" s="1369">
        <v>1</v>
      </c>
      <c r="AG19" s="1404"/>
      <c r="AH19" s="1404"/>
      <c r="AI19" s="1404"/>
      <c r="AJ19" s="1404"/>
      <c r="AK19" s="1369">
        <v>1</v>
      </c>
      <c r="AL19" s="1404"/>
      <c r="AM19" s="1404"/>
      <c r="AN19" s="1404"/>
      <c r="AO19" s="1404"/>
      <c r="AP19" s="1369">
        <v>1</v>
      </c>
      <c r="AQ19" s="1404"/>
      <c r="AR19" s="1404"/>
      <c r="AS19" s="1404"/>
      <c r="AT19" s="1404"/>
      <c r="AU19" s="1369">
        <v>1</v>
      </c>
      <c r="AV19" s="1404"/>
      <c r="AW19" s="1404"/>
      <c r="AX19" s="1404"/>
      <c r="AY19" s="1404"/>
      <c r="AZ19" s="1369">
        <v>1</v>
      </c>
      <c r="BA19" s="1370">
        <v>1</v>
      </c>
      <c r="BB19" s="1370">
        <v>2</v>
      </c>
      <c r="BC19" s="1370">
        <v>2</v>
      </c>
      <c r="BD19" s="1370">
        <v>3</v>
      </c>
      <c r="BE19" s="1371">
        <v>3</v>
      </c>
    </row>
    <row r="20" spans="2:57" x14ac:dyDescent="0.2">
      <c r="B20" s="1362" t="s">
        <v>338</v>
      </c>
      <c r="C20" s="1329"/>
      <c r="D20" s="1329"/>
      <c r="E20" s="1329"/>
      <c r="F20" s="1329"/>
      <c r="G20" s="1403"/>
      <c r="H20" s="1404"/>
      <c r="I20" s="1404"/>
      <c r="J20" s="1404"/>
      <c r="K20" s="1404"/>
      <c r="L20" s="1372"/>
      <c r="M20" s="1404"/>
      <c r="N20" s="1404"/>
      <c r="O20" s="1404"/>
      <c r="P20" s="1404"/>
      <c r="Q20" s="1372"/>
      <c r="R20" s="1404"/>
      <c r="S20" s="1404"/>
      <c r="T20" s="1404"/>
      <c r="U20" s="1404"/>
      <c r="V20" s="1372"/>
      <c r="W20" s="1404"/>
      <c r="X20" s="1404"/>
      <c r="Y20" s="1404"/>
      <c r="Z20" s="1404"/>
      <c r="AA20" s="1372"/>
      <c r="AB20" s="1404"/>
      <c r="AC20" s="1404"/>
      <c r="AD20" s="1404"/>
      <c r="AE20" s="1404"/>
      <c r="AF20" s="1369">
        <v>1</v>
      </c>
      <c r="AG20" s="1404"/>
      <c r="AH20" s="1404"/>
      <c r="AI20" s="1404"/>
      <c r="AJ20" s="1404"/>
      <c r="AK20" s="1369">
        <v>1</v>
      </c>
      <c r="AL20" s="1404"/>
      <c r="AM20" s="1404"/>
      <c r="AN20" s="1404"/>
      <c r="AO20" s="1404"/>
      <c r="AP20" s="1369">
        <v>3</v>
      </c>
      <c r="AQ20" s="1404"/>
      <c r="AR20" s="1404"/>
      <c r="AS20" s="1404"/>
      <c r="AT20" s="1404"/>
      <c r="AU20" s="1369">
        <v>3</v>
      </c>
      <c r="AV20" s="1404"/>
      <c r="AW20" s="1404"/>
      <c r="AX20" s="1404"/>
      <c r="AY20" s="1404"/>
      <c r="AZ20" s="1369">
        <v>3</v>
      </c>
      <c r="BA20" s="1370">
        <v>3</v>
      </c>
      <c r="BB20" s="1370">
        <v>3</v>
      </c>
      <c r="BC20" s="1370">
        <v>3</v>
      </c>
      <c r="BD20" s="1370">
        <v>4</v>
      </c>
      <c r="BE20" s="1371">
        <v>4</v>
      </c>
    </row>
    <row r="21" spans="2:57" x14ac:dyDescent="0.2">
      <c r="B21" s="1363" t="s">
        <v>339</v>
      </c>
      <c r="C21" s="1332"/>
      <c r="D21" s="1332"/>
      <c r="E21" s="1332"/>
      <c r="F21" s="1332"/>
      <c r="G21" s="1407"/>
      <c r="H21" s="1378"/>
      <c r="I21" s="1378"/>
      <c r="J21" s="1378"/>
      <c r="K21" s="1378"/>
      <c r="L21" s="1377"/>
      <c r="M21" s="1378"/>
      <c r="N21" s="1378"/>
      <c r="O21" s="1378"/>
      <c r="P21" s="1378"/>
      <c r="Q21" s="1377"/>
      <c r="R21" s="1378"/>
      <c r="S21" s="1378"/>
      <c r="T21" s="1378"/>
      <c r="U21" s="1378"/>
      <c r="V21" s="1377"/>
      <c r="W21" s="1378"/>
      <c r="X21" s="1378"/>
      <c r="Y21" s="1378"/>
      <c r="Z21" s="1378"/>
      <c r="AA21" s="1377"/>
      <c r="AB21" s="1378"/>
      <c r="AC21" s="1378"/>
      <c r="AD21" s="1378"/>
      <c r="AE21" s="1378"/>
      <c r="AF21" s="1377"/>
      <c r="AG21" s="1378"/>
      <c r="AH21" s="1378"/>
      <c r="AI21" s="1378"/>
      <c r="AJ21" s="1378"/>
      <c r="AK21" s="1377"/>
      <c r="AL21" s="1378"/>
      <c r="AM21" s="1378"/>
      <c r="AN21" s="1378"/>
      <c r="AO21" s="1378"/>
      <c r="AP21" s="1377"/>
      <c r="AQ21" s="1378"/>
      <c r="AR21" s="1378"/>
      <c r="AS21" s="1378"/>
      <c r="AT21" s="1378"/>
      <c r="AU21" s="1462"/>
      <c r="AV21" s="1459"/>
      <c r="AW21" s="1459"/>
      <c r="AX21" s="1459"/>
      <c r="AY21" s="1459"/>
      <c r="AZ21" s="1458">
        <v>1</v>
      </c>
      <c r="BA21" s="1460">
        <v>1</v>
      </c>
      <c r="BB21" s="1460">
        <v>1</v>
      </c>
      <c r="BC21" s="1460">
        <v>2</v>
      </c>
      <c r="BD21" s="1460">
        <v>2</v>
      </c>
      <c r="BE21" s="1461">
        <v>3</v>
      </c>
    </row>
    <row r="22" spans="2:57" x14ac:dyDescent="0.2">
      <c r="B22" s="1362" t="s">
        <v>340</v>
      </c>
      <c r="C22" s="1329"/>
      <c r="D22" s="1329"/>
      <c r="E22" s="1329"/>
      <c r="F22" s="1329"/>
      <c r="G22" s="1403"/>
      <c r="H22" s="1404"/>
      <c r="I22" s="1404"/>
      <c r="J22" s="1404"/>
      <c r="K22" s="1404"/>
      <c r="L22" s="1372"/>
      <c r="M22" s="1404"/>
      <c r="N22" s="1404"/>
      <c r="O22" s="1404"/>
      <c r="P22" s="1404"/>
      <c r="Q22" s="1369">
        <v>1</v>
      </c>
      <c r="R22" s="1404"/>
      <c r="S22" s="1404"/>
      <c r="T22" s="1404"/>
      <c r="U22" s="1404"/>
      <c r="V22" s="1369">
        <v>2</v>
      </c>
      <c r="W22" s="1404"/>
      <c r="X22" s="1404"/>
      <c r="Y22" s="1404"/>
      <c r="Z22" s="1404"/>
      <c r="AA22" s="1369">
        <v>2</v>
      </c>
      <c r="AB22" s="1404"/>
      <c r="AC22" s="1404"/>
      <c r="AD22" s="1404"/>
      <c r="AE22" s="1404"/>
      <c r="AF22" s="1408">
        <f>SUM(AF19:AF21)</f>
        <v>2</v>
      </c>
      <c r="AG22" s="1404"/>
      <c r="AH22" s="1404"/>
      <c r="AI22" s="1404"/>
      <c r="AJ22" s="1404"/>
      <c r="AK22" s="1408">
        <f>SUM(AK19:AK21)</f>
        <v>2</v>
      </c>
      <c r="AL22" s="1404"/>
      <c r="AM22" s="1404"/>
      <c r="AN22" s="1404"/>
      <c r="AO22" s="1404"/>
      <c r="AP22" s="1372">
        <f>SUM(AP19:AP21)</f>
        <v>4</v>
      </c>
      <c r="AQ22" s="1404"/>
      <c r="AR22" s="1404"/>
      <c r="AS22" s="1404"/>
      <c r="AT22" s="1404"/>
      <c r="AU22" s="1372">
        <f>SUM(AU19:AU21)</f>
        <v>4</v>
      </c>
      <c r="AV22" s="1404"/>
      <c r="AW22" s="1404"/>
      <c r="AX22" s="1404"/>
      <c r="AY22" s="1404"/>
      <c r="AZ22" s="1372">
        <f t="shared" ref="AZ22:BE22" si="1">IFERROR(SUM(AZ19:AZ21),"n/a")</f>
        <v>5</v>
      </c>
      <c r="BA22" s="1372">
        <f t="shared" si="1"/>
        <v>5</v>
      </c>
      <c r="BB22" s="1372">
        <f t="shared" si="1"/>
        <v>6</v>
      </c>
      <c r="BC22" s="1372">
        <f t="shared" si="1"/>
        <v>7</v>
      </c>
      <c r="BD22" s="1372">
        <f t="shared" si="1"/>
        <v>9</v>
      </c>
      <c r="BE22" s="1519">
        <f t="shared" si="1"/>
        <v>10</v>
      </c>
    </row>
    <row r="23" spans="2:57" x14ac:dyDescent="0.2">
      <c r="B23" s="1362" t="s">
        <v>341</v>
      </c>
      <c r="C23" s="1329"/>
      <c r="D23" s="1329"/>
      <c r="E23" s="1329"/>
      <c r="F23" s="1329"/>
      <c r="G23" s="1403"/>
      <c r="H23" s="1404"/>
      <c r="I23" s="1404"/>
      <c r="J23" s="1404"/>
      <c r="K23" s="1404"/>
      <c r="L23" s="1372"/>
      <c r="M23" s="1404"/>
      <c r="N23" s="1404"/>
      <c r="O23" s="1404"/>
      <c r="P23" s="1404"/>
      <c r="Q23" s="1372"/>
      <c r="R23" s="1404"/>
      <c r="S23" s="1404"/>
      <c r="T23" s="1404"/>
      <c r="U23" s="1404"/>
      <c r="V23" s="1372"/>
      <c r="W23" s="1404"/>
      <c r="X23" s="1404"/>
      <c r="Y23" s="1404"/>
      <c r="Z23" s="1404"/>
      <c r="AA23" s="1372"/>
      <c r="AB23" s="1404"/>
      <c r="AC23" s="1404"/>
      <c r="AD23" s="1404"/>
      <c r="AE23" s="1404"/>
      <c r="AF23" s="1369">
        <v>1</v>
      </c>
      <c r="AG23" s="1404"/>
      <c r="AH23" s="1404"/>
      <c r="AI23" s="1404"/>
      <c r="AJ23" s="1404"/>
      <c r="AK23" s="1369">
        <v>1</v>
      </c>
      <c r="AL23" s="1404"/>
      <c r="AM23" s="1404"/>
      <c r="AN23" s="1404"/>
      <c r="AO23" s="1404"/>
      <c r="AP23" s="1369">
        <v>1</v>
      </c>
      <c r="AQ23" s="1404"/>
      <c r="AR23" s="1404"/>
      <c r="AS23" s="1404"/>
      <c r="AT23" s="1404"/>
      <c r="AU23" s="1369">
        <v>1</v>
      </c>
      <c r="AV23" s="1404"/>
      <c r="AW23" s="1404"/>
      <c r="AX23" s="1404"/>
      <c r="AY23" s="1404"/>
      <c r="AZ23" s="1369">
        <v>1</v>
      </c>
      <c r="BA23" s="1370">
        <v>1</v>
      </c>
      <c r="BB23" s="1370">
        <v>1</v>
      </c>
      <c r="BC23" s="1370">
        <v>1</v>
      </c>
      <c r="BD23" s="1370">
        <v>1</v>
      </c>
      <c r="BE23" s="1371">
        <v>1</v>
      </c>
    </row>
    <row r="24" spans="2:57" x14ac:dyDescent="0.2">
      <c r="B24" s="1363" t="s">
        <v>342</v>
      </c>
      <c r="C24" s="1332"/>
      <c r="D24" s="1332"/>
      <c r="E24" s="1332"/>
      <c r="F24" s="1332"/>
      <c r="G24" s="1407"/>
      <c r="H24" s="1378"/>
      <c r="I24" s="1378"/>
      <c r="J24" s="1378"/>
      <c r="K24" s="1378"/>
      <c r="L24" s="1377"/>
      <c r="M24" s="1378"/>
      <c r="N24" s="1378"/>
      <c r="O24" s="1378"/>
      <c r="P24" s="1378"/>
      <c r="Q24" s="1377"/>
      <c r="R24" s="1378"/>
      <c r="S24" s="1378"/>
      <c r="T24" s="1378"/>
      <c r="U24" s="1378"/>
      <c r="V24" s="1377"/>
      <c r="W24" s="1378"/>
      <c r="X24" s="1378"/>
      <c r="Y24" s="1378"/>
      <c r="Z24" s="1378"/>
      <c r="AA24" s="1377"/>
      <c r="AB24" s="1378"/>
      <c r="AC24" s="1378"/>
      <c r="AD24" s="1378"/>
      <c r="AE24" s="1378"/>
      <c r="AF24" s="1379">
        <v>1</v>
      </c>
      <c r="AG24" s="1378"/>
      <c r="AH24" s="1378"/>
      <c r="AI24" s="1378"/>
      <c r="AJ24" s="1378"/>
      <c r="AK24" s="1379">
        <v>1</v>
      </c>
      <c r="AL24" s="1378"/>
      <c r="AM24" s="1378"/>
      <c r="AN24" s="1378"/>
      <c r="AO24" s="1378"/>
      <c r="AP24" s="1379">
        <v>1</v>
      </c>
      <c r="AQ24" s="1378"/>
      <c r="AR24" s="1378"/>
      <c r="AS24" s="1378"/>
      <c r="AT24" s="1378"/>
      <c r="AU24" s="1369">
        <v>1</v>
      </c>
      <c r="AV24" s="1404"/>
      <c r="AW24" s="1404"/>
      <c r="AX24" s="1404"/>
      <c r="AY24" s="1404"/>
      <c r="AZ24" s="1369">
        <v>1</v>
      </c>
      <c r="BA24" s="1370">
        <v>1</v>
      </c>
      <c r="BB24" s="1370">
        <v>1</v>
      </c>
      <c r="BC24" s="1370">
        <v>1</v>
      </c>
      <c r="BD24" s="1370">
        <v>1</v>
      </c>
      <c r="BE24" s="1371">
        <v>1</v>
      </c>
    </row>
    <row r="25" spans="2:57" x14ac:dyDescent="0.2">
      <c r="B25" s="1362" t="s">
        <v>343</v>
      </c>
      <c r="C25" s="1329"/>
      <c r="D25" s="1329"/>
      <c r="E25" s="1329"/>
      <c r="F25" s="1329"/>
      <c r="G25" s="1403"/>
      <c r="H25" s="1404"/>
      <c r="I25" s="1404"/>
      <c r="J25" s="1404"/>
      <c r="K25" s="1404"/>
      <c r="L25" s="1372"/>
      <c r="M25" s="1404"/>
      <c r="N25" s="1404"/>
      <c r="O25" s="1404"/>
      <c r="P25" s="1404"/>
      <c r="Q25" s="1372"/>
      <c r="R25" s="1404"/>
      <c r="S25" s="1404"/>
      <c r="T25" s="1404"/>
      <c r="U25" s="1404"/>
      <c r="V25" s="1369">
        <v>1</v>
      </c>
      <c r="W25" s="1404"/>
      <c r="X25" s="1404"/>
      <c r="Y25" s="1404"/>
      <c r="Z25" s="1404"/>
      <c r="AA25" s="1369">
        <v>1</v>
      </c>
      <c r="AB25" s="1404"/>
      <c r="AC25" s="1404"/>
      <c r="AD25" s="1404"/>
      <c r="AE25" s="1404"/>
      <c r="AF25" s="1408">
        <f>SUM(AF23:AF24)</f>
        <v>2</v>
      </c>
      <c r="AG25" s="1404"/>
      <c r="AH25" s="1404"/>
      <c r="AI25" s="1404"/>
      <c r="AJ25" s="1404"/>
      <c r="AK25" s="1408">
        <f>SUM(AK23:AK24)</f>
        <v>2</v>
      </c>
      <c r="AL25" s="1404"/>
      <c r="AM25" s="1404"/>
      <c r="AN25" s="1404"/>
      <c r="AO25" s="1404"/>
      <c r="AP25" s="1372">
        <f>SUM(AP23:AP24)</f>
        <v>2</v>
      </c>
      <c r="AQ25" s="1404"/>
      <c r="AR25" s="1404"/>
      <c r="AS25" s="1404"/>
      <c r="AT25" s="1404"/>
      <c r="AU25" s="1463">
        <f>SUM(AU23:AU24)</f>
        <v>2</v>
      </c>
      <c r="AV25" s="1464"/>
      <c r="AW25" s="1464"/>
      <c r="AX25" s="1464"/>
      <c r="AY25" s="1464"/>
      <c r="AZ25" s="1463">
        <f t="shared" ref="AZ25:BE25" si="2">IFERROR(SUM(AZ23:AZ24),"n/a")</f>
        <v>2</v>
      </c>
      <c r="BA25" s="1463">
        <f t="shared" si="2"/>
        <v>2</v>
      </c>
      <c r="BB25" s="1463">
        <f t="shared" si="2"/>
        <v>2</v>
      </c>
      <c r="BC25" s="1463">
        <f t="shared" si="2"/>
        <v>2</v>
      </c>
      <c r="BD25" s="1463">
        <f t="shared" si="2"/>
        <v>2</v>
      </c>
      <c r="BE25" s="1520">
        <f t="shared" si="2"/>
        <v>2</v>
      </c>
    </row>
    <row r="26" spans="2:57" x14ac:dyDescent="0.2">
      <c r="B26" s="1514" t="s">
        <v>344</v>
      </c>
      <c r="C26" s="1330"/>
      <c r="D26" s="1330"/>
      <c r="E26" s="1330"/>
      <c r="F26" s="1330"/>
      <c r="G26" s="1405"/>
      <c r="H26" s="1374"/>
      <c r="I26" s="1374"/>
      <c r="J26" s="1374"/>
      <c r="K26" s="1374"/>
      <c r="L26" s="1515">
        <f>L25+L22</f>
        <v>0</v>
      </c>
      <c r="M26" s="1374"/>
      <c r="N26" s="1374"/>
      <c r="O26" s="1374"/>
      <c r="P26" s="1374"/>
      <c r="Q26" s="1515">
        <f>Q25+Q22</f>
        <v>1</v>
      </c>
      <c r="R26" s="1374"/>
      <c r="S26" s="1374"/>
      <c r="T26" s="1374"/>
      <c r="U26" s="1374"/>
      <c r="V26" s="1515">
        <f>V25+V22</f>
        <v>3</v>
      </c>
      <c r="W26" s="1374"/>
      <c r="X26" s="1374"/>
      <c r="Y26" s="1374"/>
      <c r="Z26" s="1374"/>
      <c r="AA26" s="1515">
        <f>AA25+AA22</f>
        <v>3</v>
      </c>
      <c r="AB26" s="1374"/>
      <c r="AC26" s="1374"/>
      <c r="AD26" s="1374"/>
      <c r="AE26" s="1374"/>
      <c r="AF26" s="1515">
        <f>AF25+AF22</f>
        <v>4</v>
      </c>
      <c r="AG26" s="1374"/>
      <c r="AH26" s="1374"/>
      <c r="AI26" s="1374"/>
      <c r="AJ26" s="1374"/>
      <c r="AK26" s="1515">
        <f>AK25+AK22</f>
        <v>4</v>
      </c>
      <c r="AL26" s="1374"/>
      <c r="AM26" s="1374"/>
      <c r="AN26" s="1374"/>
      <c r="AO26" s="1374"/>
      <c r="AP26" s="1373">
        <f>AP25+AP22</f>
        <v>6</v>
      </c>
      <c r="AQ26" s="1374"/>
      <c r="AR26" s="1374"/>
      <c r="AS26" s="1374"/>
      <c r="AT26" s="1374"/>
      <c r="AU26" s="1375">
        <f>AU25+AU22</f>
        <v>6</v>
      </c>
      <c r="AV26" s="1382"/>
      <c r="AW26" s="1382"/>
      <c r="AX26" s="1382"/>
      <c r="AY26" s="1382"/>
      <c r="AZ26" s="1375">
        <f t="shared" ref="AZ26:BE26" si="3">IFERROR(AZ25+AZ22,"n/a")</f>
        <v>7</v>
      </c>
      <c r="BA26" s="1375">
        <f t="shared" si="3"/>
        <v>7</v>
      </c>
      <c r="BB26" s="1375">
        <f t="shared" si="3"/>
        <v>8</v>
      </c>
      <c r="BC26" s="1375">
        <f t="shared" si="3"/>
        <v>9</v>
      </c>
      <c r="BD26" s="1375">
        <f t="shared" si="3"/>
        <v>11</v>
      </c>
      <c r="BE26" s="1516">
        <f t="shared" si="3"/>
        <v>12</v>
      </c>
    </row>
    <row r="27" spans="2:57" x14ac:dyDescent="0.2">
      <c r="B27" s="1521" t="s">
        <v>345</v>
      </c>
      <c r="C27" s="1333"/>
      <c r="D27" s="1333"/>
      <c r="E27" s="1333"/>
      <c r="F27" s="1333"/>
      <c r="G27" s="1409"/>
      <c r="H27" s="1381"/>
      <c r="I27" s="1381"/>
      <c r="J27" s="1381"/>
      <c r="K27" s="1381"/>
      <c r="L27" s="1380"/>
      <c r="M27" s="1381"/>
      <c r="N27" s="1381"/>
      <c r="O27" s="1381"/>
      <c r="P27" s="1381"/>
      <c r="Q27" s="1380"/>
      <c r="R27" s="1381"/>
      <c r="S27" s="1381"/>
      <c r="T27" s="1381"/>
      <c r="U27" s="1381"/>
      <c r="V27" s="1380"/>
      <c r="W27" s="1381"/>
      <c r="X27" s="1381"/>
      <c r="Y27" s="1381"/>
      <c r="Z27" s="1381"/>
      <c r="AA27" s="1380"/>
      <c r="AB27" s="1381"/>
      <c r="AC27" s="1381"/>
      <c r="AD27" s="1381"/>
      <c r="AE27" s="1381"/>
      <c r="AF27" s="1380"/>
      <c r="AG27" s="1381"/>
      <c r="AH27" s="1381"/>
      <c r="AI27" s="1381"/>
      <c r="AJ27" s="1381"/>
      <c r="AK27" s="1380"/>
      <c r="AL27" s="1381"/>
      <c r="AM27" s="1381"/>
      <c r="AN27" s="1381"/>
      <c r="AO27" s="1381"/>
      <c r="AP27" s="1380"/>
      <c r="AQ27" s="1381"/>
      <c r="AR27" s="1381"/>
      <c r="AS27" s="1381"/>
      <c r="AT27" s="1381"/>
      <c r="AU27" s="1375"/>
      <c r="AV27" s="1382"/>
      <c r="AW27" s="1382"/>
      <c r="AX27" s="1382"/>
      <c r="AY27" s="1382"/>
      <c r="AZ27" s="1376">
        <v>1</v>
      </c>
      <c r="BA27" s="1522">
        <v>1</v>
      </c>
      <c r="BB27" s="1522">
        <v>1</v>
      </c>
      <c r="BC27" s="1522">
        <v>1</v>
      </c>
      <c r="BD27" s="1522">
        <v>2</v>
      </c>
      <c r="BE27" s="1523">
        <v>2</v>
      </c>
    </row>
    <row r="28" spans="2:57" x14ac:dyDescent="0.2">
      <c r="B28" s="1517" t="s">
        <v>346</v>
      </c>
      <c r="C28" s="1331"/>
      <c r="D28" s="1331"/>
      <c r="E28" s="1331"/>
      <c r="F28" s="1331"/>
      <c r="G28" s="1406"/>
      <c r="H28" s="1382"/>
      <c r="I28" s="1382"/>
      <c r="J28" s="1382"/>
      <c r="K28" s="1382"/>
      <c r="L28" s="1375"/>
      <c r="M28" s="1382"/>
      <c r="N28" s="1382"/>
      <c r="O28" s="1382"/>
      <c r="P28" s="1382"/>
      <c r="Q28" s="1375"/>
      <c r="R28" s="1382"/>
      <c r="S28" s="1382"/>
      <c r="T28" s="1382"/>
      <c r="U28" s="1382"/>
      <c r="V28" s="1375"/>
      <c r="W28" s="1382"/>
      <c r="X28" s="1382"/>
      <c r="Y28" s="1382"/>
      <c r="Z28" s="1382"/>
      <c r="AA28" s="1375"/>
      <c r="AB28" s="1382"/>
      <c r="AC28" s="1382"/>
      <c r="AD28" s="1382"/>
      <c r="AE28" s="1382"/>
      <c r="AF28" s="1375"/>
      <c r="AG28" s="1382"/>
      <c r="AH28" s="1382"/>
      <c r="AI28" s="1382"/>
      <c r="AJ28" s="1382"/>
      <c r="AK28" s="1375"/>
      <c r="AL28" s="1382"/>
      <c r="AM28" s="1382"/>
      <c r="AN28" s="1382"/>
      <c r="AO28" s="1382"/>
      <c r="AP28" s="1375"/>
      <c r="AQ28" s="1382"/>
      <c r="AR28" s="1382"/>
      <c r="AS28" s="1382"/>
      <c r="AT28" s="1382"/>
      <c r="AU28" s="1466"/>
      <c r="AV28" s="1467"/>
      <c r="AW28" s="1467"/>
      <c r="AX28" s="1467"/>
      <c r="AY28" s="1467"/>
      <c r="AZ28" s="1468">
        <f>'Forecast Assumptions'!F12</f>
        <v>0</v>
      </c>
      <c r="BA28" s="1469">
        <f>'Forecast Assumptions'!G12</f>
        <v>4</v>
      </c>
      <c r="BB28" s="1469">
        <f>'Forecast Assumptions'!H12</f>
        <v>2</v>
      </c>
      <c r="BC28" s="1469">
        <f>'Forecast Assumptions'!I12</f>
        <v>2</v>
      </c>
      <c r="BD28" s="1469">
        <f>'Forecast Assumptions'!J12</f>
        <v>1</v>
      </c>
      <c r="BE28" s="1470">
        <f>'Forecast Assumptions'!K12</f>
        <v>0</v>
      </c>
    </row>
    <row r="29" spans="2:57" x14ac:dyDescent="0.2">
      <c r="B29" s="1517" t="s">
        <v>347</v>
      </c>
      <c r="C29" s="1331"/>
      <c r="D29" s="1331"/>
      <c r="E29" s="1331"/>
      <c r="F29" s="1331"/>
      <c r="G29" s="1406"/>
      <c r="H29" s="1382"/>
      <c r="I29" s="1382"/>
      <c r="J29" s="1382"/>
      <c r="K29" s="1382"/>
      <c r="L29" s="1375"/>
      <c r="M29" s="1382"/>
      <c r="N29" s="1382"/>
      <c r="O29" s="1382"/>
      <c r="P29" s="1382"/>
      <c r="Q29" s="1375"/>
      <c r="R29" s="1382"/>
      <c r="S29" s="1382"/>
      <c r="T29" s="1382"/>
      <c r="U29" s="1382"/>
      <c r="V29" s="1375"/>
      <c r="W29" s="1382"/>
      <c r="X29" s="1382"/>
      <c r="Y29" s="1382"/>
      <c r="Z29" s="1382"/>
      <c r="AA29" s="1375"/>
      <c r="AB29" s="1382"/>
      <c r="AC29" s="1382"/>
      <c r="AD29" s="1382"/>
      <c r="AE29" s="1382"/>
      <c r="AF29" s="1375"/>
      <c r="AG29" s="1382"/>
      <c r="AH29" s="1382"/>
      <c r="AI29" s="1382"/>
      <c r="AJ29" s="1382"/>
      <c r="AK29" s="1375"/>
      <c r="AL29" s="1382"/>
      <c r="AM29" s="1382"/>
      <c r="AN29" s="1382"/>
      <c r="AO29" s="1382"/>
      <c r="AP29" s="1375"/>
      <c r="AQ29" s="1382"/>
      <c r="AR29" s="1382"/>
      <c r="AS29" s="1382"/>
      <c r="AT29" s="1382"/>
      <c r="AU29" s="1471"/>
      <c r="AV29" s="1472"/>
      <c r="AW29" s="1472"/>
      <c r="AX29" s="1472"/>
      <c r="AY29" s="1472"/>
      <c r="AZ29" s="1473">
        <v>0</v>
      </c>
      <c r="BA29" s="1473">
        <f>AZ29+BA28</f>
        <v>4</v>
      </c>
      <c r="BB29" s="1473">
        <f>BA29+BB28</f>
        <v>6</v>
      </c>
      <c r="BC29" s="1473">
        <f>BB29+BC28</f>
        <v>8</v>
      </c>
      <c r="BD29" s="1473">
        <f>BC29+BD28</f>
        <v>9</v>
      </c>
      <c r="BE29" s="1524">
        <f>BD29+BE28</f>
        <v>9</v>
      </c>
    </row>
    <row r="30" spans="2:57" x14ac:dyDescent="0.2">
      <c r="B30" s="1364" t="s">
        <v>348</v>
      </c>
      <c r="C30" s="1330"/>
      <c r="D30" s="1330"/>
      <c r="E30" s="1330"/>
      <c r="F30" s="1330"/>
      <c r="G30" s="1410">
        <v>8</v>
      </c>
      <c r="H30" s="1383">
        <v>9</v>
      </c>
      <c r="I30" s="1383">
        <v>9</v>
      </c>
      <c r="J30" s="1383">
        <v>9</v>
      </c>
      <c r="K30" s="1374">
        <f>L30</f>
        <v>11</v>
      </c>
      <c r="L30" s="1373">
        <f>L17+L18+L26</f>
        <v>11</v>
      </c>
      <c r="M30" s="1383">
        <v>11</v>
      </c>
      <c r="N30" s="1383">
        <v>12</v>
      </c>
      <c r="O30" s="1383">
        <v>13</v>
      </c>
      <c r="P30" s="1374">
        <f>Q30</f>
        <v>15</v>
      </c>
      <c r="Q30" s="1373">
        <f>Q17+Q18+Q26</f>
        <v>15</v>
      </c>
      <c r="R30" s="1383">
        <v>16</v>
      </c>
      <c r="S30" s="1383">
        <v>16</v>
      </c>
      <c r="T30" s="1383">
        <v>18</v>
      </c>
      <c r="U30" s="1374">
        <f>V30</f>
        <v>20</v>
      </c>
      <c r="V30" s="1373">
        <f>V17+V18+V26</f>
        <v>20</v>
      </c>
      <c r="W30" s="1383">
        <v>21</v>
      </c>
      <c r="X30" s="1383">
        <v>21</v>
      </c>
      <c r="Y30" s="1383">
        <v>21</v>
      </c>
      <c r="Z30" s="1374">
        <f>AA30</f>
        <v>21</v>
      </c>
      <c r="AA30" s="1373">
        <f>AA17+AA18+AA26</f>
        <v>21</v>
      </c>
      <c r="AB30" s="1383">
        <v>20</v>
      </c>
      <c r="AC30" s="1383">
        <v>21</v>
      </c>
      <c r="AD30" s="1383">
        <v>23</v>
      </c>
      <c r="AE30" s="1374">
        <f>AF30</f>
        <v>26</v>
      </c>
      <c r="AF30" s="1373">
        <f>AF17+AF18+AF26</f>
        <v>26</v>
      </c>
      <c r="AG30" s="1383">
        <v>26</v>
      </c>
      <c r="AH30" s="1383">
        <v>26</v>
      </c>
      <c r="AI30" s="1383">
        <v>26</v>
      </c>
      <c r="AJ30" s="1374">
        <f>AK30</f>
        <v>27</v>
      </c>
      <c r="AK30" s="1373">
        <f>AK17+AK18+AK26</f>
        <v>27</v>
      </c>
      <c r="AL30" s="1383">
        <v>27</v>
      </c>
      <c r="AM30" s="1383">
        <v>28</v>
      </c>
      <c r="AN30" s="1383">
        <v>29</v>
      </c>
      <c r="AO30" s="1383">
        <v>29</v>
      </c>
      <c r="AP30" s="1373">
        <f>AP17+AP18+AP26</f>
        <v>29</v>
      </c>
      <c r="AQ30" s="1383">
        <v>29</v>
      </c>
      <c r="AR30" s="1383">
        <v>29</v>
      </c>
      <c r="AS30" s="1383">
        <v>29</v>
      </c>
      <c r="AT30" s="1383">
        <v>30</v>
      </c>
      <c r="AU30" s="1375">
        <f>AT30</f>
        <v>30</v>
      </c>
      <c r="AV30" s="1465">
        <v>30</v>
      </c>
      <c r="AW30" s="1465">
        <v>30</v>
      </c>
      <c r="AX30" s="1465">
        <v>30</v>
      </c>
      <c r="AY30" s="1465">
        <v>32</v>
      </c>
      <c r="AZ30" s="1375">
        <f>IFERROR(AY30,"n/a")</f>
        <v>32</v>
      </c>
      <c r="BA30" s="1384">
        <f>BA29+BA27+BA26+BA18+BA17</f>
        <v>39</v>
      </c>
      <c r="BB30" s="1384">
        <f>BB29+BB27+BB26+BB18+BB17</f>
        <v>42</v>
      </c>
      <c r="BC30" s="1384">
        <f>BC29+BC27+BC26+BC18+BC17</f>
        <v>45</v>
      </c>
      <c r="BD30" s="1384">
        <f>BD29+BD27+BD26+BD18+BD17</f>
        <v>50</v>
      </c>
      <c r="BE30" s="1385">
        <f>BE29+BE27+BE26+BE18+BE17</f>
        <v>51</v>
      </c>
    </row>
    <row r="31" spans="2:57" x14ac:dyDescent="0.2">
      <c r="B31" s="1365" t="s">
        <v>349</v>
      </c>
      <c r="C31" s="1329"/>
      <c r="D31" s="1329"/>
      <c r="E31" s="1329"/>
      <c r="F31" s="1329"/>
      <c r="G31" s="1411">
        <v>8</v>
      </c>
      <c r="H31" s="1404">
        <f>H30-F30</f>
        <v>9</v>
      </c>
      <c r="I31" s="1404">
        <f t="shared" ref="I31:K31" si="4">I30-H30</f>
        <v>0</v>
      </c>
      <c r="J31" s="1404">
        <f t="shared" si="4"/>
        <v>0</v>
      </c>
      <c r="K31" s="1404">
        <f t="shared" si="4"/>
        <v>2</v>
      </c>
      <c r="L31" s="1372">
        <f>L30-G30</f>
        <v>3</v>
      </c>
      <c r="M31" s="1404">
        <f>M30-K30</f>
        <v>0</v>
      </c>
      <c r="N31" s="1404">
        <f t="shared" ref="N31:P31" si="5">N30-M30</f>
        <v>1</v>
      </c>
      <c r="O31" s="1404">
        <f t="shared" si="5"/>
        <v>1</v>
      </c>
      <c r="P31" s="1404">
        <f t="shared" si="5"/>
        <v>2</v>
      </c>
      <c r="Q31" s="1372">
        <f>Q30-L30</f>
        <v>4</v>
      </c>
      <c r="R31" s="1404">
        <f>R30-P30</f>
        <v>1</v>
      </c>
      <c r="S31" s="1404">
        <f t="shared" ref="S31:U31" si="6">S30-R30</f>
        <v>0</v>
      </c>
      <c r="T31" s="1404">
        <f t="shared" si="6"/>
        <v>2</v>
      </c>
      <c r="U31" s="1404">
        <f t="shared" si="6"/>
        <v>2</v>
      </c>
      <c r="V31" s="1372">
        <f>V30-Q30</f>
        <v>5</v>
      </c>
      <c r="W31" s="1404">
        <f>W30-U30</f>
        <v>1</v>
      </c>
      <c r="X31" s="1404">
        <f t="shared" ref="X31:Z31" si="7">X30-W30</f>
        <v>0</v>
      </c>
      <c r="Y31" s="1404">
        <f t="shared" si="7"/>
        <v>0</v>
      </c>
      <c r="Z31" s="1404">
        <f t="shared" si="7"/>
        <v>0</v>
      </c>
      <c r="AA31" s="1372">
        <f>AA30-V30</f>
        <v>1</v>
      </c>
      <c r="AB31" s="1404">
        <f>AB30-Z30</f>
        <v>-1</v>
      </c>
      <c r="AC31" s="1404">
        <f t="shared" ref="AC31:AE31" si="8">AC30-AB30</f>
        <v>1</v>
      </c>
      <c r="AD31" s="1404">
        <f t="shared" si="8"/>
        <v>2</v>
      </c>
      <c r="AE31" s="1404">
        <f t="shared" si="8"/>
        <v>3</v>
      </c>
      <c r="AF31" s="1372">
        <f>AF30-AA30</f>
        <v>5</v>
      </c>
      <c r="AG31" s="1404">
        <f>AG30-AE30</f>
        <v>0</v>
      </c>
      <c r="AH31" s="1404">
        <f t="shared" ref="AH31:AJ31" si="9">AH30-AG30</f>
        <v>0</v>
      </c>
      <c r="AI31" s="1404">
        <f t="shared" si="9"/>
        <v>0</v>
      </c>
      <c r="AJ31" s="1404">
        <f t="shared" si="9"/>
        <v>1</v>
      </c>
      <c r="AK31" s="1372">
        <f>AK30-AF30</f>
        <v>1</v>
      </c>
      <c r="AL31" s="1404">
        <f>AL30-AJ30</f>
        <v>0</v>
      </c>
      <c r="AM31" s="1404">
        <f t="shared" ref="AM31:AO31" si="10">AM30-AL30</f>
        <v>1</v>
      </c>
      <c r="AN31" s="1404">
        <f t="shared" si="10"/>
        <v>1</v>
      </c>
      <c r="AO31" s="1404">
        <f t="shared" si="10"/>
        <v>0</v>
      </c>
      <c r="AP31" s="1372">
        <f>AP30-AK30</f>
        <v>2</v>
      </c>
      <c r="AQ31" s="1404">
        <f>AQ30-AO30</f>
        <v>0</v>
      </c>
      <c r="AR31" s="1404">
        <f t="shared" ref="AR31:AT31" si="11">AR30-AQ30</f>
        <v>0</v>
      </c>
      <c r="AS31" s="1404">
        <f t="shared" si="11"/>
        <v>0</v>
      </c>
      <c r="AT31" s="1404">
        <f t="shared" si="11"/>
        <v>1</v>
      </c>
      <c r="AU31" s="1372">
        <f>AU30-AP30</f>
        <v>1</v>
      </c>
      <c r="AV31" s="1404">
        <f>AV30-AT30</f>
        <v>0</v>
      </c>
      <c r="AW31" s="1404">
        <f t="shared" ref="AW31:AX31" si="12">AW30-AV30</f>
        <v>0</v>
      </c>
      <c r="AX31" s="1404">
        <f t="shared" si="12"/>
        <v>0</v>
      </c>
      <c r="AY31" s="1404">
        <f>IFERROR(AY30-AX30,"n/a")</f>
        <v>2</v>
      </c>
      <c r="AZ31" s="1372">
        <f>IFERROR(AZ30-AU30,"n/a")</f>
        <v>2</v>
      </c>
      <c r="BA31" s="902">
        <f>BA30-AZ30</f>
        <v>7</v>
      </c>
      <c r="BB31" s="902">
        <f>BB30-BA30</f>
        <v>3</v>
      </c>
      <c r="BC31" s="902">
        <f>BC30-BB30</f>
        <v>3</v>
      </c>
      <c r="BD31" s="902">
        <f>BD30-BC30</f>
        <v>5</v>
      </c>
      <c r="BE31" s="1296">
        <f>BE30-BD30</f>
        <v>1</v>
      </c>
    </row>
    <row r="32" spans="2:57" x14ac:dyDescent="0.2">
      <c r="B32" s="1517" t="s">
        <v>350</v>
      </c>
      <c r="C32" s="1331"/>
      <c r="D32" s="1331"/>
      <c r="E32" s="1331"/>
      <c r="F32" s="1331"/>
      <c r="G32" s="1406"/>
      <c r="H32" s="1525">
        <f t="shared" ref="H32:K32" si="13">AVERAGE(H30,G30)</f>
        <v>8.5</v>
      </c>
      <c r="I32" s="1525">
        <f t="shared" si="13"/>
        <v>9</v>
      </c>
      <c r="J32" s="1525">
        <f t="shared" si="13"/>
        <v>9</v>
      </c>
      <c r="K32" s="1525">
        <f t="shared" si="13"/>
        <v>10</v>
      </c>
      <c r="L32" s="1375">
        <f>AVERAGE(K32,J32,I32,H32)</f>
        <v>9.125</v>
      </c>
      <c r="M32" s="1525">
        <f t="shared" ref="M32:P32" si="14">AVERAGE(M30,L30)</f>
        <v>11</v>
      </c>
      <c r="N32" s="1525">
        <f t="shared" si="14"/>
        <v>11.5</v>
      </c>
      <c r="O32" s="1525">
        <f t="shared" si="14"/>
        <v>12.5</v>
      </c>
      <c r="P32" s="1525">
        <f t="shared" si="14"/>
        <v>14</v>
      </c>
      <c r="Q32" s="1375">
        <f>AVERAGE(P32,O32,N32,M32)</f>
        <v>12.25</v>
      </c>
      <c r="R32" s="1525">
        <f t="shared" ref="R32:U32" si="15">AVERAGE(R30,Q30)</f>
        <v>15.5</v>
      </c>
      <c r="S32" s="1525">
        <f t="shared" si="15"/>
        <v>16</v>
      </c>
      <c r="T32" s="1525">
        <f t="shared" si="15"/>
        <v>17</v>
      </c>
      <c r="U32" s="1525">
        <f t="shared" si="15"/>
        <v>19</v>
      </c>
      <c r="V32" s="1375">
        <f>AVERAGE(U32,T32,S32,R32)</f>
        <v>16.875</v>
      </c>
      <c r="W32" s="1525">
        <f t="shared" ref="W32:Z32" si="16">AVERAGE(W30,V30)</f>
        <v>20.5</v>
      </c>
      <c r="X32" s="1525">
        <f t="shared" si="16"/>
        <v>21</v>
      </c>
      <c r="Y32" s="1525">
        <f t="shared" si="16"/>
        <v>21</v>
      </c>
      <c r="Z32" s="1525">
        <f t="shared" si="16"/>
        <v>21</v>
      </c>
      <c r="AA32" s="1375">
        <f>AVERAGE(Z32,Y32,X32,W32)</f>
        <v>20.875</v>
      </c>
      <c r="AB32" s="1525">
        <f t="shared" ref="AB32:AE32" si="17">AVERAGE(AB30,AA30)</f>
        <v>20.5</v>
      </c>
      <c r="AC32" s="1525">
        <f t="shared" si="17"/>
        <v>20.5</v>
      </c>
      <c r="AD32" s="1525">
        <f t="shared" si="17"/>
        <v>22</v>
      </c>
      <c r="AE32" s="1525">
        <f t="shared" si="17"/>
        <v>24.5</v>
      </c>
      <c r="AF32" s="1375">
        <f>AVERAGE(AE32,AD32,AC32,AB32)</f>
        <v>21.875</v>
      </c>
      <c r="AG32" s="1525">
        <f t="shared" ref="AG32:AJ32" si="18">AVERAGE(AG30,AF30)</f>
        <v>26</v>
      </c>
      <c r="AH32" s="1525">
        <f t="shared" si="18"/>
        <v>26</v>
      </c>
      <c r="AI32" s="1525">
        <f t="shared" si="18"/>
        <v>26</v>
      </c>
      <c r="AJ32" s="1525">
        <f t="shared" si="18"/>
        <v>26.5</v>
      </c>
      <c r="AK32" s="1375">
        <f>AVERAGE(AJ32,AI32,AH32,AG32)</f>
        <v>26.125</v>
      </c>
      <c r="AL32" s="1525">
        <f t="shared" ref="AL32:AO32" si="19">AVERAGE(AL30,AK30)</f>
        <v>27</v>
      </c>
      <c r="AM32" s="1525">
        <f t="shared" si="19"/>
        <v>27.5</v>
      </c>
      <c r="AN32" s="1525">
        <f t="shared" si="19"/>
        <v>28.5</v>
      </c>
      <c r="AO32" s="1525">
        <f t="shared" si="19"/>
        <v>29</v>
      </c>
      <c r="AP32" s="1375">
        <f>AVERAGE(AO32,AN32,AM32,AL32)</f>
        <v>28</v>
      </c>
      <c r="AQ32" s="1525">
        <f t="shared" ref="AQ32:AT32" si="20">AVERAGE(AQ30,AP30)</f>
        <v>29</v>
      </c>
      <c r="AR32" s="1525">
        <f t="shared" si="20"/>
        <v>29</v>
      </c>
      <c r="AS32" s="1525">
        <f t="shared" si="20"/>
        <v>29</v>
      </c>
      <c r="AT32" s="1525">
        <f t="shared" si="20"/>
        <v>29.5</v>
      </c>
      <c r="AU32" s="1375">
        <f>AVERAGE(AT32,AS32,AR32,AQ32)</f>
        <v>29.125</v>
      </c>
      <c r="AV32" s="1525">
        <f t="shared" ref="AV32:AX32" si="21">AVERAGE(AV30,AU30)</f>
        <v>30</v>
      </c>
      <c r="AW32" s="1525">
        <f t="shared" si="21"/>
        <v>30</v>
      </c>
      <c r="AX32" s="1525">
        <f t="shared" si="21"/>
        <v>30</v>
      </c>
      <c r="AY32" s="1525">
        <f>IFERROR(AVERAGE(AY30,AX30),"n/a")</f>
        <v>31</v>
      </c>
      <c r="AZ32" s="1375">
        <f>IFERROR(AVERAGE(AY32,AX32,AW32,AV32),"n/a")</f>
        <v>30.25</v>
      </c>
      <c r="BA32" s="1386">
        <f>AVERAGE(AZ30,BA30)</f>
        <v>35.5</v>
      </c>
      <c r="BB32" s="902">
        <f>AVERAGE(BA30,BB30)</f>
        <v>40.5</v>
      </c>
      <c r="BC32" s="902">
        <f>AVERAGE(BB30,BC30)</f>
        <v>43.5</v>
      </c>
      <c r="BD32" s="902">
        <f>AVERAGE(BC30,BD30)</f>
        <v>47.5</v>
      </c>
      <c r="BE32" s="1296">
        <f>AVERAGE(BD30,BE30)</f>
        <v>50.5</v>
      </c>
    </row>
    <row r="33" spans="2:57" x14ac:dyDescent="0.2">
      <c r="B33" s="1517" t="s">
        <v>351</v>
      </c>
      <c r="C33" s="1331"/>
      <c r="D33" s="1331"/>
      <c r="E33" s="1331"/>
      <c r="F33" s="1331"/>
      <c r="G33" s="1406">
        <v>197</v>
      </c>
      <c r="H33" s="1382">
        <v>198</v>
      </c>
      <c r="I33" s="1382">
        <v>201</v>
      </c>
      <c r="J33" s="1382">
        <v>203</v>
      </c>
      <c r="K33" s="1382">
        <v>211</v>
      </c>
      <c r="L33" s="1375">
        <v>211</v>
      </c>
      <c r="M33" s="1382">
        <v>212</v>
      </c>
      <c r="N33" s="1382">
        <v>214</v>
      </c>
      <c r="O33" s="1382">
        <v>215</v>
      </c>
      <c r="P33" s="1382">
        <v>223</v>
      </c>
      <c r="Q33" s="1375">
        <v>223</v>
      </c>
      <c r="R33" s="1382">
        <v>224</v>
      </c>
      <c r="S33" s="1382">
        <v>223</v>
      </c>
      <c r="T33" s="1382">
        <v>226</v>
      </c>
      <c r="U33" s="1382">
        <v>234</v>
      </c>
      <c r="V33" s="1375">
        <v>234</v>
      </c>
      <c r="W33" s="1382">
        <v>235</v>
      </c>
      <c r="X33" s="1382">
        <v>234</v>
      </c>
      <c r="Y33" s="1382">
        <v>236</v>
      </c>
      <c r="Z33" s="1382">
        <v>239</v>
      </c>
      <c r="AA33" s="1375">
        <v>239</v>
      </c>
      <c r="AB33" s="1382">
        <v>238</v>
      </c>
      <c r="AC33" s="1382">
        <v>240</v>
      </c>
      <c r="AD33" s="1382">
        <v>289</v>
      </c>
      <c r="AE33" s="1382">
        <v>318</v>
      </c>
      <c r="AF33" s="1375">
        <v>318</v>
      </c>
      <c r="AG33" s="1382">
        <v>320</v>
      </c>
      <c r="AH33" s="1382">
        <v>320</v>
      </c>
      <c r="AI33" s="1382">
        <v>320</v>
      </c>
      <c r="AJ33" s="1382">
        <v>322</v>
      </c>
      <c r="AK33" s="1375">
        <v>322</v>
      </c>
      <c r="AL33" s="1382">
        <v>324</v>
      </c>
      <c r="AM33" s="1382">
        <v>328</v>
      </c>
      <c r="AN33" s="1382">
        <v>333</v>
      </c>
      <c r="AO33" s="1382">
        <v>337</v>
      </c>
      <c r="AP33" s="1375">
        <v>337</v>
      </c>
      <c r="AQ33" s="1382">
        <v>335</v>
      </c>
      <c r="AR33" s="1382">
        <v>337</v>
      </c>
      <c r="AS33" s="1382">
        <v>340</v>
      </c>
      <c r="AT33" s="1382">
        <v>348</v>
      </c>
      <c r="AU33" s="1375">
        <v>348</v>
      </c>
      <c r="AV33" s="1382">
        <v>348</v>
      </c>
      <c r="AW33" s="1382">
        <v>351</v>
      </c>
      <c r="AX33" s="1382">
        <v>353</v>
      </c>
      <c r="AY33" s="1382">
        <v>363</v>
      </c>
      <c r="AZ33" s="1375">
        <v>363</v>
      </c>
      <c r="BA33" s="1386">
        <f>'Revenue Build - FRC &amp; Others'!BH52+'Revenue Build - North Italia'!BD12+'Revenue Build - CK F.'!BH12+BA30</f>
        <v>384.6</v>
      </c>
      <c r="BB33" s="902">
        <f>'Revenue Build - FRC &amp; Others'!BI52+'Revenue Build - North Italia'!BE12+'Revenue Build - CK F.'!BI12+BB30</f>
        <v>403.12</v>
      </c>
      <c r="BC33" s="902">
        <f>'Revenue Build - FRC &amp; Others'!BJ52+'Revenue Build - North Italia'!BF12+'Revenue Build - CK F.'!BJ12+BC30</f>
        <v>418.74400000000003</v>
      </c>
      <c r="BD33" s="902">
        <f>'Revenue Build - FRC &amp; Others'!BK52+'Revenue Build - North Italia'!BG12+'Revenue Build - CK F.'!BK12+BD30</f>
        <v>439.2928</v>
      </c>
      <c r="BE33" s="1296">
        <f>'Revenue Build - FRC &amp; Others'!BL52+'Revenue Build - North Italia'!BH12+'Revenue Build - CK F.'!BL12+BE30</f>
        <v>455.75135999999998</v>
      </c>
    </row>
    <row r="34" spans="2:57" x14ac:dyDescent="0.2">
      <c r="B34" s="1366" t="s">
        <v>352</v>
      </c>
      <c r="C34" s="1334"/>
      <c r="D34" s="1334"/>
      <c r="E34" s="1334"/>
      <c r="F34" s="1334"/>
      <c r="G34" s="1412"/>
      <c r="H34" s="1413">
        <v>0.1</v>
      </c>
      <c r="I34" s="1413">
        <v>0.1</v>
      </c>
      <c r="J34" s="1413">
        <v>0.1</v>
      </c>
      <c r="K34" s="1413">
        <v>0.1</v>
      </c>
      <c r="L34" s="1387">
        <f>L36/L38</f>
        <v>9.9999999999999992E-2</v>
      </c>
      <c r="M34" s="1413">
        <v>0.1</v>
      </c>
      <c r="N34" s="1413">
        <v>0.1</v>
      </c>
      <c r="O34" s="1413">
        <v>0.1</v>
      </c>
      <c r="P34" s="1413">
        <v>0.1</v>
      </c>
      <c r="Q34" s="1387">
        <f>Q36/Q38</f>
        <v>0.10000000000000002</v>
      </c>
      <c r="R34" s="1413">
        <v>0.1</v>
      </c>
      <c r="S34" s="1413">
        <v>0.1</v>
      </c>
      <c r="T34" s="1413">
        <v>0.1</v>
      </c>
      <c r="U34" s="1413">
        <v>0.1</v>
      </c>
      <c r="V34" s="1387">
        <f>V36/V38</f>
        <v>0.1</v>
      </c>
      <c r="W34" s="1413">
        <v>0.1</v>
      </c>
      <c r="X34" s="1413">
        <v>0.1</v>
      </c>
      <c r="Y34" s="1413">
        <v>0.1</v>
      </c>
      <c r="Z34" s="1413">
        <v>0.1</v>
      </c>
      <c r="AA34" s="1387">
        <f>AA36/AA38</f>
        <v>0.1</v>
      </c>
      <c r="AB34" s="1413">
        <v>0.1</v>
      </c>
      <c r="AC34" s="1413">
        <v>0.1</v>
      </c>
      <c r="AD34" s="1413">
        <v>0.1</v>
      </c>
      <c r="AE34" s="1413">
        <v>0.1</v>
      </c>
      <c r="AF34" s="1387">
        <f>AF36/AF38</f>
        <v>0.1</v>
      </c>
      <c r="AG34" s="1413">
        <v>0.1</v>
      </c>
      <c r="AH34" s="1413">
        <v>0.1</v>
      </c>
      <c r="AI34" s="1413">
        <v>0.1</v>
      </c>
      <c r="AJ34" s="1413">
        <v>0.1</v>
      </c>
      <c r="AK34" s="1387">
        <f>AK36/AK38</f>
        <v>9.9999999999999992E-2</v>
      </c>
      <c r="AL34" s="1413">
        <v>0.1</v>
      </c>
      <c r="AM34" s="1413">
        <v>0.1</v>
      </c>
      <c r="AN34" s="1413">
        <v>0.1</v>
      </c>
      <c r="AO34" s="1413">
        <v>0.1</v>
      </c>
      <c r="AP34" s="1387">
        <f>AP36/AP38</f>
        <v>0.1</v>
      </c>
      <c r="AQ34" s="1413">
        <v>0.1</v>
      </c>
      <c r="AR34" s="1413">
        <v>0.1</v>
      </c>
      <c r="AS34" s="1413">
        <v>0.1</v>
      </c>
      <c r="AT34" s="1413">
        <v>0.1</v>
      </c>
      <c r="AU34" s="1387">
        <f>AU36/AU38</f>
        <v>9.9999999999999992E-2</v>
      </c>
      <c r="AV34" s="1413">
        <v>0.1</v>
      </c>
      <c r="AW34" s="1413">
        <v>0.1</v>
      </c>
      <c r="AX34" s="1413">
        <v>0.1</v>
      </c>
      <c r="AY34" s="1413">
        <v>0.1</v>
      </c>
      <c r="AZ34" s="1387">
        <f>AZ36/AZ38</f>
        <v>9.9999999999999992E-2</v>
      </c>
      <c r="BA34" s="1388">
        <v>0.1</v>
      </c>
      <c r="BB34" s="1389">
        <v>0.1</v>
      </c>
      <c r="BC34" s="1389">
        <v>0.1</v>
      </c>
      <c r="BD34" s="1389">
        <v>0.1</v>
      </c>
      <c r="BE34" s="1390">
        <v>0.1</v>
      </c>
    </row>
    <row r="35" spans="2:57" x14ac:dyDescent="0.2">
      <c r="B35" s="1367" t="s">
        <v>353</v>
      </c>
      <c r="C35" s="1335"/>
      <c r="D35" s="1335"/>
      <c r="E35" s="1335"/>
      <c r="F35" s="1335"/>
      <c r="G35" s="1414"/>
      <c r="H35" s="1391">
        <f>H30/H33</f>
        <v>4.5454545454545456E-2</v>
      </c>
      <c r="I35" s="1391">
        <f t="shared" ref="I35:AZ35" si="22">I30/I33</f>
        <v>4.4776119402985072E-2</v>
      </c>
      <c r="J35" s="1391">
        <f t="shared" si="22"/>
        <v>4.4334975369458129E-2</v>
      </c>
      <c r="K35" s="1391">
        <f t="shared" si="22"/>
        <v>5.2132701421800945E-2</v>
      </c>
      <c r="L35" s="1391">
        <f t="shared" si="22"/>
        <v>5.2132701421800945E-2</v>
      </c>
      <c r="M35" s="1391">
        <f t="shared" si="22"/>
        <v>5.1886792452830191E-2</v>
      </c>
      <c r="N35" s="1391">
        <f t="shared" si="22"/>
        <v>5.6074766355140186E-2</v>
      </c>
      <c r="O35" s="1391">
        <f t="shared" si="22"/>
        <v>6.0465116279069767E-2</v>
      </c>
      <c r="P35" s="1391">
        <f t="shared" si="22"/>
        <v>6.726457399103139E-2</v>
      </c>
      <c r="Q35" s="1391">
        <f t="shared" si="22"/>
        <v>6.726457399103139E-2</v>
      </c>
      <c r="R35" s="1391">
        <f t="shared" si="22"/>
        <v>7.1428571428571425E-2</v>
      </c>
      <c r="S35" s="1391">
        <f t="shared" si="22"/>
        <v>7.1748878923766815E-2</v>
      </c>
      <c r="T35" s="1391">
        <f t="shared" si="22"/>
        <v>7.9646017699115043E-2</v>
      </c>
      <c r="U35" s="1391">
        <f t="shared" si="22"/>
        <v>8.5470085470085472E-2</v>
      </c>
      <c r="V35" s="1391">
        <f t="shared" si="22"/>
        <v>8.5470085470085472E-2</v>
      </c>
      <c r="W35" s="1391">
        <f t="shared" si="22"/>
        <v>8.9361702127659579E-2</v>
      </c>
      <c r="X35" s="1391">
        <f t="shared" si="22"/>
        <v>8.9743589743589744E-2</v>
      </c>
      <c r="Y35" s="1391">
        <f t="shared" si="22"/>
        <v>8.8983050847457626E-2</v>
      </c>
      <c r="Z35" s="1391">
        <f t="shared" si="22"/>
        <v>8.7866108786610872E-2</v>
      </c>
      <c r="AA35" s="1391">
        <f t="shared" si="22"/>
        <v>8.7866108786610872E-2</v>
      </c>
      <c r="AB35" s="1391">
        <f t="shared" si="22"/>
        <v>8.4033613445378158E-2</v>
      </c>
      <c r="AC35" s="1391">
        <f t="shared" si="22"/>
        <v>8.7499999999999994E-2</v>
      </c>
      <c r="AD35" s="1391">
        <f t="shared" si="22"/>
        <v>7.9584775086505188E-2</v>
      </c>
      <c r="AE35" s="1391">
        <f t="shared" si="22"/>
        <v>8.1761006289308172E-2</v>
      </c>
      <c r="AF35" s="1391">
        <f t="shared" si="22"/>
        <v>8.1761006289308172E-2</v>
      </c>
      <c r="AG35" s="1391">
        <f t="shared" si="22"/>
        <v>8.1250000000000003E-2</v>
      </c>
      <c r="AH35" s="1391">
        <f t="shared" si="22"/>
        <v>8.1250000000000003E-2</v>
      </c>
      <c r="AI35" s="1391">
        <f t="shared" si="22"/>
        <v>8.1250000000000003E-2</v>
      </c>
      <c r="AJ35" s="1391">
        <f t="shared" si="22"/>
        <v>8.3850931677018639E-2</v>
      </c>
      <c r="AK35" s="1391">
        <f t="shared" si="22"/>
        <v>8.3850931677018639E-2</v>
      </c>
      <c r="AL35" s="1391">
        <f t="shared" si="22"/>
        <v>8.3333333333333329E-2</v>
      </c>
      <c r="AM35" s="1391">
        <f t="shared" si="22"/>
        <v>8.5365853658536592E-2</v>
      </c>
      <c r="AN35" s="1391">
        <f t="shared" si="22"/>
        <v>8.7087087087087081E-2</v>
      </c>
      <c r="AO35" s="1391">
        <f t="shared" si="22"/>
        <v>8.6053412462908013E-2</v>
      </c>
      <c r="AP35" s="1391">
        <f t="shared" si="22"/>
        <v>8.6053412462908013E-2</v>
      </c>
      <c r="AQ35" s="1391">
        <f t="shared" si="22"/>
        <v>8.6567164179104483E-2</v>
      </c>
      <c r="AR35" s="1391">
        <f t="shared" si="22"/>
        <v>8.6053412462908013E-2</v>
      </c>
      <c r="AS35" s="1391">
        <f t="shared" si="22"/>
        <v>8.5294117647058826E-2</v>
      </c>
      <c r="AT35" s="1391">
        <f t="shared" si="22"/>
        <v>8.6206896551724144E-2</v>
      </c>
      <c r="AU35" s="1391">
        <f t="shared" si="22"/>
        <v>8.6206896551724144E-2</v>
      </c>
      <c r="AV35" s="1391">
        <f t="shared" si="22"/>
        <v>8.6206896551724144E-2</v>
      </c>
      <c r="AW35" s="1391">
        <f t="shared" si="22"/>
        <v>8.5470085470085472E-2</v>
      </c>
      <c r="AX35" s="1391">
        <f t="shared" si="22"/>
        <v>8.4985835694050993E-2</v>
      </c>
      <c r="AY35" s="1391">
        <f t="shared" si="22"/>
        <v>8.8154269972451793E-2</v>
      </c>
      <c r="AZ35" s="1391">
        <f t="shared" si="22"/>
        <v>8.8154269972451793E-2</v>
      </c>
      <c r="BA35" s="1392">
        <f>BA30/BA33</f>
        <v>0.10140405616224649</v>
      </c>
      <c r="BB35" s="903">
        <f>BB30/BB33</f>
        <v>0.10418733875769001</v>
      </c>
      <c r="BC35" s="903">
        <f>BC30/BC33</f>
        <v>0.10746422635309401</v>
      </c>
      <c r="BD35" s="903">
        <f>BD30/BD33</f>
        <v>0.11381930229678247</v>
      </c>
      <c r="BE35" s="1393">
        <f>BE30/BE33</f>
        <v>0.11190312191279035</v>
      </c>
    </row>
    <row r="36" spans="2:57" x14ac:dyDescent="0.2">
      <c r="B36" s="1368" t="s">
        <v>354</v>
      </c>
      <c r="C36" s="1334"/>
      <c r="D36" s="1334"/>
      <c r="E36" s="1334"/>
      <c r="F36" s="1334"/>
      <c r="G36" s="1415"/>
      <c r="H36" s="1416">
        <v>1.9233233898305091</v>
      </c>
      <c r="I36" s="1416">
        <v>1.9582457142857146</v>
      </c>
      <c r="J36" s="1416">
        <v>1.9275990410958905</v>
      </c>
      <c r="K36" s="1416">
        <v>2.2773914786967424</v>
      </c>
      <c r="L36" s="1394">
        <v>8.0865596239088564</v>
      </c>
      <c r="M36" s="1416">
        <v>2.3777730049261083</v>
      </c>
      <c r="N36" s="1416">
        <v>2.6097780392156862</v>
      </c>
      <c r="O36" s="1416">
        <v>2.8175746031746036</v>
      </c>
      <c r="P36" s="1416">
        <v>3.4212606691449814</v>
      </c>
      <c r="Q36" s="1394">
        <v>11.22638631646138</v>
      </c>
      <c r="R36" s="1416">
        <v>3.3994820618556703</v>
      </c>
      <c r="S36" s="1416">
        <v>3.4392506634882802</v>
      </c>
      <c r="T36" s="1416">
        <v>3.7840493189964159</v>
      </c>
      <c r="U36" s="1416">
        <v>4.1957153605015689</v>
      </c>
      <c r="V36" s="1394">
        <v>14.818497404841935</v>
      </c>
      <c r="W36" s="1416">
        <v>4.5653197989949765</v>
      </c>
      <c r="X36" s="1416">
        <v>4.5854018900077467</v>
      </c>
      <c r="Y36" s="1416">
        <v>4.4882893023255823</v>
      </c>
      <c r="Z36" s="1416">
        <v>4.4671931560693654</v>
      </c>
      <c r="AA36" s="1394">
        <v>18.106204147397669</v>
      </c>
      <c r="AB36" s="1416">
        <v>4.3672278606965182</v>
      </c>
      <c r="AC36" s="1416">
        <v>4.5903867987804885</v>
      </c>
      <c r="AD36" s="1416">
        <v>4.8795798782343995</v>
      </c>
      <c r="AE36" s="1416">
        <v>5.5468053333333343</v>
      </c>
      <c r="AF36" s="1394">
        <v>19.38399987104474</v>
      </c>
      <c r="AG36" s="1416">
        <v>4.9395122812266266</v>
      </c>
      <c r="AH36" s="1416">
        <v>2.4691207272727276</v>
      </c>
      <c r="AI36" s="1416">
        <v>4.23563011269722</v>
      </c>
      <c r="AJ36" s="1416">
        <v>4.6184016504126051</v>
      </c>
      <c r="AK36" s="1394">
        <v>16.262664771609177</v>
      </c>
      <c r="AL36" s="1416">
        <v>5.2363118446601931</v>
      </c>
      <c r="AM36" s="1416">
        <v>6.5651586473429973</v>
      </c>
      <c r="AN36" s="1416">
        <v>6.6461356638155458</v>
      </c>
      <c r="AO36" s="1416">
        <v>6.6417905185185209</v>
      </c>
      <c r="AP36" s="1394">
        <v>25.089396674337259</v>
      </c>
      <c r="AQ36" s="1416">
        <v>6.8017938461538465</v>
      </c>
      <c r="AR36" s="1416">
        <v>7.1480315384615372</v>
      </c>
      <c r="AS36" s="1416">
        <v>6.7221901367837349</v>
      </c>
      <c r="AT36" s="1416">
        <v>7.7108170125893167</v>
      </c>
      <c r="AU36" s="1394">
        <v>28.382832533988434</v>
      </c>
      <c r="AV36" s="1416">
        <v>7.3957930998486354</v>
      </c>
      <c r="AW36" s="1416">
        <v>7.5278401504859431</v>
      </c>
      <c r="AX36" s="1416">
        <v>7.1110188679245283</v>
      </c>
      <c r="AY36" s="1416">
        <v>7.8738949335249719</v>
      </c>
      <c r="AZ36" s="1394">
        <v>29.90854705178408</v>
      </c>
      <c r="BA36" s="1386">
        <f>BA38*BA34</f>
        <v>35.734618397189905</v>
      </c>
      <c r="BB36" s="902">
        <f>BB38*BB34</f>
        <v>39.099919953311115</v>
      </c>
      <c r="BC36" s="902">
        <f>BC38*BC34</f>
        <v>41.711848169051599</v>
      </c>
      <c r="BD36" s="902">
        <f>BD38*BD34</f>
        <v>46.24856607918754</v>
      </c>
      <c r="BE36" s="1296">
        <f>BE38*BE34</f>
        <v>47.299832439993168</v>
      </c>
    </row>
    <row r="37" spans="2:57" x14ac:dyDescent="0.2">
      <c r="B37" s="1368" t="s">
        <v>355</v>
      </c>
      <c r="C37" s="1336"/>
      <c r="D37" s="1336"/>
      <c r="E37" s="1336"/>
      <c r="F37" s="1336"/>
      <c r="G37" s="1417"/>
      <c r="H37" s="1370"/>
      <c r="I37" s="1370"/>
      <c r="J37" s="1370"/>
      <c r="K37" s="1370"/>
      <c r="L37" s="1418">
        <f>L38/L32</f>
        <v>8.8619831494891592</v>
      </c>
      <c r="M37" s="1418"/>
      <c r="N37" s="1418"/>
      <c r="O37" s="1418"/>
      <c r="P37" s="1418"/>
      <c r="Q37" s="1418">
        <f t="shared" ref="Q37:AZ37" si="23">Q38/Q32</f>
        <v>9.1643969930296958</v>
      </c>
      <c r="R37" s="1418">
        <f t="shared" si="23"/>
        <v>2.1932142334552709</v>
      </c>
      <c r="S37" s="1418">
        <f t="shared" si="23"/>
        <v>2.149531664680175</v>
      </c>
      <c r="T37" s="1418">
        <f t="shared" si="23"/>
        <v>2.2259113641155386</v>
      </c>
      <c r="U37" s="1418">
        <f t="shared" si="23"/>
        <v>2.2082712423692463</v>
      </c>
      <c r="V37" s="1418">
        <f t="shared" si="23"/>
        <v>8.7813317954618881</v>
      </c>
      <c r="W37" s="1418">
        <f t="shared" si="23"/>
        <v>2.2269852678024273</v>
      </c>
      <c r="X37" s="1418">
        <f t="shared" si="23"/>
        <v>2.1835247095274983</v>
      </c>
      <c r="Y37" s="1418">
        <f t="shared" si="23"/>
        <v>2.1372806201550389</v>
      </c>
      <c r="Z37" s="1418">
        <f t="shared" si="23"/>
        <v>2.127234836223507</v>
      </c>
      <c r="AA37" s="1418">
        <f t="shared" si="23"/>
        <v>8.6736307292922952</v>
      </c>
      <c r="AB37" s="1418">
        <f t="shared" si="23"/>
        <v>2.1303550539983016</v>
      </c>
      <c r="AC37" s="1418">
        <f t="shared" si="23"/>
        <v>2.2392130725758479</v>
      </c>
      <c r="AD37" s="1418">
        <f t="shared" si="23"/>
        <v>2.2179908537429087</v>
      </c>
      <c r="AE37" s="1418">
        <f t="shared" si="23"/>
        <v>2.2640021768707483</v>
      </c>
      <c r="AF37" s="1418">
        <f t="shared" si="23"/>
        <v>8.8612570839061657</v>
      </c>
      <c r="AG37" s="1418">
        <f t="shared" si="23"/>
        <v>1.8998124158563949</v>
      </c>
      <c r="AH37" s="1418">
        <f t="shared" si="23"/>
        <v>0.94966181818181827</v>
      </c>
      <c r="AI37" s="1418">
        <f t="shared" si="23"/>
        <v>1.6290885048835462</v>
      </c>
      <c r="AJ37" s="1418">
        <f t="shared" si="23"/>
        <v>1.7427930756273982</v>
      </c>
      <c r="AK37" s="1418">
        <f t="shared" si="23"/>
        <v>6.2249434532475325</v>
      </c>
      <c r="AL37" s="1418">
        <f t="shared" si="23"/>
        <v>1.939374757281553</v>
      </c>
      <c r="AM37" s="1418">
        <f t="shared" si="23"/>
        <v>2.3873304172156353</v>
      </c>
      <c r="AN37" s="1418">
        <f t="shared" si="23"/>
        <v>2.3319774259001913</v>
      </c>
      <c r="AO37" s="1418">
        <f t="shared" si="23"/>
        <v>2.2902725925925931</v>
      </c>
      <c r="AP37" s="1418">
        <f t="shared" si="23"/>
        <v>8.9604988122633067</v>
      </c>
      <c r="AQ37" s="1418">
        <f t="shared" si="23"/>
        <v>2.345446153846154</v>
      </c>
      <c r="AR37" s="1418">
        <f t="shared" si="23"/>
        <v>2.4648384615384611</v>
      </c>
      <c r="AS37" s="1418">
        <f t="shared" si="23"/>
        <v>2.317996598890943</v>
      </c>
      <c r="AT37" s="1418">
        <f t="shared" si="23"/>
        <v>2.6138362754540059</v>
      </c>
      <c r="AU37" s="1418">
        <f t="shared" si="23"/>
        <v>9.7451785524423826</v>
      </c>
      <c r="AV37" s="1418">
        <f t="shared" si="23"/>
        <v>2.4652643666162115</v>
      </c>
      <c r="AW37" s="1418">
        <f t="shared" si="23"/>
        <v>2.5092800501619812</v>
      </c>
      <c r="AX37" s="1418">
        <f t="shared" si="23"/>
        <v>2.3703396226415094</v>
      </c>
      <c r="AY37" s="1418">
        <f t="shared" si="23"/>
        <v>2.5399661075887003</v>
      </c>
      <c r="AZ37" s="887">
        <f t="shared" si="23"/>
        <v>9.887122992325315</v>
      </c>
      <c r="BA37" s="1370"/>
      <c r="BB37" s="1370"/>
      <c r="BC37" s="1370"/>
      <c r="BD37" s="1370"/>
      <c r="BE37" s="1371"/>
    </row>
    <row r="38" spans="2:57" ht="16" thickBot="1" x14ac:dyDescent="0.25">
      <c r="B38" s="1526" t="s">
        <v>356</v>
      </c>
      <c r="C38" s="1337"/>
      <c r="D38" s="1337"/>
      <c r="E38" s="1337"/>
      <c r="F38" s="1337"/>
      <c r="G38" s="1419"/>
      <c r="H38" s="1527">
        <f>H36/H34</f>
        <v>19.233233898305091</v>
      </c>
      <c r="I38" s="1527">
        <f>I36/I34</f>
        <v>19.582457142857145</v>
      </c>
      <c r="J38" s="1527">
        <f>J36/J34</f>
        <v>19.275990410958904</v>
      </c>
      <c r="K38" s="1527">
        <f>K36/K34</f>
        <v>22.773914786967424</v>
      </c>
      <c r="L38" s="1527">
        <f>SUM(H38:K38)</f>
        <v>80.865596239088575</v>
      </c>
      <c r="M38" s="1527">
        <f>M36/M34</f>
        <v>23.777730049261081</v>
      </c>
      <c r="N38" s="1527">
        <f>N36/N34</f>
        <v>26.09778039215686</v>
      </c>
      <c r="O38" s="1527">
        <f>O36/O34</f>
        <v>28.175746031746034</v>
      </c>
      <c r="P38" s="1527">
        <f>P36/P34</f>
        <v>34.212606691449814</v>
      </c>
      <c r="Q38" s="1527">
        <f>SUM(M38:P38)</f>
        <v>112.26386316461378</v>
      </c>
      <c r="R38" s="1527">
        <f>R36/R34</f>
        <v>33.994820618556702</v>
      </c>
      <c r="S38" s="1527">
        <f>S36/S34</f>
        <v>34.3925066348828</v>
      </c>
      <c r="T38" s="1527">
        <f>T36/T34</f>
        <v>37.840493189964157</v>
      </c>
      <c r="U38" s="1527">
        <f>U36/U34</f>
        <v>41.957153605015684</v>
      </c>
      <c r="V38" s="1527">
        <f>SUM(R38:U38)</f>
        <v>148.18497404841935</v>
      </c>
      <c r="W38" s="1527">
        <f>W36/W34</f>
        <v>45.65319798994976</v>
      </c>
      <c r="X38" s="1527">
        <f>X36/X34</f>
        <v>45.854018900077463</v>
      </c>
      <c r="Y38" s="1527">
        <f>Y36/Y34</f>
        <v>44.882893023255818</v>
      </c>
      <c r="Z38" s="1527">
        <f>Z36/Z34</f>
        <v>44.67193156069365</v>
      </c>
      <c r="AA38" s="1527">
        <f>SUM(W38:Z38)</f>
        <v>181.06204147397668</v>
      </c>
      <c r="AB38" s="1527">
        <f>AB36/AB34</f>
        <v>43.672278606965179</v>
      </c>
      <c r="AC38" s="1527">
        <f>AC36/AC34</f>
        <v>45.90386798780488</v>
      </c>
      <c r="AD38" s="1527">
        <f>AD36/AD34</f>
        <v>48.795798782343994</v>
      </c>
      <c r="AE38" s="1527">
        <f>AE36/AE34</f>
        <v>55.468053333333337</v>
      </c>
      <c r="AF38" s="1527">
        <f>SUM(AB38:AE38)</f>
        <v>193.83999871044739</v>
      </c>
      <c r="AG38" s="1527">
        <f>AG36/AG34</f>
        <v>49.395122812266266</v>
      </c>
      <c r="AH38" s="1527">
        <f>AH36/AH34</f>
        <v>24.691207272727276</v>
      </c>
      <c r="AI38" s="1527">
        <f>AI36/AI34</f>
        <v>42.356301126972198</v>
      </c>
      <c r="AJ38" s="1527">
        <f>AJ36/AJ34</f>
        <v>46.184016504126049</v>
      </c>
      <c r="AK38" s="1527">
        <f>SUM(AG38:AJ38)</f>
        <v>162.62664771609178</v>
      </c>
      <c r="AL38" s="1527">
        <f>AL36/AL34</f>
        <v>52.363118446601931</v>
      </c>
      <c r="AM38" s="1527">
        <f>AM36/AM34</f>
        <v>65.651586473429973</v>
      </c>
      <c r="AN38" s="1527">
        <f>AN36/AN34</f>
        <v>66.461356638155451</v>
      </c>
      <c r="AO38" s="1527">
        <f>AO36/AO34</f>
        <v>66.417905185185205</v>
      </c>
      <c r="AP38" s="1527">
        <f>SUM(AL38:AO38)</f>
        <v>250.89396674337257</v>
      </c>
      <c r="AQ38" s="1527">
        <f>AQ36/AQ34</f>
        <v>68.017938461538463</v>
      </c>
      <c r="AR38" s="1527">
        <f>AR36/AR34</f>
        <v>71.480315384615366</v>
      </c>
      <c r="AS38" s="1527">
        <f>AS36/AS34</f>
        <v>67.221901367837347</v>
      </c>
      <c r="AT38" s="1527">
        <f>AT36/AT34</f>
        <v>77.108170125893167</v>
      </c>
      <c r="AU38" s="1527">
        <f>SUM(AQ38:AT38)</f>
        <v>283.82832533988437</v>
      </c>
      <c r="AV38" s="1527">
        <f>AV36/AV34</f>
        <v>73.957930998486347</v>
      </c>
      <c r="AW38" s="1527">
        <f>AW36/AW34</f>
        <v>75.278401504859431</v>
      </c>
      <c r="AX38" s="1527">
        <f>AX36/AX34</f>
        <v>71.110188679245283</v>
      </c>
      <c r="AY38" s="1527">
        <f>AY36/AY34</f>
        <v>78.738949335249714</v>
      </c>
      <c r="AZ38" s="1528">
        <f>SUM(AV38:AY38)</f>
        <v>299.0854705178408</v>
      </c>
      <c r="BA38" s="1395">
        <f>BA30*(AVERAGE(AZ38,AU38,AP38)/AVERAGE(AZ30,AU30,AP30))</f>
        <v>357.34618397189905</v>
      </c>
      <c r="BB38" s="1396">
        <f>BB30*(AVERAGE(BA38,AZ38,AU38)/AVERAGE(BA30,AZ30,AU30))</f>
        <v>390.9991995331111</v>
      </c>
      <c r="BC38" s="1395">
        <f>BC30*(AVERAGE(BB38,BA38,AZ38)/AVERAGE(BB30,BA30,AZ30))</f>
        <v>417.11848169051598</v>
      </c>
      <c r="BD38" s="1395">
        <f>BD30*(AVERAGE(BC38,BB38,BA38)/AVERAGE(BC30,BB30,BA30))</f>
        <v>462.48566079187538</v>
      </c>
      <c r="BE38" s="1397">
        <f>BE30*(AVERAGE(BD38,BC38,BB38)/AVERAGE(BD30,BC30,BB30))</f>
        <v>472.99832439993162</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633C-C21E-45E2-9605-CD0574921918}">
  <dimension ref="B4:BP33"/>
  <sheetViews>
    <sheetView showGridLines="0" topLeftCell="A6" zoomScale="78" workbookViewId="0">
      <selection activeCell="B22" sqref="B22"/>
    </sheetView>
  </sheetViews>
  <sheetFormatPr baseColWidth="10" defaultColWidth="9.1640625" defaultRowHeight="15" outlineLevelCol="1" x14ac:dyDescent="0.2"/>
  <cols>
    <col min="1" max="9" width="9.1640625" style="611"/>
    <col min="10" max="13" width="9.1640625" style="611" hidden="1" customWidth="1" outlineLevel="1"/>
    <col min="14" max="14" width="9.1640625" style="611" collapsed="1"/>
    <col min="15" max="18" width="9.1640625" style="611" hidden="1" customWidth="1" outlineLevel="1"/>
    <col min="19" max="19" width="9.1640625" style="611" collapsed="1"/>
    <col min="20" max="23" width="9.1640625" style="611" hidden="1" customWidth="1" outlineLevel="1"/>
    <col min="24" max="24" width="9.1640625" style="611" collapsed="1"/>
    <col min="25" max="28" width="9.1640625" style="611" hidden="1" customWidth="1" outlineLevel="1"/>
    <col min="29" max="29" width="9.1640625" style="611" collapsed="1"/>
    <col min="30" max="33" width="9.1640625" style="611" hidden="1" customWidth="1" outlineLevel="1"/>
    <col min="34" max="34" width="9.1640625" style="611" collapsed="1"/>
    <col min="35" max="38" width="9.1640625" style="611" hidden="1" customWidth="1" outlineLevel="1"/>
    <col min="39" max="39" width="9.1640625" style="611" collapsed="1"/>
    <col min="40" max="43" width="9.1640625" style="611" hidden="1" customWidth="1" outlineLevel="1"/>
    <col min="44" max="44" width="9.1640625" style="611" collapsed="1"/>
    <col min="45" max="45" width="9.5" style="611" hidden="1" customWidth="1" outlineLevel="1"/>
    <col min="46" max="48" width="9.1640625" style="611" hidden="1" customWidth="1" outlineLevel="1"/>
    <col min="49" max="49" width="9.1640625" style="611" collapsed="1"/>
    <col min="50" max="53" width="9.1640625" style="611" hidden="1" customWidth="1" outlineLevel="1"/>
    <col min="54" max="54" width="9.1640625" style="611" collapsed="1"/>
    <col min="55" max="58" width="9.1640625" style="611" hidden="1" customWidth="1" outlineLevel="1"/>
    <col min="59" max="59" width="12.5" style="611" bestFit="1" customWidth="1" collapsed="1"/>
    <col min="60" max="16384" width="9.1640625" style="611"/>
  </cols>
  <sheetData>
    <row r="4" spans="2:64" x14ac:dyDescent="0.2">
      <c r="B4" s="607" t="s">
        <v>155</v>
      </c>
      <c r="C4" s="608"/>
      <c r="D4" s="608"/>
      <c r="E4" s="608"/>
      <c r="F4" s="608"/>
      <c r="G4" s="608"/>
      <c r="H4" s="608"/>
      <c r="I4" s="608"/>
      <c r="J4" s="609">
        <v>41730</v>
      </c>
      <c r="K4" s="609">
        <v>41821</v>
      </c>
      <c r="L4" s="609">
        <v>41912</v>
      </c>
      <c r="M4" s="609">
        <v>42003</v>
      </c>
      <c r="N4" s="609">
        <v>42003</v>
      </c>
      <c r="O4" s="609">
        <v>42094</v>
      </c>
      <c r="P4" s="609">
        <v>42185</v>
      </c>
      <c r="Q4" s="609">
        <v>42276</v>
      </c>
      <c r="R4" s="609">
        <v>42367</v>
      </c>
      <c r="S4" s="609">
        <v>42367</v>
      </c>
      <c r="T4" s="609">
        <v>42458</v>
      </c>
      <c r="U4" s="609">
        <v>42549</v>
      </c>
      <c r="V4" s="609">
        <v>42640</v>
      </c>
      <c r="W4" s="609">
        <v>42738</v>
      </c>
      <c r="X4" s="609">
        <v>42738</v>
      </c>
      <c r="Y4" s="609">
        <v>42829</v>
      </c>
      <c r="Z4" s="609">
        <v>42920</v>
      </c>
      <c r="AA4" s="609">
        <v>43011</v>
      </c>
      <c r="AB4" s="609">
        <v>43102</v>
      </c>
      <c r="AC4" s="609">
        <v>43102</v>
      </c>
      <c r="AD4" s="609">
        <v>43193</v>
      </c>
      <c r="AE4" s="609">
        <v>43284</v>
      </c>
      <c r="AF4" s="609">
        <v>43375</v>
      </c>
      <c r="AG4" s="609">
        <v>43466</v>
      </c>
      <c r="AH4" s="609">
        <v>43466</v>
      </c>
      <c r="AI4" s="609">
        <v>43557</v>
      </c>
      <c r="AJ4" s="609">
        <v>43648</v>
      </c>
      <c r="AK4" s="609">
        <v>43739</v>
      </c>
      <c r="AL4" s="609">
        <v>43830</v>
      </c>
      <c r="AM4" s="609">
        <v>43830</v>
      </c>
      <c r="AN4" s="609">
        <v>43921</v>
      </c>
      <c r="AO4" s="609">
        <v>44012</v>
      </c>
      <c r="AP4" s="609">
        <v>44103</v>
      </c>
      <c r="AQ4" s="609">
        <v>44194</v>
      </c>
      <c r="AR4" s="609">
        <v>44194</v>
      </c>
      <c r="AS4" s="609">
        <v>44285</v>
      </c>
      <c r="AT4" s="609">
        <v>44376</v>
      </c>
      <c r="AU4" s="609">
        <v>44467</v>
      </c>
      <c r="AV4" s="609">
        <v>44558</v>
      </c>
      <c r="AW4" s="609">
        <v>44558</v>
      </c>
      <c r="AX4" s="609">
        <v>44649</v>
      </c>
      <c r="AY4" s="609">
        <v>44740</v>
      </c>
      <c r="AZ4" s="609">
        <v>44831</v>
      </c>
      <c r="BA4" s="609">
        <v>44929</v>
      </c>
      <c r="BB4" s="609">
        <v>44929</v>
      </c>
      <c r="BC4" s="609">
        <v>45019</v>
      </c>
      <c r="BD4" s="609">
        <v>45111</v>
      </c>
      <c r="BE4" s="609">
        <v>45202</v>
      </c>
      <c r="BF4" s="609">
        <v>45293</v>
      </c>
      <c r="BG4" s="610">
        <v>45293</v>
      </c>
    </row>
    <row r="5" spans="2:64" x14ac:dyDescent="0.2">
      <c r="B5" s="612"/>
      <c r="C5" s="819"/>
      <c r="D5" s="819"/>
      <c r="E5" s="819"/>
      <c r="F5" s="819"/>
      <c r="G5" s="819"/>
      <c r="H5" s="819"/>
      <c r="I5" s="819"/>
      <c r="J5" s="819" t="s">
        <v>157</v>
      </c>
      <c r="K5" s="819" t="s">
        <v>158</v>
      </c>
      <c r="L5" s="819" t="s">
        <v>159</v>
      </c>
      <c r="M5" s="819" t="s">
        <v>160</v>
      </c>
      <c r="N5" s="820" t="s">
        <v>161</v>
      </c>
      <c r="O5" s="820" t="s">
        <v>162</v>
      </c>
      <c r="P5" s="820" t="s">
        <v>163</v>
      </c>
      <c r="Q5" s="820" t="s">
        <v>164</v>
      </c>
      <c r="R5" s="820" t="s">
        <v>165</v>
      </c>
      <c r="S5" s="820" t="s">
        <v>166</v>
      </c>
      <c r="T5" s="820" t="s">
        <v>167</v>
      </c>
      <c r="U5" s="820" t="s">
        <v>168</v>
      </c>
      <c r="V5" s="820" t="s">
        <v>169</v>
      </c>
      <c r="W5" s="820" t="s">
        <v>170</v>
      </c>
      <c r="X5" s="820" t="s">
        <v>171</v>
      </c>
      <c r="Y5" s="820" t="s">
        <v>172</v>
      </c>
      <c r="Z5" s="820" t="s">
        <v>173</v>
      </c>
      <c r="AA5" s="820" t="s">
        <v>174</v>
      </c>
      <c r="AB5" s="820" t="s">
        <v>175</v>
      </c>
      <c r="AC5" s="820" t="s">
        <v>176</v>
      </c>
      <c r="AD5" s="820" t="s">
        <v>177</v>
      </c>
      <c r="AE5" s="820" t="s">
        <v>178</v>
      </c>
      <c r="AF5" s="820" t="s">
        <v>179</v>
      </c>
      <c r="AG5" s="820" t="s">
        <v>180</v>
      </c>
      <c r="AH5" s="820" t="s">
        <v>181</v>
      </c>
      <c r="AI5" s="820" t="s">
        <v>182</v>
      </c>
      <c r="AJ5" s="820" t="s">
        <v>183</v>
      </c>
      <c r="AK5" s="820" t="s">
        <v>184</v>
      </c>
      <c r="AL5" s="820" t="s">
        <v>185</v>
      </c>
      <c r="AM5" s="820" t="s">
        <v>186</v>
      </c>
      <c r="AN5" s="820" t="s">
        <v>187</v>
      </c>
      <c r="AO5" s="820" t="s">
        <v>188</v>
      </c>
      <c r="AP5" s="820" t="s">
        <v>189</v>
      </c>
      <c r="AQ5" s="820" t="s">
        <v>190</v>
      </c>
      <c r="AR5" s="820" t="s">
        <v>191</v>
      </c>
      <c r="AS5" s="820" t="s">
        <v>192</v>
      </c>
      <c r="AT5" s="820" t="s">
        <v>193</v>
      </c>
      <c r="AU5" s="820" t="s">
        <v>194</v>
      </c>
      <c r="AV5" s="820" t="s">
        <v>195</v>
      </c>
      <c r="AW5" s="820" t="s">
        <v>196</v>
      </c>
      <c r="AX5" s="820" t="s">
        <v>197</v>
      </c>
      <c r="AY5" s="820" t="s">
        <v>198</v>
      </c>
      <c r="AZ5" s="820" t="s">
        <v>199</v>
      </c>
      <c r="BA5" s="820" t="s">
        <v>200</v>
      </c>
      <c r="BB5" s="820" t="s">
        <v>201</v>
      </c>
      <c r="BC5" s="820" t="s">
        <v>202</v>
      </c>
      <c r="BD5" s="820" t="s">
        <v>203</v>
      </c>
      <c r="BE5" s="820" t="s">
        <v>204</v>
      </c>
      <c r="BF5" s="820" t="s">
        <v>205</v>
      </c>
      <c r="BG5" s="613" t="s">
        <v>206</v>
      </c>
      <c r="BH5"/>
      <c r="BI5"/>
      <c r="BJ5"/>
      <c r="BK5"/>
      <c r="BL5"/>
    </row>
    <row r="6" spans="2:64" x14ac:dyDescent="0.2">
      <c r="B6" s="614"/>
      <c r="BG6" s="615"/>
    </row>
    <row r="7" spans="2:64" x14ac:dyDescent="0.2">
      <c r="B7" s="616" t="s">
        <v>357</v>
      </c>
      <c r="C7" s="816"/>
      <c r="D7" s="817"/>
      <c r="E7" s="817"/>
      <c r="F7" s="817"/>
      <c r="G7" s="817"/>
      <c r="H7" s="817"/>
      <c r="I7" s="817"/>
      <c r="J7" s="817"/>
      <c r="K7" s="817"/>
      <c r="L7" s="817"/>
      <c r="M7" s="817"/>
      <c r="N7" s="817"/>
      <c r="O7" s="817"/>
      <c r="P7" s="817"/>
      <c r="Q7" s="817"/>
      <c r="R7" s="817"/>
      <c r="S7" s="817"/>
      <c r="T7" s="817"/>
      <c r="U7" s="817"/>
      <c r="V7" s="817"/>
      <c r="W7" s="817"/>
      <c r="X7" s="817"/>
      <c r="Y7" s="817"/>
      <c r="Z7" s="817"/>
      <c r="AA7" s="817"/>
      <c r="AB7" s="817"/>
      <c r="AC7" s="817"/>
      <c r="AD7" s="817"/>
      <c r="AE7" s="817"/>
      <c r="AF7" s="817"/>
      <c r="AG7" s="817"/>
      <c r="AH7" s="817"/>
      <c r="AI7" s="817"/>
      <c r="AJ7" s="817"/>
      <c r="AK7" s="817"/>
      <c r="AL7" s="817"/>
      <c r="AM7" s="817"/>
      <c r="AN7" s="817"/>
      <c r="AO7" s="817"/>
      <c r="AP7" s="817"/>
      <c r="AQ7" s="817"/>
      <c r="AR7" s="817"/>
      <c r="AS7" s="817"/>
      <c r="AT7" s="817"/>
      <c r="AU7" s="817"/>
      <c r="AV7" s="817"/>
      <c r="AW7" s="817"/>
      <c r="AX7" s="817"/>
      <c r="AY7" s="817"/>
      <c r="AZ7" s="817"/>
      <c r="BA7" s="817"/>
      <c r="BB7" s="817"/>
      <c r="BC7" s="817"/>
      <c r="BD7" s="817"/>
      <c r="BE7" s="817"/>
      <c r="BF7" s="817"/>
      <c r="BG7" s="617"/>
    </row>
    <row r="8" spans="2:64" x14ac:dyDescent="0.2">
      <c r="B8" s="614"/>
      <c r="BG8" s="615"/>
    </row>
    <row r="9" spans="2:64" x14ac:dyDescent="0.2">
      <c r="B9" s="614" t="s">
        <v>251</v>
      </c>
      <c r="J9" s="778">
        <v>168</v>
      </c>
      <c r="K9" s="779">
        <f>J12</f>
        <v>169</v>
      </c>
      <c r="L9" s="779">
        <f>K12</f>
        <v>170</v>
      </c>
      <c r="M9" s="780">
        <f>L12</f>
        <v>172</v>
      </c>
      <c r="N9" s="663">
        <f>J12</f>
        <v>169</v>
      </c>
      <c r="O9" s="664">
        <f>N12</f>
        <v>177</v>
      </c>
      <c r="P9" s="664">
        <f>O12</f>
        <v>177</v>
      </c>
      <c r="Q9" s="664">
        <f>P12</f>
        <v>179</v>
      </c>
      <c r="R9" s="664">
        <f>Q12</f>
        <v>181</v>
      </c>
      <c r="S9" s="663">
        <f>N12</f>
        <v>177</v>
      </c>
      <c r="T9" s="664">
        <f>S12</f>
        <v>187</v>
      </c>
      <c r="U9" s="664">
        <f>T12</f>
        <v>188</v>
      </c>
      <c r="V9" s="664">
        <f>U12</f>
        <v>189</v>
      </c>
      <c r="W9" s="665">
        <f>V12</f>
        <v>189</v>
      </c>
      <c r="X9" s="666">
        <f>S12</f>
        <v>187</v>
      </c>
      <c r="Y9" s="664">
        <f>X12</f>
        <v>194</v>
      </c>
      <c r="Z9" s="664">
        <f>Y12</f>
        <v>194</v>
      </c>
      <c r="AA9" s="664">
        <f>Z12</f>
        <v>193</v>
      </c>
      <c r="AB9" s="665">
        <f>AA12</f>
        <v>194</v>
      </c>
      <c r="AC9" s="666">
        <f>X12</f>
        <v>194</v>
      </c>
      <c r="AD9" s="664">
        <f>AC12</f>
        <v>199</v>
      </c>
      <c r="AE9" s="664">
        <f>AD12</f>
        <v>199</v>
      </c>
      <c r="AF9" s="664">
        <f>AE12</f>
        <v>198</v>
      </c>
      <c r="AG9" s="665">
        <f>AF12</f>
        <v>199</v>
      </c>
      <c r="AH9" s="666">
        <f>AC12</f>
        <v>199</v>
      </c>
      <c r="AI9" s="664">
        <f>AH12</f>
        <v>201</v>
      </c>
      <c r="AJ9" s="664">
        <f>AI12</f>
        <v>201</v>
      </c>
      <c r="AK9" s="664">
        <f>AJ12</f>
        <v>202</v>
      </c>
      <c r="AL9" s="665">
        <f>AK12</f>
        <v>203</v>
      </c>
      <c r="AM9" s="666">
        <f>AH12</f>
        <v>201</v>
      </c>
      <c r="AN9" s="664">
        <f>AM12</f>
        <v>206</v>
      </c>
      <c r="AO9" s="664">
        <f>AN12</f>
        <v>206</v>
      </c>
      <c r="AP9" s="664">
        <f>AO12</f>
        <v>206</v>
      </c>
      <c r="AQ9" s="665">
        <f>AP12</f>
        <v>205</v>
      </c>
      <c r="AR9" s="666">
        <f>AM12</f>
        <v>206</v>
      </c>
      <c r="AS9" s="664">
        <f>AR12</f>
        <v>206</v>
      </c>
      <c r="AT9" s="664">
        <f>AS12</f>
        <v>207</v>
      </c>
      <c r="AU9" s="664">
        <f>AT12</f>
        <v>207</v>
      </c>
      <c r="AV9" s="665">
        <f>AU12</f>
        <v>207</v>
      </c>
      <c r="AW9" s="666">
        <f>AR12</f>
        <v>206</v>
      </c>
      <c r="AX9" s="664">
        <f>AW12</f>
        <v>208</v>
      </c>
      <c r="AY9" s="664">
        <f>AX12</f>
        <v>208</v>
      </c>
      <c r="AZ9" s="664">
        <f>AY12</f>
        <v>208</v>
      </c>
      <c r="BA9" s="665">
        <f>AZ12</f>
        <v>209</v>
      </c>
      <c r="BB9" s="666">
        <f>AW12</f>
        <v>208</v>
      </c>
      <c r="BC9" s="664">
        <f>BB12</f>
        <v>211</v>
      </c>
      <c r="BD9" s="664">
        <f>BC12</f>
        <v>210</v>
      </c>
      <c r="BE9" s="664">
        <f>BD12</f>
        <v>211</v>
      </c>
      <c r="BF9" s="665">
        <f>BE12</f>
        <v>213</v>
      </c>
      <c r="BG9" s="669">
        <f>BB12</f>
        <v>211</v>
      </c>
    </row>
    <row r="10" spans="2:64" x14ac:dyDescent="0.2">
      <c r="B10" s="614" t="s">
        <v>252</v>
      </c>
      <c r="J10" s="680">
        <v>1</v>
      </c>
      <c r="K10" s="821">
        <v>2</v>
      </c>
      <c r="L10" s="821">
        <v>2</v>
      </c>
      <c r="M10" s="654">
        <v>5</v>
      </c>
      <c r="N10" s="822">
        <v>10</v>
      </c>
      <c r="O10" s="823">
        <v>0</v>
      </c>
      <c r="P10" s="823">
        <v>2</v>
      </c>
      <c r="Q10" s="823">
        <v>2</v>
      </c>
      <c r="R10" s="823">
        <v>6</v>
      </c>
      <c r="S10" s="822">
        <v>10</v>
      </c>
      <c r="T10" s="823">
        <v>1</v>
      </c>
      <c r="U10" s="823">
        <v>1</v>
      </c>
      <c r="V10" s="823">
        <v>0</v>
      </c>
      <c r="W10" s="823">
        <v>5</v>
      </c>
      <c r="X10" s="822">
        <v>7</v>
      </c>
      <c r="Y10" s="823">
        <v>0</v>
      </c>
      <c r="Z10" s="823">
        <v>1</v>
      </c>
      <c r="AA10" s="823">
        <v>1</v>
      </c>
      <c r="AB10" s="823">
        <v>5</v>
      </c>
      <c r="AC10" s="822">
        <v>7</v>
      </c>
      <c r="AD10" s="823">
        <v>0</v>
      </c>
      <c r="AE10" s="823">
        <v>0</v>
      </c>
      <c r="AF10" s="823">
        <v>1</v>
      </c>
      <c r="AG10" s="823">
        <v>3</v>
      </c>
      <c r="AH10" s="822">
        <v>4</v>
      </c>
      <c r="AI10" s="823">
        <v>0</v>
      </c>
      <c r="AJ10" s="823">
        <v>1</v>
      </c>
      <c r="AK10" s="823">
        <v>1</v>
      </c>
      <c r="AL10" s="823">
        <v>3</v>
      </c>
      <c r="AM10" s="824">
        <f>SUM(AI10,AJ10,AK10,AL10)</f>
        <v>5</v>
      </c>
      <c r="AN10" s="823">
        <v>0</v>
      </c>
      <c r="AO10" s="823">
        <v>0</v>
      </c>
      <c r="AP10" s="823">
        <v>0</v>
      </c>
      <c r="AQ10" s="823">
        <v>1</v>
      </c>
      <c r="AR10" s="824">
        <f>SUM(AN10,AO10,AP10,AQ10)</f>
        <v>1</v>
      </c>
      <c r="AS10" s="823">
        <v>1</v>
      </c>
      <c r="AT10" s="823">
        <v>0</v>
      </c>
      <c r="AU10" s="823">
        <v>0</v>
      </c>
      <c r="AV10" s="823">
        <v>1</v>
      </c>
      <c r="AW10" s="824">
        <f>SUM(AS10,AT10,AU10,AV10)</f>
        <v>2</v>
      </c>
      <c r="AX10" s="823">
        <v>0</v>
      </c>
      <c r="AY10" s="823">
        <v>0</v>
      </c>
      <c r="AZ10" s="823">
        <v>1</v>
      </c>
      <c r="BA10" s="823">
        <v>2</v>
      </c>
      <c r="BB10" s="824">
        <f>SUM(AX10,AY10,AZ10,BA10)</f>
        <v>3</v>
      </c>
      <c r="BC10" s="823">
        <v>0</v>
      </c>
      <c r="BD10" s="823">
        <v>1</v>
      </c>
      <c r="BE10" s="823">
        <v>2</v>
      </c>
      <c r="BF10" s="823">
        <v>3</v>
      </c>
      <c r="BG10" s="670">
        <f>SUM(BC10,BD10,BE10,BF10)</f>
        <v>6</v>
      </c>
    </row>
    <row r="11" spans="2:64" x14ac:dyDescent="0.2">
      <c r="B11" s="614" t="s">
        <v>253</v>
      </c>
      <c r="J11" s="681">
        <f>J12-J9-J10</f>
        <v>0</v>
      </c>
      <c r="K11" s="825">
        <f>K12-K9-K10</f>
        <v>-1</v>
      </c>
      <c r="L11" s="825">
        <f>L12-L9-L10</f>
        <v>0</v>
      </c>
      <c r="M11" s="655">
        <f>M12-M9-M10</f>
        <v>0</v>
      </c>
      <c r="N11" s="824">
        <f>-(N10-(N12-N9))</f>
        <v>-2</v>
      </c>
      <c r="O11" s="826">
        <f>O12-O9-O10</f>
        <v>0</v>
      </c>
      <c r="P11" s="826">
        <f>P12-P9-P10</f>
        <v>0</v>
      </c>
      <c r="Q11" s="826">
        <f>Q12-Q9-Q10</f>
        <v>0</v>
      </c>
      <c r="R11" s="826">
        <f>R12-R9-R10</f>
        <v>0</v>
      </c>
      <c r="S11" s="824">
        <f>-(S10-(S12-S9))</f>
        <v>0</v>
      </c>
      <c r="T11" s="826">
        <f>T12-T9-T10</f>
        <v>0</v>
      </c>
      <c r="U11" s="826">
        <f>U12-U9-U10</f>
        <v>0</v>
      </c>
      <c r="V11" s="826">
        <f>V12-V9-V10</f>
        <v>0</v>
      </c>
      <c r="W11" s="826">
        <f>W12-W9-W10</f>
        <v>0</v>
      </c>
      <c r="X11" s="824">
        <f>-(X10-(X12-X9))</f>
        <v>0</v>
      </c>
      <c r="Y11" s="826">
        <f>Y12-Y9-Y10</f>
        <v>0</v>
      </c>
      <c r="Z11" s="826">
        <f>Z12-Z9-Z10</f>
        <v>-2</v>
      </c>
      <c r="AA11" s="826">
        <f>AA12-AA9-AA10</f>
        <v>0</v>
      </c>
      <c r="AB11" s="826">
        <f>AB12-AB9-AB10</f>
        <v>0</v>
      </c>
      <c r="AC11" s="824">
        <f>-(AC10-(AC12-AC9))</f>
        <v>-2</v>
      </c>
      <c r="AD11" s="826">
        <f>AD12-AD9-AD10</f>
        <v>0</v>
      </c>
      <c r="AE11" s="826">
        <f>AE12-AE9-AE10</f>
        <v>-1</v>
      </c>
      <c r="AF11" s="826">
        <f>AF12-AF9-AF10</f>
        <v>0</v>
      </c>
      <c r="AG11" s="826">
        <f>AG12-AG9-AG10</f>
        <v>-1</v>
      </c>
      <c r="AH11" s="824">
        <f>-(AH10-(AH12-AH9))</f>
        <v>-2</v>
      </c>
      <c r="AI11" s="826">
        <f>AI12-AI9-AI10</f>
        <v>0</v>
      </c>
      <c r="AJ11" s="826">
        <f>AJ12-AJ9-AJ10</f>
        <v>0</v>
      </c>
      <c r="AK11" s="826">
        <f>AK12-AK9-AK10</f>
        <v>0</v>
      </c>
      <c r="AL11" s="826">
        <f>AL12-AL9-AL10</f>
        <v>0</v>
      </c>
      <c r="AM11" s="824">
        <f>-(AM10-(AM12-AM9))</f>
        <v>0</v>
      </c>
      <c r="AN11" s="826">
        <f>AN12-AN9-AN10</f>
        <v>0</v>
      </c>
      <c r="AO11" s="826">
        <f>AO12-AO9-AO10</f>
        <v>0</v>
      </c>
      <c r="AP11" s="826">
        <f>AP12-AP9-AP10</f>
        <v>-1</v>
      </c>
      <c r="AQ11" s="826">
        <f>AQ12-AQ9-AQ10</f>
        <v>0</v>
      </c>
      <c r="AR11" s="824">
        <f>-(AR10-(AR12-AR9))</f>
        <v>-1</v>
      </c>
      <c r="AS11" s="826">
        <f>AS12-AS9-AS10</f>
        <v>0</v>
      </c>
      <c r="AT11" s="826">
        <f>AT12-AT9-AT10</f>
        <v>0</v>
      </c>
      <c r="AU11" s="826">
        <f>AU12-AU9-AU10</f>
        <v>0</v>
      </c>
      <c r="AV11" s="826">
        <f>AV12-AV9-AV10</f>
        <v>0</v>
      </c>
      <c r="AW11" s="824">
        <f>-(AW10-(AW12-AW9))</f>
        <v>0</v>
      </c>
      <c r="AX11" s="826">
        <f>AX12-AX9-AX10</f>
        <v>0</v>
      </c>
      <c r="AY11" s="826">
        <f>AY12-AY9-AY10</f>
        <v>0</v>
      </c>
      <c r="AZ11" s="826">
        <f>AZ12-AZ9-AZ10</f>
        <v>0</v>
      </c>
      <c r="BA11" s="826">
        <f>BA12-BA9-BA10</f>
        <v>0</v>
      </c>
      <c r="BB11" s="824">
        <f>-(BB10-(BB12-BB9))</f>
        <v>0</v>
      </c>
      <c r="BC11" s="826">
        <f>BC12-BC9-BC10</f>
        <v>-1</v>
      </c>
      <c r="BD11" s="826">
        <f>BD12-BD9-BD10</f>
        <v>0</v>
      </c>
      <c r="BE11" s="826">
        <f>BE12-BE9-BE10</f>
        <v>0</v>
      </c>
      <c r="BF11" s="826">
        <f>BF12-BF9-BF10</f>
        <v>0</v>
      </c>
      <c r="BG11" s="670">
        <f>-(BG10-(BG12-BG9))</f>
        <v>-1</v>
      </c>
    </row>
    <row r="12" spans="2:64" x14ac:dyDescent="0.2">
      <c r="B12" s="618" t="s">
        <v>254</v>
      </c>
      <c r="C12" s="827"/>
      <c r="D12" s="828"/>
      <c r="J12" s="682">
        <v>169</v>
      </c>
      <c r="K12" s="829">
        <v>170</v>
      </c>
      <c r="L12" s="829">
        <v>172</v>
      </c>
      <c r="M12" s="656">
        <f>N12</f>
        <v>177</v>
      </c>
      <c r="N12" s="830">
        <v>177</v>
      </c>
      <c r="O12" s="831">
        <v>177</v>
      </c>
      <c r="P12" s="831">
        <v>179</v>
      </c>
      <c r="Q12" s="831">
        <v>181</v>
      </c>
      <c r="R12" s="832">
        <f>S12</f>
        <v>187</v>
      </c>
      <c r="S12" s="830">
        <v>187</v>
      </c>
      <c r="T12" s="831">
        <v>188</v>
      </c>
      <c r="U12" s="831">
        <v>189</v>
      </c>
      <c r="V12" s="831">
        <v>189</v>
      </c>
      <c r="W12" s="831">
        <v>194</v>
      </c>
      <c r="X12" s="830">
        <v>194</v>
      </c>
      <c r="Y12" s="831">
        <v>194</v>
      </c>
      <c r="Z12" s="831">
        <v>193</v>
      </c>
      <c r="AA12" s="831">
        <v>194</v>
      </c>
      <c r="AB12" s="831">
        <v>199</v>
      </c>
      <c r="AC12" s="830">
        <v>199</v>
      </c>
      <c r="AD12" s="831">
        <v>199</v>
      </c>
      <c r="AE12" s="831">
        <v>198</v>
      </c>
      <c r="AF12" s="831">
        <v>199</v>
      </c>
      <c r="AG12" s="831">
        <v>201</v>
      </c>
      <c r="AH12" s="830">
        <v>201</v>
      </c>
      <c r="AI12" s="831">
        <v>201</v>
      </c>
      <c r="AJ12" s="831">
        <v>202</v>
      </c>
      <c r="AK12" s="831">
        <v>203</v>
      </c>
      <c r="AL12" s="831">
        <v>206</v>
      </c>
      <c r="AM12" s="833">
        <f>AL12</f>
        <v>206</v>
      </c>
      <c r="AN12" s="831">
        <v>206</v>
      </c>
      <c r="AO12" s="831">
        <v>206</v>
      </c>
      <c r="AP12" s="831">
        <v>205</v>
      </c>
      <c r="AQ12" s="831">
        <v>206</v>
      </c>
      <c r="AR12" s="833">
        <f>AQ12</f>
        <v>206</v>
      </c>
      <c r="AS12" s="831">
        <v>207</v>
      </c>
      <c r="AT12" s="831">
        <v>207</v>
      </c>
      <c r="AU12" s="831">
        <v>207</v>
      </c>
      <c r="AV12" s="831">
        <v>208</v>
      </c>
      <c r="AW12" s="833">
        <f>AV12</f>
        <v>208</v>
      </c>
      <c r="AX12" s="831">
        <v>208</v>
      </c>
      <c r="AY12" s="831">
        <v>208</v>
      </c>
      <c r="AZ12" s="831">
        <v>209</v>
      </c>
      <c r="BA12" s="831">
        <v>211</v>
      </c>
      <c r="BB12" s="833">
        <f>BA12</f>
        <v>211</v>
      </c>
      <c r="BC12" s="831">
        <v>210</v>
      </c>
      <c r="BD12" s="831">
        <v>211</v>
      </c>
      <c r="BE12" s="831">
        <v>213</v>
      </c>
      <c r="BF12" s="831">
        <v>216</v>
      </c>
      <c r="BG12" s="671">
        <f>BF12</f>
        <v>216</v>
      </c>
    </row>
    <row r="13" spans="2:64" x14ac:dyDescent="0.2">
      <c r="B13" s="619"/>
      <c r="C13" s="834"/>
      <c r="D13" s="835"/>
      <c r="J13" s="683"/>
      <c r="K13" s="836"/>
      <c r="L13" s="836"/>
      <c r="M13" s="657"/>
      <c r="N13" s="837"/>
      <c r="O13" s="838"/>
      <c r="P13" s="838"/>
      <c r="Q13" s="838"/>
      <c r="R13" s="838"/>
      <c r="S13" s="837"/>
      <c r="T13" s="838"/>
      <c r="U13" s="838"/>
      <c r="V13" s="838"/>
      <c r="W13" s="839"/>
      <c r="X13" s="837"/>
      <c r="Y13" s="838"/>
      <c r="Z13" s="838"/>
      <c r="AA13" s="838"/>
      <c r="AB13" s="839"/>
      <c r="AC13" s="837"/>
      <c r="AD13" s="838"/>
      <c r="AE13" s="838"/>
      <c r="AF13" s="838"/>
      <c r="AG13" s="839"/>
      <c r="AH13" s="837"/>
      <c r="AI13" s="838"/>
      <c r="AJ13" s="838"/>
      <c r="AK13" s="838"/>
      <c r="AL13" s="839"/>
      <c r="AM13" s="837"/>
      <c r="AN13" s="838"/>
      <c r="AO13" s="838"/>
      <c r="AP13" s="838"/>
      <c r="AQ13" s="839"/>
      <c r="AR13" s="837"/>
      <c r="AS13" s="838"/>
      <c r="AT13" s="838"/>
      <c r="AU13" s="838"/>
      <c r="AV13" s="839"/>
      <c r="AW13" s="837"/>
      <c r="AX13" s="838"/>
      <c r="AY13" s="838"/>
      <c r="AZ13" s="838"/>
      <c r="BA13" s="839"/>
      <c r="BB13" s="837"/>
      <c r="BC13" s="838"/>
      <c r="BD13" s="838"/>
      <c r="BE13" s="838"/>
      <c r="BF13" s="839"/>
      <c r="BG13" s="672"/>
    </row>
    <row r="14" spans="2:64" x14ac:dyDescent="0.2">
      <c r="B14" s="620" t="s">
        <v>256</v>
      </c>
      <c r="C14" s="840"/>
      <c r="D14" s="841"/>
      <c r="E14" s="842"/>
      <c r="F14" s="842"/>
      <c r="G14" s="842"/>
      <c r="H14" s="842"/>
      <c r="I14" s="842"/>
      <c r="J14" s="684">
        <f>AVERAGE(J9,J12)</f>
        <v>168.5</v>
      </c>
      <c r="K14" s="843">
        <f>AVERAGE(K9,K12)</f>
        <v>169.5</v>
      </c>
      <c r="L14" s="843">
        <f>AVERAGE(L9,L12)</f>
        <v>171</v>
      </c>
      <c r="M14" s="658">
        <f>AVERAGE(M9,M12)</f>
        <v>174.5</v>
      </c>
      <c r="N14" s="844">
        <f>AVERAGE(J14,K14,L14,M14)</f>
        <v>170.875</v>
      </c>
      <c r="O14" s="845">
        <f>AVERAGE(O9,O12)</f>
        <v>177</v>
      </c>
      <c r="P14" s="845">
        <f>AVERAGE(P9,P12)</f>
        <v>178</v>
      </c>
      <c r="Q14" s="845">
        <f>AVERAGE(Q9,Q12)</f>
        <v>180</v>
      </c>
      <c r="R14" s="845">
        <f>AVERAGE(R9,R12)</f>
        <v>184</v>
      </c>
      <c r="S14" s="844">
        <f>AVERAGE(O14,P14,Q14,R14)</f>
        <v>179.75</v>
      </c>
      <c r="T14" s="845">
        <f>AVERAGE(T9,T12)</f>
        <v>187.5</v>
      </c>
      <c r="U14" s="845">
        <f>AVERAGE(U9,U12)</f>
        <v>188.5</v>
      </c>
      <c r="V14" s="845">
        <f>AVERAGE(V9,V12)</f>
        <v>189</v>
      </c>
      <c r="W14" s="846">
        <f>AVERAGE(W9,W12)</f>
        <v>191.5</v>
      </c>
      <c r="X14" s="844">
        <f>AVERAGE(T14,U14,V14,W14)</f>
        <v>189.125</v>
      </c>
      <c r="Y14" s="845">
        <f>AVERAGE(Y9,Y12)</f>
        <v>194</v>
      </c>
      <c r="Z14" s="845">
        <f>AVERAGE(Z9,Z12)</f>
        <v>193.5</v>
      </c>
      <c r="AA14" s="845">
        <f>AVERAGE(AA9,AA12)</f>
        <v>193.5</v>
      </c>
      <c r="AB14" s="846">
        <f>AVERAGE(AB9,AB12)</f>
        <v>196.5</v>
      </c>
      <c r="AC14" s="844">
        <f>AVERAGE(Y14,Z14,AA14,AB14)</f>
        <v>194.375</v>
      </c>
      <c r="AD14" s="845">
        <f>AVERAGE(AD9,AD12)</f>
        <v>199</v>
      </c>
      <c r="AE14" s="845">
        <f>AVERAGE(AE9,AE12)</f>
        <v>198.5</v>
      </c>
      <c r="AF14" s="845">
        <f>AVERAGE(AF9,AF12)</f>
        <v>198.5</v>
      </c>
      <c r="AG14" s="846">
        <f>AVERAGE(AG9,AG12)</f>
        <v>200</v>
      </c>
      <c r="AH14" s="844">
        <f>AVERAGE(AD14,AE14,AF14,AG14)</f>
        <v>199</v>
      </c>
      <c r="AI14" s="845">
        <f>AVERAGE(AI9,AI12)</f>
        <v>201</v>
      </c>
      <c r="AJ14" s="845">
        <f>AVERAGE(AJ9,AJ12)</f>
        <v>201.5</v>
      </c>
      <c r="AK14" s="845">
        <f>AVERAGE(AK9,AK12)</f>
        <v>202.5</v>
      </c>
      <c r="AL14" s="846">
        <f>AVERAGE(AL9,AL12)</f>
        <v>204.5</v>
      </c>
      <c r="AM14" s="844">
        <f>AVERAGE(AI14,AJ14,AK14,AL14)</f>
        <v>202.375</v>
      </c>
      <c r="AN14" s="845">
        <f>AVERAGE(AN9,AN12)</f>
        <v>206</v>
      </c>
      <c r="AO14" s="845">
        <f>AVERAGE(AO9,AO12)</f>
        <v>206</v>
      </c>
      <c r="AP14" s="845">
        <f>AVERAGE(AP9,AP12)</f>
        <v>205.5</v>
      </c>
      <c r="AQ14" s="846">
        <f>AVERAGE(AQ9,AQ12)</f>
        <v>205.5</v>
      </c>
      <c r="AR14" s="844">
        <f>AVERAGE(AN14,AO14,AP14,AQ14)</f>
        <v>205.75</v>
      </c>
      <c r="AS14" s="845">
        <f>AVERAGE(AS9,AS12)</f>
        <v>206.5</v>
      </c>
      <c r="AT14" s="845">
        <f>AVERAGE(AT9,AT12)</f>
        <v>207</v>
      </c>
      <c r="AU14" s="845">
        <f>AVERAGE(AU9,AU12)</f>
        <v>207</v>
      </c>
      <c r="AV14" s="846">
        <f>AVERAGE(AV9,AV12)</f>
        <v>207.5</v>
      </c>
      <c r="AW14" s="844">
        <f>AVERAGE(AS14,AT14,AU14,AV14)</f>
        <v>207</v>
      </c>
      <c r="AX14" s="845">
        <f>AVERAGE(AX9,AX12)</f>
        <v>208</v>
      </c>
      <c r="AY14" s="845">
        <f>AVERAGE(AY9,AY12)</f>
        <v>208</v>
      </c>
      <c r="AZ14" s="845">
        <f>AVERAGE(AZ9,AZ12)</f>
        <v>208.5</v>
      </c>
      <c r="BA14" s="846">
        <f>AVERAGE(BA9,BA12)</f>
        <v>210</v>
      </c>
      <c r="BB14" s="844">
        <f>AVERAGE(AX14,AY14,AZ14,BA14)</f>
        <v>208.625</v>
      </c>
      <c r="BC14" s="845">
        <f>AVERAGE(BC9,BC12)</f>
        <v>210.5</v>
      </c>
      <c r="BD14" s="845">
        <f>AVERAGE(BD9,BD12)</f>
        <v>210.5</v>
      </c>
      <c r="BE14" s="845">
        <f>AVERAGE(BE9,BE12)</f>
        <v>212</v>
      </c>
      <c r="BF14" s="846">
        <f>AVERAGE(BF9,BF12)</f>
        <v>214.5</v>
      </c>
      <c r="BG14" s="673">
        <f>AVERAGE(BC14,BD14,BE14,BF14)</f>
        <v>211.875</v>
      </c>
    </row>
    <row r="15" spans="2:64" x14ac:dyDescent="0.2">
      <c r="B15" s="614"/>
      <c r="J15" s="685"/>
      <c r="K15" s="847"/>
      <c r="L15" s="847"/>
      <c r="M15" s="621"/>
      <c r="N15" s="847"/>
      <c r="O15" s="847"/>
      <c r="P15" s="847"/>
      <c r="Q15" s="847"/>
      <c r="R15" s="847"/>
      <c r="S15" s="847"/>
      <c r="T15" s="847"/>
      <c r="U15" s="847"/>
      <c r="V15" s="847"/>
      <c r="W15" s="847"/>
      <c r="X15" s="847"/>
      <c r="Y15" s="847"/>
      <c r="Z15" s="847"/>
      <c r="AA15" s="847"/>
      <c r="AB15" s="847"/>
      <c r="AC15" s="847"/>
      <c r="AD15" s="847"/>
      <c r="AE15" s="847"/>
      <c r="AF15" s="847"/>
      <c r="AG15" s="847"/>
      <c r="AH15" s="847"/>
      <c r="AI15" s="847"/>
      <c r="AJ15" s="847"/>
      <c r="AK15" s="847"/>
      <c r="AL15" s="847"/>
      <c r="AM15" s="847"/>
      <c r="AN15" s="847"/>
      <c r="AO15" s="847"/>
      <c r="AP15" s="847"/>
      <c r="AQ15" s="847"/>
      <c r="AR15" s="847"/>
      <c r="AS15" s="847"/>
      <c r="AT15" s="847"/>
      <c r="AU15" s="847"/>
      <c r="AV15" s="847"/>
      <c r="AW15" s="847"/>
      <c r="AX15" s="847"/>
      <c r="AY15" s="847"/>
      <c r="AZ15" s="847"/>
      <c r="BA15" s="847"/>
      <c r="BB15" s="847"/>
      <c r="BC15" s="847"/>
      <c r="BD15" s="847"/>
      <c r="BE15" s="847"/>
      <c r="BF15" s="847"/>
      <c r="BG15" s="621"/>
    </row>
    <row r="16" spans="2:64" x14ac:dyDescent="0.2">
      <c r="B16" s="614"/>
      <c r="J16" s="685"/>
      <c r="K16" s="847"/>
      <c r="L16" s="847"/>
      <c r="M16" s="621"/>
      <c r="N16" s="847"/>
      <c r="O16" s="847"/>
      <c r="P16" s="847"/>
      <c r="Q16" s="847"/>
      <c r="R16" s="847"/>
      <c r="S16" s="847"/>
      <c r="T16" s="847"/>
      <c r="U16" s="847"/>
      <c r="V16" s="847"/>
      <c r="W16" s="847"/>
      <c r="X16" s="847"/>
      <c r="Y16" s="847"/>
      <c r="Z16" s="847"/>
      <c r="AA16" s="847"/>
      <c r="AB16" s="847"/>
      <c r="AC16" s="847"/>
      <c r="AD16" s="847"/>
      <c r="AE16" s="847"/>
      <c r="AF16" s="847"/>
      <c r="AG16" s="847"/>
      <c r="AH16" s="847"/>
      <c r="AI16" s="847"/>
      <c r="AJ16" s="847"/>
      <c r="AK16" s="847"/>
      <c r="AL16" s="847"/>
      <c r="AM16" s="847"/>
      <c r="AN16" s="847"/>
      <c r="AO16" s="847"/>
      <c r="AP16" s="847"/>
      <c r="AQ16" s="847"/>
      <c r="AR16" s="847"/>
      <c r="AS16" s="847"/>
      <c r="AT16" s="847"/>
      <c r="AU16" s="847"/>
      <c r="AV16" s="847"/>
      <c r="AW16" s="847"/>
      <c r="AX16" s="847"/>
      <c r="AY16" s="847"/>
      <c r="AZ16" s="847"/>
      <c r="BA16" s="847"/>
      <c r="BB16" s="847"/>
      <c r="BC16" s="847"/>
      <c r="BD16" s="847"/>
      <c r="BE16" s="847"/>
      <c r="BF16" s="847"/>
      <c r="BG16" s="621"/>
    </row>
    <row r="17" spans="2:68" x14ac:dyDescent="0.2">
      <c r="B17" s="614"/>
      <c r="J17" s="682"/>
      <c r="K17" s="829"/>
      <c r="L17" s="829"/>
      <c r="M17" s="659"/>
      <c r="N17" s="832"/>
      <c r="O17" s="832"/>
      <c r="P17" s="832"/>
      <c r="Q17" s="832"/>
      <c r="R17" s="832"/>
      <c r="S17" s="832"/>
      <c r="T17" s="832"/>
      <c r="U17" s="832"/>
      <c r="V17" s="832"/>
      <c r="W17" s="832"/>
      <c r="X17" s="832"/>
      <c r="Y17" s="832"/>
      <c r="Z17" s="832"/>
      <c r="AA17" s="832"/>
      <c r="AB17" s="832"/>
      <c r="AC17" s="832"/>
      <c r="AD17" s="832"/>
      <c r="AE17" s="832"/>
      <c r="AF17" s="832"/>
      <c r="AG17" s="832"/>
      <c r="AH17" s="832"/>
      <c r="AI17" s="832"/>
      <c r="AJ17" s="832"/>
      <c r="AK17" s="832"/>
      <c r="AL17" s="832"/>
      <c r="AM17" s="832"/>
      <c r="AN17" s="832"/>
      <c r="AO17" s="832"/>
      <c r="AP17" s="832"/>
      <c r="AQ17" s="832"/>
      <c r="AR17" s="832"/>
      <c r="AS17" s="832"/>
      <c r="AT17" s="832"/>
      <c r="AU17" s="832"/>
      <c r="AV17" s="832"/>
      <c r="AW17" s="832"/>
      <c r="AX17" s="832"/>
      <c r="AY17" s="832"/>
      <c r="AZ17" s="832"/>
      <c r="BA17" s="832"/>
      <c r="BB17" s="832"/>
      <c r="BC17" s="832"/>
      <c r="BD17" s="832"/>
      <c r="BE17" s="832"/>
      <c r="BF17" s="832"/>
      <c r="BG17" s="675"/>
      <c r="BK17" s="651"/>
    </row>
    <row r="18" spans="2:68" x14ac:dyDescent="0.2">
      <c r="B18" s="622" t="s">
        <v>358</v>
      </c>
      <c r="J18" s="686"/>
      <c r="K18" s="652"/>
      <c r="L18" s="652"/>
      <c r="M18" s="660"/>
      <c r="N18" s="653">
        <v>35700</v>
      </c>
      <c r="O18" s="652">
        <f>N18+380</f>
        <v>36080</v>
      </c>
      <c r="P18" s="652">
        <f t="shared" ref="P18:R18" si="0">O18+380</f>
        <v>36460</v>
      </c>
      <c r="Q18" s="652">
        <f t="shared" si="0"/>
        <v>36840</v>
      </c>
      <c r="R18" s="652">
        <f t="shared" si="0"/>
        <v>37220</v>
      </c>
      <c r="S18" s="653">
        <v>37600</v>
      </c>
      <c r="T18" s="652">
        <f>S18+240</f>
        <v>37840</v>
      </c>
      <c r="U18" s="652">
        <f t="shared" ref="U18:W18" si="1">T18+240</f>
        <v>38080</v>
      </c>
      <c r="V18" s="652">
        <f t="shared" si="1"/>
        <v>38320</v>
      </c>
      <c r="W18" s="652">
        <f t="shared" si="1"/>
        <v>38560</v>
      </c>
      <c r="X18" s="653">
        <v>38800</v>
      </c>
      <c r="Y18" s="652">
        <f>X18+60</f>
        <v>38860</v>
      </c>
      <c r="Z18" s="652">
        <f t="shared" ref="Z18:AB18" si="2">Y18+60</f>
        <v>38920</v>
      </c>
      <c r="AA18" s="652">
        <f t="shared" si="2"/>
        <v>38980</v>
      </c>
      <c r="AB18" s="652">
        <f t="shared" si="2"/>
        <v>39040</v>
      </c>
      <c r="AC18" s="653">
        <v>39100</v>
      </c>
      <c r="AD18" s="652">
        <f>AC18-80</f>
        <v>39020</v>
      </c>
      <c r="AE18" s="652">
        <f t="shared" ref="AE18:AG18" si="3">AD18-80</f>
        <v>38940</v>
      </c>
      <c r="AF18" s="652">
        <f t="shared" si="3"/>
        <v>38860</v>
      </c>
      <c r="AG18" s="652">
        <f t="shared" si="3"/>
        <v>38780</v>
      </c>
      <c r="AH18" s="653">
        <v>38700</v>
      </c>
      <c r="AI18" s="652">
        <f>AH18+1510</f>
        <v>40210</v>
      </c>
      <c r="AJ18" s="652">
        <f t="shared" ref="AJ18:AL18" si="4">AI18+1510</f>
        <v>41720</v>
      </c>
      <c r="AK18" s="652">
        <f t="shared" si="4"/>
        <v>43230</v>
      </c>
      <c r="AL18" s="652">
        <f t="shared" si="4"/>
        <v>44740</v>
      </c>
      <c r="AM18" s="653">
        <v>46250</v>
      </c>
      <c r="AN18" s="652">
        <f>AM18-750</f>
        <v>45500</v>
      </c>
      <c r="AO18" s="652">
        <f t="shared" ref="AO18:AQ18" si="5">AN18-750</f>
        <v>44750</v>
      </c>
      <c r="AP18" s="652">
        <f t="shared" si="5"/>
        <v>44000</v>
      </c>
      <c r="AQ18" s="652">
        <f t="shared" si="5"/>
        <v>43250</v>
      </c>
      <c r="AR18" s="653">
        <v>42500</v>
      </c>
      <c r="AS18" s="652">
        <f>AR18+660</f>
        <v>43160</v>
      </c>
      <c r="AT18" s="652">
        <f t="shared" ref="AT18:AV18" si="6">AS18+660</f>
        <v>43820</v>
      </c>
      <c r="AU18" s="652">
        <f t="shared" si="6"/>
        <v>44480</v>
      </c>
      <c r="AV18" s="652">
        <f t="shared" si="6"/>
        <v>45140</v>
      </c>
      <c r="AW18" s="653">
        <v>45800</v>
      </c>
      <c r="AX18" s="652">
        <f>AW18+340</f>
        <v>46140</v>
      </c>
      <c r="AY18" s="652">
        <f t="shared" ref="AY18:BA18" si="7">AX18+340</f>
        <v>46480</v>
      </c>
      <c r="AZ18" s="652">
        <f t="shared" si="7"/>
        <v>46820</v>
      </c>
      <c r="BA18" s="652">
        <f t="shared" si="7"/>
        <v>47160</v>
      </c>
      <c r="BB18" s="653">
        <v>47500</v>
      </c>
      <c r="BC18" s="652">
        <f>BB18+80</f>
        <v>47580</v>
      </c>
      <c r="BD18" s="652">
        <f t="shared" ref="BD18:BF18" si="8">BC18+80</f>
        <v>47660</v>
      </c>
      <c r="BE18" s="652">
        <f t="shared" si="8"/>
        <v>47740</v>
      </c>
      <c r="BF18" s="652">
        <f t="shared" si="8"/>
        <v>47820</v>
      </c>
      <c r="BG18" s="676">
        <v>47900</v>
      </c>
      <c r="BH18" s="261"/>
      <c r="BI18" s="261"/>
      <c r="BJ18" s="261"/>
      <c r="BK18" s="606"/>
      <c r="BL18" s="652"/>
      <c r="BM18" s="652"/>
      <c r="BN18" s="652"/>
      <c r="BO18" s="652"/>
      <c r="BP18" s="653"/>
    </row>
    <row r="19" spans="2:68" x14ac:dyDescent="0.2">
      <c r="B19" s="614"/>
      <c r="J19" s="685"/>
      <c r="K19" s="847"/>
      <c r="L19" s="847"/>
      <c r="M19" s="621"/>
      <c r="N19" s="833"/>
      <c r="O19" s="833"/>
      <c r="P19" s="833"/>
      <c r="Q19" s="833"/>
      <c r="R19" s="833"/>
      <c r="S19" s="833"/>
      <c r="T19" s="833"/>
      <c r="U19" s="833"/>
      <c r="V19" s="833"/>
      <c r="W19" s="833"/>
      <c r="X19" s="833"/>
      <c r="Y19" s="833"/>
      <c r="Z19" s="833"/>
      <c r="AA19" s="833"/>
      <c r="AB19" s="833"/>
      <c r="AC19" s="833"/>
      <c r="AD19" s="833"/>
      <c r="AE19" s="833"/>
      <c r="AF19" s="833"/>
      <c r="AG19" s="833"/>
      <c r="AH19" s="833"/>
      <c r="AI19" s="833"/>
      <c r="AJ19" s="833"/>
      <c r="AK19" s="833"/>
      <c r="AL19" s="833"/>
      <c r="AM19" s="833"/>
      <c r="AN19" s="833"/>
      <c r="AO19" s="833"/>
      <c r="AP19" s="833"/>
      <c r="AQ19" s="833"/>
      <c r="AR19" s="833"/>
      <c r="AS19" s="833"/>
      <c r="AT19" s="833"/>
      <c r="AU19" s="833"/>
      <c r="AV19" s="833"/>
      <c r="AW19" s="833"/>
      <c r="AX19" s="833"/>
      <c r="AY19" s="833"/>
      <c r="AZ19" s="833"/>
      <c r="BA19" s="833"/>
      <c r="BB19" s="833"/>
      <c r="BC19" s="847"/>
      <c r="BD19" s="847"/>
      <c r="BE19" s="847"/>
      <c r="BF19" s="847"/>
      <c r="BG19" s="674"/>
      <c r="BK19" s="651"/>
    </row>
    <row r="20" spans="2:68" x14ac:dyDescent="0.2">
      <c r="B20" s="622" t="s">
        <v>359</v>
      </c>
      <c r="J20" s="685"/>
      <c r="K20" s="847"/>
      <c r="L20" s="847"/>
      <c r="M20" s="621"/>
      <c r="N20" s="87">
        <v>490.30599999999998</v>
      </c>
      <c r="O20" s="88">
        <v>126.61199999999999</v>
      </c>
      <c r="P20" s="88">
        <v>126.623</v>
      </c>
      <c r="Q20" s="88">
        <v>125.605</v>
      </c>
      <c r="R20" s="88">
        <v>125.191</v>
      </c>
      <c r="S20" s="87">
        <v>504.03100000000001</v>
      </c>
      <c r="T20" s="88">
        <v>130.773</v>
      </c>
      <c r="U20" s="88">
        <v>126.93300000000001</v>
      </c>
      <c r="V20" s="88">
        <v>128.83799999999999</v>
      </c>
      <c r="W20" s="88">
        <v>140.084</v>
      </c>
      <c r="X20" s="87">
        <v>526.62800000000004</v>
      </c>
      <c r="Y20" s="88">
        <v>129.13900000000001</v>
      </c>
      <c r="Z20" s="88">
        <v>128.78100000000001</v>
      </c>
      <c r="AA20" s="88">
        <v>127.453</v>
      </c>
      <c r="AB20" s="88">
        <v>134.01499999999999</v>
      </c>
      <c r="AC20" s="87">
        <v>519.38800000000003</v>
      </c>
      <c r="AD20" s="88">
        <v>135.71899999999999</v>
      </c>
      <c r="AE20" s="88">
        <v>133.136</v>
      </c>
      <c r="AF20" s="88">
        <v>133.59800000000001</v>
      </c>
      <c r="AG20" s="88">
        <v>134.821</v>
      </c>
      <c r="AH20" s="87">
        <v>532.88</v>
      </c>
      <c r="AI20" s="88">
        <v>136.18700000000001</v>
      </c>
      <c r="AJ20" s="88">
        <v>134.43799999999999</v>
      </c>
      <c r="AK20" s="88">
        <v>132.941</v>
      </c>
      <c r="AL20" s="4">
        <f t="shared" ref="AL20" si="9">AM20-SUM(AI20,AJ20,AK20)</f>
        <v>158.21699999999998</v>
      </c>
      <c r="AM20" s="87">
        <v>561.78300000000002</v>
      </c>
      <c r="AN20" s="88">
        <v>140.905</v>
      </c>
      <c r="AO20" s="88">
        <v>72.138999999999996</v>
      </c>
      <c r="AP20" s="88">
        <v>118.093</v>
      </c>
      <c r="AQ20" s="4">
        <f t="shared" ref="AQ20" si="10">AR20-SUM(AN20,AO20,AP20)</f>
        <v>127.19499999999999</v>
      </c>
      <c r="AR20" s="87">
        <v>458.33199999999999</v>
      </c>
      <c r="AS20" s="88">
        <v>135.875</v>
      </c>
      <c r="AT20" s="88">
        <v>168.94399999999999</v>
      </c>
      <c r="AU20" s="88">
        <v>169.41800000000001</v>
      </c>
      <c r="AV20" s="4">
        <f t="shared" ref="AV20" si="11">AW20-SUM(AS20,AT20,AU20)</f>
        <v>178.89600000000007</v>
      </c>
      <c r="AW20" s="87">
        <v>653.13300000000004</v>
      </c>
      <c r="AX20" s="88">
        <v>188.501</v>
      </c>
      <c r="AY20" s="88">
        <v>204.18199999999999</v>
      </c>
      <c r="AZ20" s="88">
        <v>197.774</v>
      </c>
      <c r="BA20" s="4">
        <f t="shared" ref="BA20" si="12">BB20-SUM(AX20,AY20,AZ20)</f>
        <v>220.46900000000005</v>
      </c>
      <c r="BB20" s="87">
        <v>810.92600000000004</v>
      </c>
      <c r="BC20" s="88">
        <v>206.22399999999999</v>
      </c>
      <c r="BD20" s="88">
        <v>201.09399999999999</v>
      </c>
      <c r="BE20" s="88">
        <v>194.733</v>
      </c>
      <c r="BF20" s="4">
        <f t="shared" ref="BF20" si="13">BG20-SUM(BC20,BD20,BE20)</f>
        <v>201.44900000000007</v>
      </c>
      <c r="BG20" s="677">
        <v>803.5</v>
      </c>
      <c r="BK20" s="651"/>
    </row>
    <row r="21" spans="2:68" x14ac:dyDescent="0.2">
      <c r="B21" s="668" t="s">
        <v>360</v>
      </c>
      <c r="J21" s="614"/>
      <c r="M21" s="615"/>
      <c r="N21" s="87">
        <v>646.10199999999998</v>
      </c>
      <c r="O21" s="88">
        <v>171.16900000000001</v>
      </c>
      <c r="P21" s="88">
        <v>168.495</v>
      </c>
      <c r="Q21" s="88">
        <v>172.101</v>
      </c>
      <c r="R21" s="88">
        <v>173.053</v>
      </c>
      <c r="S21" s="87">
        <v>684.81799999999998</v>
      </c>
      <c r="T21" s="88">
        <v>185.65799999999999</v>
      </c>
      <c r="U21" s="88">
        <v>185.21100000000001</v>
      </c>
      <c r="V21" s="88">
        <v>186.56700000000001</v>
      </c>
      <c r="W21" s="88">
        <v>202.56200000000001</v>
      </c>
      <c r="X21" s="87">
        <v>759.99800000000005</v>
      </c>
      <c r="Y21" s="88">
        <v>193.83500000000001</v>
      </c>
      <c r="Z21" s="88">
        <v>193.06299999999999</v>
      </c>
      <c r="AA21" s="88">
        <v>193.46600000000001</v>
      </c>
      <c r="AB21" s="88">
        <v>197.23099999999999</v>
      </c>
      <c r="AC21" s="87">
        <v>777.59500000000003</v>
      </c>
      <c r="AD21" s="88">
        <v>210.714</v>
      </c>
      <c r="AE21" s="88">
        <v>212.52099999999999</v>
      </c>
      <c r="AF21" s="88">
        <v>204.53700000000001</v>
      </c>
      <c r="AG21" s="88">
        <v>209.702</v>
      </c>
      <c r="AH21" s="87">
        <v>834.13400000000001</v>
      </c>
      <c r="AI21" s="88">
        <v>217.31</v>
      </c>
      <c r="AJ21" s="88">
        <v>217.92099999999999</v>
      </c>
      <c r="AK21" s="88">
        <v>213.6</v>
      </c>
      <c r="AL21" s="4">
        <f t="shared" ref="AL21" si="14">AM21-SUM(AI21,AJ21,AK21)</f>
        <v>250.83600000000001</v>
      </c>
      <c r="AM21" s="87">
        <v>899.66700000000003</v>
      </c>
      <c r="AN21" s="88">
        <v>236.982</v>
      </c>
      <c r="AO21" s="88">
        <v>122.812</v>
      </c>
      <c r="AP21" s="88">
        <v>200.666</v>
      </c>
      <c r="AQ21" s="4">
        <f t="shared" ref="AQ21" si="15">AR21-SUM(AN21,AO21,AP21)</f>
        <v>218.12599999999998</v>
      </c>
      <c r="AR21" s="87">
        <v>778.58600000000001</v>
      </c>
      <c r="AS21" s="88">
        <v>229.732</v>
      </c>
      <c r="AT21" s="88">
        <v>274.81200000000001</v>
      </c>
      <c r="AU21" s="88">
        <v>279.95699999999999</v>
      </c>
      <c r="AV21" s="4">
        <f t="shared" ref="AV21" si="16">AW21-SUM(AS21,AT21,AU21)</f>
        <v>288.12699999999995</v>
      </c>
      <c r="AW21" s="87">
        <v>1072.6279999999999</v>
      </c>
      <c r="AX21" s="88">
        <v>295.76299999999998</v>
      </c>
      <c r="AY21" s="88">
        <v>304.51900000000001</v>
      </c>
      <c r="AZ21" s="88">
        <v>293.04000000000002</v>
      </c>
      <c r="BA21" s="4">
        <f t="shared" ref="BA21" si="17">BB21-SUM(AX21,AY21,AZ21)</f>
        <v>318.62900000000013</v>
      </c>
      <c r="BB21" s="87">
        <v>1211.951</v>
      </c>
      <c r="BC21" s="88">
        <v>311.52800000000002</v>
      </c>
      <c r="BD21" s="88">
        <v>306.149</v>
      </c>
      <c r="BE21" s="88">
        <v>301.66300000000001</v>
      </c>
      <c r="BF21" s="4">
        <f t="shared" ref="BF21" si="18">BG21-SUM(BC21,BD21,BE21)</f>
        <v>308.55499999999995</v>
      </c>
      <c r="BG21" s="848">
        <v>1227.895</v>
      </c>
    </row>
    <row r="22" spans="2:68" x14ac:dyDescent="0.2">
      <c r="B22" s="622" t="s">
        <v>361</v>
      </c>
      <c r="C22" s="84"/>
      <c r="J22" s="685"/>
      <c r="K22" s="847"/>
      <c r="L22" s="847"/>
      <c r="M22" s="621"/>
      <c r="N22" s="87">
        <v>478.50400000000002</v>
      </c>
      <c r="O22" s="88">
        <v>123.435</v>
      </c>
      <c r="P22" s="88">
        <v>123.675</v>
      </c>
      <c r="Q22" s="88">
        <v>128.42699999999999</v>
      </c>
      <c r="R22" s="88">
        <v>125.10299999999999</v>
      </c>
      <c r="S22" s="87">
        <v>500.64</v>
      </c>
      <c r="T22" s="88">
        <v>129.55699999999999</v>
      </c>
      <c r="U22" s="88">
        <v>131.97999999999999</v>
      </c>
      <c r="V22" s="88">
        <v>134.87700000000001</v>
      </c>
      <c r="W22" s="88">
        <v>143.95099999999999</v>
      </c>
      <c r="X22" s="87">
        <v>540.36500000000001</v>
      </c>
      <c r="Y22" s="88">
        <v>135.65</v>
      </c>
      <c r="Z22" s="88">
        <v>137.46100000000001</v>
      </c>
      <c r="AA22" s="88">
        <v>138.423</v>
      </c>
      <c r="AB22" s="88">
        <v>141.25700000000001</v>
      </c>
      <c r="AC22" s="87">
        <v>552.79100000000005</v>
      </c>
      <c r="AD22" s="88">
        <v>148.33199999999999</v>
      </c>
      <c r="AE22" s="88">
        <v>143.79599999999999</v>
      </c>
      <c r="AF22" s="88">
        <v>144.18</v>
      </c>
      <c r="AG22" s="88">
        <v>140.35900000000001</v>
      </c>
      <c r="AH22" s="87">
        <v>566.82500000000005</v>
      </c>
      <c r="AI22" s="88">
        <v>153.221</v>
      </c>
      <c r="AJ22" s="88">
        <v>149.10599999999999</v>
      </c>
      <c r="AK22" s="88">
        <v>149.39699999999999</v>
      </c>
      <c r="AL22" s="4">
        <f t="shared" ref="AL22" si="19">AM22-SUM(AI22,AJ22,AK22)</f>
        <v>179.88900000000007</v>
      </c>
      <c r="AM22" s="87">
        <v>631.61300000000006</v>
      </c>
      <c r="AN22" s="88">
        <v>167.97</v>
      </c>
      <c r="AO22" s="88">
        <v>121.675</v>
      </c>
      <c r="AP22" s="88">
        <v>159.095</v>
      </c>
      <c r="AQ22" s="4">
        <f t="shared" ref="AQ22" si="20">AR22-SUM(AN22,AO22,AP22)</f>
        <v>167.32899999999995</v>
      </c>
      <c r="AR22" s="87">
        <v>616.06899999999996</v>
      </c>
      <c r="AS22" s="88">
        <v>181.53299999999999</v>
      </c>
      <c r="AT22" s="88">
        <v>199.495</v>
      </c>
      <c r="AU22" s="88">
        <v>201.49</v>
      </c>
      <c r="AV22" s="4">
        <f t="shared" ref="AV22" si="21">AW22-SUM(AS22,AT22,AU22)</f>
        <v>209.79300000000001</v>
      </c>
      <c r="AW22" s="87">
        <v>792.31100000000004</v>
      </c>
      <c r="AX22" s="88">
        <v>207.63499999999999</v>
      </c>
      <c r="AY22" s="88">
        <v>219.2</v>
      </c>
      <c r="AZ22" s="88">
        <v>217.00899999999999</v>
      </c>
      <c r="BA22" s="4">
        <f t="shared" ref="BA22" si="22">BB22-SUM(AX22,AY22,AZ22)</f>
        <v>237.78300000000002</v>
      </c>
      <c r="BB22" s="87">
        <v>881.62699999999995</v>
      </c>
      <c r="BC22" s="88">
        <v>230.929</v>
      </c>
      <c r="BD22" s="88">
        <v>226.99600000000001</v>
      </c>
      <c r="BE22" s="88">
        <v>229.53399999999999</v>
      </c>
      <c r="BF22" s="4">
        <f t="shared" ref="BF22" si="23">BG22-SUM(BC22,BD22,BE22)</f>
        <v>234.96899999999994</v>
      </c>
      <c r="BG22" s="677">
        <v>922.428</v>
      </c>
    </row>
    <row r="23" spans="2:68" x14ac:dyDescent="0.2">
      <c r="B23" s="622" t="s">
        <v>362</v>
      </c>
      <c r="C23" s="38"/>
      <c r="J23" s="687"/>
      <c r="K23" s="849"/>
      <c r="L23" s="849"/>
      <c r="M23" s="661"/>
      <c r="N23" s="87">
        <v>119.09399999999999</v>
      </c>
      <c r="O23" s="88">
        <v>33.075000000000003</v>
      </c>
      <c r="P23" s="88">
        <v>35.344999999999999</v>
      </c>
      <c r="Q23" s="88">
        <v>33.277000000000001</v>
      </c>
      <c r="R23" s="88">
        <v>35.704999999999998</v>
      </c>
      <c r="S23" s="87">
        <v>137.40199999999999</v>
      </c>
      <c r="T23" s="88">
        <v>35.337000000000003</v>
      </c>
      <c r="U23" s="88">
        <v>35.784999999999997</v>
      </c>
      <c r="V23" s="88">
        <v>36.057000000000002</v>
      </c>
      <c r="W23" s="88">
        <v>38.863</v>
      </c>
      <c r="X23" s="87">
        <v>146.042</v>
      </c>
      <c r="Y23" s="88">
        <v>36.286999999999999</v>
      </c>
      <c r="Z23" s="88">
        <v>35.295000000000002</v>
      </c>
      <c r="AA23" s="88">
        <v>35.363999999999997</v>
      </c>
      <c r="AB23" s="88">
        <v>34.587000000000003</v>
      </c>
      <c r="AC23" s="87">
        <v>141.53299999999999</v>
      </c>
      <c r="AD23" s="88">
        <v>39.274000000000001</v>
      </c>
      <c r="AE23" s="88">
        <v>41.423000000000002</v>
      </c>
      <c r="AF23" s="88">
        <v>37.469000000000001</v>
      </c>
      <c r="AG23" s="88">
        <v>36.603999999999999</v>
      </c>
      <c r="AH23" s="87">
        <v>154.77000000000001</v>
      </c>
      <c r="AI23" s="88">
        <v>39.122999999999998</v>
      </c>
      <c r="AJ23" s="88">
        <v>37.247</v>
      </c>
      <c r="AK23" s="88">
        <v>39.746000000000002</v>
      </c>
      <c r="AL23" s="88">
        <v>47.273000000000003</v>
      </c>
      <c r="AM23" s="87">
        <v>160.19900000000001</v>
      </c>
      <c r="AN23" s="88">
        <v>43.96</v>
      </c>
      <c r="AO23" s="88">
        <v>35.712000000000003</v>
      </c>
      <c r="AP23" s="88">
        <v>37.795000000000002</v>
      </c>
      <c r="AQ23" s="4">
        <f t="shared" ref="AQ23" si="24">AR23-SUM(AN23,AO23,AP23)</f>
        <v>40.177000000000007</v>
      </c>
      <c r="AR23" s="87">
        <v>157.64400000000001</v>
      </c>
      <c r="AS23" s="88">
        <v>44.427</v>
      </c>
      <c r="AT23" s="88">
        <v>48.228000000000002</v>
      </c>
      <c r="AU23" s="88">
        <v>45.802</v>
      </c>
      <c r="AV23" s="4">
        <f t="shared" ref="AV23" si="25">AW23-SUM(AS23,AT23,AU23)</f>
        <v>47.679000000000002</v>
      </c>
      <c r="AW23" s="87">
        <v>186.136</v>
      </c>
      <c r="AX23" s="88">
        <v>49.122999999999998</v>
      </c>
      <c r="AY23" s="88">
        <v>50.191000000000003</v>
      </c>
      <c r="AZ23" s="88">
        <v>50.323999999999998</v>
      </c>
      <c r="BA23" s="4">
        <f t="shared" ref="BA23" si="26">BB23-SUM(AX23,AY23,AZ23)</f>
        <v>56.115000000000009</v>
      </c>
      <c r="BB23" s="87">
        <v>205.75299999999999</v>
      </c>
      <c r="BC23" s="88">
        <v>54.069000000000003</v>
      </c>
      <c r="BD23" s="88">
        <v>54.488</v>
      </c>
      <c r="BE23" s="88">
        <v>54.209000000000003</v>
      </c>
      <c r="BF23" s="4">
        <f t="shared" ref="BF23" si="27">BG23-SUM(BC23,BD23,BE23)</f>
        <v>54.682999999999993</v>
      </c>
      <c r="BG23" s="677">
        <v>217.44900000000001</v>
      </c>
    </row>
    <row r="24" spans="2:68" x14ac:dyDescent="0.2">
      <c r="B24" s="622" t="s">
        <v>363</v>
      </c>
      <c r="J24" s="685"/>
      <c r="K24" s="847"/>
      <c r="L24" s="847"/>
      <c r="M24" s="621"/>
      <c r="N24" s="87">
        <v>82.834999999999994</v>
      </c>
      <c r="O24" s="88">
        <v>21.177</v>
      </c>
      <c r="P24" s="88">
        <v>21.158000000000001</v>
      </c>
      <c r="Q24" s="88">
        <v>21.317</v>
      </c>
      <c r="R24" s="88">
        <v>21.911000000000001</v>
      </c>
      <c r="S24" s="87">
        <v>85.563000000000002</v>
      </c>
      <c r="T24" s="88">
        <v>21.463999999999999</v>
      </c>
      <c r="U24" s="88">
        <v>21.460999999999999</v>
      </c>
      <c r="V24" s="88">
        <v>21.634</v>
      </c>
      <c r="W24" s="88">
        <v>23.451000000000001</v>
      </c>
      <c r="X24" s="87">
        <v>88.01</v>
      </c>
      <c r="Y24" s="88">
        <v>23.196000000000002</v>
      </c>
      <c r="Z24" s="88">
        <v>23.297000000000001</v>
      </c>
      <c r="AA24" s="88">
        <v>22.998999999999999</v>
      </c>
      <c r="AB24" s="88">
        <v>23.236999999999998</v>
      </c>
      <c r="AC24" s="87">
        <v>92.728999999999999</v>
      </c>
      <c r="AD24" s="88">
        <v>24.001999999999999</v>
      </c>
      <c r="AE24" s="88">
        <v>23.727</v>
      </c>
      <c r="AF24" s="88">
        <v>24.09</v>
      </c>
      <c r="AG24" s="88">
        <v>24.157</v>
      </c>
      <c r="AH24" s="87">
        <v>95.975999999999999</v>
      </c>
      <c r="AI24" s="88">
        <v>21.361999999999998</v>
      </c>
      <c r="AJ24" s="88">
        <v>21.658999999999999</v>
      </c>
      <c r="AK24" s="88">
        <v>21.341999999999999</v>
      </c>
      <c r="AL24" s="4">
        <f t="shared" ref="AL24:AL25" si="28">AM24-SUM(AI24,AJ24,AK24)</f>
        <v>23.769999999999996</v>
      </c>
      <c r="AM24" s="87">
        <v>88.132999999999996</v>
      </c>
      <c r="AN24" s="88">
        <v>23.562000000000001</v>
      </c>
      <c r="AO24" s="88">
        <v>22.59</v>
      </c>
      <c r="AP24" s="88">
        <v>22.651</v>
      </c>
      <c r="AQ24" s="4">
        <f t="shared" ref="AQ24:AQ25" si="29">AR24-SUM(AN24,AO24,AP24)</f>
        <v>22.612000000000009</v>
      </c>
      <c r="AR24" s="87">
        <v>91.415000000000006</v>
      </c>
      <c r="AS24" s="88">
        <v>22.006</v>
      </c>
      <c r="AT24" s="88">
        <v>22.222999999999999</v>
      </c>
      <c r="AU24" s="88">
        <v>22.576000000000001</v>
      </c>
      <c r="AV24" s="4">
        <f t="shared" ref="AV24:AV25" si="30">AW24-SUM(AS24,AT24,AU24)</f>
        <v>22.84899999999999</v>
      </c>
      <c r="AW24" s="87">
        <v>89.653999999999996</v>
      </c>
      <c r="AX24" s="88">
        <v>21.504999999999999</v>
      </c>
      <c r="AY24" s="88">
        <v>22.608000000000001</v>
      </c>
      <c r="AZ24" s="88">
        <v>22.651</v>
      </c>
      <c r="BA24" s="4">
        <f t="shared" ref="BA24:BA25" si="31">BB24-SUM(AX24,AY24,AZ24)</f>
        <v>25.616</v>
      </c>
      <c r="BB24" s="87">
        <v>92.38</v>
      </c>
      <c r="BC24" s="88">
        <v>22.954999999999998</v>
      </c>
      <c r="BD24" s="88">
        <v>23.332000000000001</v>
      </c>
      <c r="BE24" s="88">
        <v>22.837</v>
      </c>
      <c r="BF24" s="4">
        <f t="shared" ref="BF24:BF25" si="32">BG24-SUM(BC24,BD24,BE24)</f>
        <v>24.012</v>
      </c>
      <c r="BG24" s="677">
        <v>93.135999999999996</v>
      </c>
    </row>
    <row r="25" spans="2:68" x14ac:dyDescent="0.2">
      <c r="B25" s="622" t="s">
        <v>364</v>
      </c>
      <c r="C25" s="47"/>
      <c r="J25" s="597"/>
      <c r="K25" s="595"/>
      <c r="L25" s="595"/>
      <c r="M25" s="662"/>
      <c r="N25" s="87">
        <v>0.69599999999999995</v>
      </c>
      <c r="O25" s="2"/>
      <c r="P25" s="2"/>
      <c r="Q25" s="88">
        <v>6.0110000000000001</v>
      </c>
      <c r="R25" s="88">
        <v>0</v>
      </c>
      <c r="S25" s="87">
        <v>6.0110000000000001</v>
      </c>
      <c r="T25" s="2"/>
      <c r="U25" s="2"/>
      <c r="V25" s="2"/>
      <c r="W25" s="88">
        <v>0.114</v>
      </c>
      <c r="X25" s="87">
        <v>0.114</v>
      </c>
      <c r="Y25" s="88">
        <v>0.78600000000000003</v>
      </c>
      <c r="Z25" s="88">
        <v>0.44500000000000001</v>
      </c>
      <c r="AA25" s="2"/>
      <c r="AB25" s="88">
        <v>9.1120000000000001</v>
      </c>
      <c r="AC25" s="87">
        <v>10.343</v>
      </c>
      <c r="AD25" s="2"/>
      <c r="AE25" s="88">
        <v>2.5830000000000002</v>
      </c>
      <c r="AF25" s="88">
        <v>0.26300000000000001</v>
      </c>
      <c r="AG25" s="88">
        <v>15.015000000000001</v>
      </c>
      <c r="AH25" s="87">
        <v>17.861000000000001</v>
      </c>
      <c r="AI25" s="2"/>
      <c r="AJ25" s="2"/>
      <c r="AK25" s="2"/>
      <c r="AL25" s="4">
        <f t="shared" si="28"/>
        <v>18.247</v>
      </c>
      <c r="AM25" s="87">
        <v>18.247</v>
      </c>
      <c r="AN25" s="88">
        <v>191.89599999999999</v>
      </c>
      <c r="AO25" s="88">
        <v>2.4329999999999998</v>
      </c>
      <c r="AP25" s="88">
        <v>10.402000000000001</v>
      </c>
      <c r="AQ25" s="4">
        <f t="shared" si="29"/>
        <v>14.602000000000004</v>
      </c>
      <c r="AR25" s="87">
        <v>219.333</v>
      </c>
      <c r="AS25" s="88">
        <v>0.59399999999999997</v>
      </c>
      <c r="AT25" s="2"/>
      <c r="AU25" s="2"/>
      <c r="AV25" s="4">
        <f t="shared" si="30"/>
        <v>17.544999999999998</v>
      </c>
      <c r="AW25" s="87">
        <v>18.138999999999999</v>
      </c>
      <c r="AX25" s="88">
        <v>0.20699999999999999</v>
      </c>
      <c r="AY25" s="88">
        <v>0.106</v>
      </c>
      <c r="AZ25" s="2"/>
      <c r="BA25" s="4">
        <f t="shared" si="31"/>
        <v>31.074000000000002</v>
      </c>
      <c r="BB25" s="87">
        <v>31.387</v>
      </c>
      <c r="BC25" s="88">
        <v>2.242</v>
      </c>
      <c r="BD25" s="88">
        <v>-0.65300000000000002</v>
      </c>
      <c r="BE25" s="88">
        <v>4.8000000000000001E-2</v>
      </c>
      <c r="BF25" s="4">
        <f t="shared" si="32"/>
        <v>27.826999999999998</v>
      </c>
      <c r="BG25" s="677">
        <v>29.463999999999999</v>
      </c>
    </row>
    <row r="26" spans="2:68" x14ac:dyDescent="0.2">
      <c r="B26" s="622" t="s">
        <v>365</v>
      </c>
      <c r="C26" s="47"/>
      <c r="J26" s="614"/>
      <c r="M26" s="615"/>
      <c r="N26" s="86"/>
      <c r="O26" s="2"/>
      <c r="P26" s="2"/>
      <c r="Q26" s="2"/>
      <c r="R26" s="2"/>
      <c r="S26" s="86"/>
      <c r="T26" s="2"/>
      <c r="U26" s="2"/>
      <c r="V26" s="2"/>
      <c r="W26" s="2"/>
      <c r="X26" s="86"/>
      <c r="Y26" s="2"/>
      <c r="Z26" s="2"/>
      <c r="AA26" s="2"/>
      <c r="AB26" s="2"/>
      <c r="AC26" s="86"/>
      <c r="AD26" s="2"/>
      <c r="AE26" s="2"/>
      <c r="AF26" s="2"/>
      <c r="AG26" s="2"/>
      <c r="AH26" s="86"/>
      <c r="AI26" s="2"/>
      <c r="AJ26" s="2"/>
      <c r="AK26" s="2"/>
      <c r="AL26" s="88">
        <v>2.08</v>
      </c>
      <c r="AM26" s="87">
        <v>5.27</v>
      </c>
      <c r="AN26" s="88">
        <v>1.236</v>
      </c>
      <c r="AO26" s="88">
        <v>1.0680000000000001</v>
      </c>
      <c r="AP26" s="88">
        <v>3.9E-2</v>
      </c>
      <c r="AQ26" s="4">
        <f t="shared" ref="AQ26" si="33">AR26-SUM(AN26,AO26,AP26)</f>
        <v>0.35599999999999943</v>
      </c>
      <c r="AR26" s="87">
        <v>2.6989999999999998</v>
      </c>
      <c r="AS26" s="2"/>
      <c r="AT26" s="2"/>
      <c r="AU26" s="2"/>
      <c r="AV26" s="4">
        <f t="shared" ref="AV26" si="34">AW26-SUM(AS26,AT26,AU26)</f>
        <v>0</v>
      </c>
      <c r="AW26" s="86"/>
      <c r="AX26" s="2"/>
      <c r="AY26" s="2"/>
      <c r="AZ26" s="2"/>
      <c r="BA26" s="4">
        <f t="shared" ref="BA26" si="35">BB26-SUM(AX26,AY26,AZ26)</f>
        <v>0</v>
      </c>
      <c r="BB26" s="86"/>
      <c r="BC26" s="2"/>
      <c r="BD26" s="2"/>
      <c r="BE26" s="2"/>
      <c r="BF26" s="4">
        <f t="shared" ref="BF26" si="36">BG26-SUM(BC26,BD26,BE26)</f>
        <v>0</v>
      </c>
      <c r="BG26" s="688"/>
    </row>
    <row r="27" spans="2:68" x14ac:dyDescent="0.2">
      <c r="B27" s="622" t="s">
        <v>366</v>
      </c>
      <c r="J27" s="614"/>
      <c r="M27" s="615"/>
      <c r="N27" s="86"/>
      <c r="O27" s="2"/>
      <c r="P27" s="2"/>
      <c r="Q27" s="2"/>
      <c r="R27" s="2"/>
      <c r="S27" s="86"/>
      <c r="T27" s="2"/>
      <c r="U27" s="2"/>
      <c r="V27" s="2"/>
      <c r="W27" s="2"/>
      <c r="X27" s="86"/>
      <c r="Y27" s="2"/>
      <c r="Z27" s="2"/>
      <c r="AA27" s="2"/>
      <c r="AB27" s="2"/>
      <c r="AC27" s="86"/>
      <c r="AD27" s="2"/>
      <c r="AE27" s="2"/>
      <c r="AF27" s="2"/>
      <c r="AG27" s="2"/>
      <c r="AH27" s="86"/>
      <c r="AI27" s="2"/>
      <c r="AJ27" s="2"/>
      <c r="AK27" s="2"/>
      <c r="AL27" s="4">
        <f t="shared" ref="AL27" si="37">AM27-SUM(AI27,AJ27,AK27)</f>
        <v>1.0329999999999999</v>
      </c>
      <c r="AM27" s="87">
        <v>1.0329999999999999</v>
      </c>
      <c r="AN27" s="88">
        <v>-4.4660000000000002</v>
      </c>
      <c r="AO27" s="88">
        <v>-0.96499999999999997</v>
      </c>
      <c r="AP27" s="88">
        <v>1.4390000000000001</v>
      </c>
      <c r="AQ27" s="4">
        <f t="shared" ref="AQ27" si="38">AR27-SUM(AN27,AO27,AP27)</f>
        <v>0.12000000000000011</v>
      </c>
      <c r="AR27" s="87">
        <v>-3.8719999999999999</v>
      </c>
      <c r="AS27" s="88">
        <v>0.55000000000000004</v>
      </c>
      <c r="AT27" s="88">
        <v>11.356999999999999</v>
      </c>
      <c r="AU27" s="88">
        <v>0.68500000000000005</v>
      </c>
      <c r="AV27" s="4">
        <f t="shared" ref="AV27" si="39">AW27-SUM(AS27,AT27,AU27)</f>
        <v>6.918000000000001</v>
      </c>
      <c r="AW27" s="87">
        <v>19.510000000000002</v>
      </c>
      <c r="AX27" s="88">
        <v>0.89100000000000001</v>
      </c>
      <c r="AY27" s="88">
        <v>0.94799999999999995</v>
      </c>
      <c r="AZ27" s="88">
        <v>1.081</v>
      </c>
      <c r="BA27" s="4">
        <f t="shared" ref="BA27" si="40">BB27-SUM(AX27,AY27,AZ27)</f>
        <v>10.448</v>
      </c>
      <c r="BB27" s="87">
        <v>13.368</v>
      </c>
      <c r="BC27" s="88">
        <v>1.1890000000000001</v>
      </c>
      <c r="BD27" s="88">
        <v>1.2869999999999999</v>
      </c>
      <c r="BE27" s="88">
        <v>1.4139999999999999</v>
      </c>
      <c r="BF27" s="4">
        <f t="shared" ref="BF27" si="41">BG27-SUM(BC27,BD27,BE27)</f>
        <v>7.7960000000000003</v>
      </c>
      <c r="BG27" s="677">
        <v>11.686</v>
      </c>
    </row>
    <row r="28" spans="2:68" x14ac:dyDescent="0.2">
      <c r="B28" s="622" t="s">
        <v>367</v>
      </c>
      <c r="C28" s="47"/>
      <c r="J28" s="597"/>
      <c r="K28" s="595"/>
      <c r="L28" s="595"/>
      <c r="M28" s="662"/>
      <c r="N28" s="87">
        <v>14.356</v>
      </c>
      <c r="O28" s="88">
        <v>1.4510000000000001</v>
      </c>
      <c r="P28" s="88">
        <v>4.0579999999999998</v>
      </c>
      <c r="Q28" s="88">
        <v>4.306</v>
      </c>
      <c r="R28" s="88">
        <v>7.0830000000000002</v>
      </c>
      <c r="S28" s="87">
        <v>16.898</v>
      </c>
      <c r="T28" s="88">
        <v>2.31</v>
      </c>
      <c r="U28" s="88">
        <v>2.302</v>
      </c>
      <c r="V28" s="88">
        <v>1.982</v>
      </c>
      <c r="W28" s="88">
        <v>6.9749999999999996</v>
      </c>
      <c r="X28" s="87">
        <v>13.569000000000001</v>
      </c>
      <c r="Y28" s="88">
        <v>0.97</v>
      </c>
      <c r="Z28" s="88">
        <v>1.3089999999999999</v>
      </c>
      <c r="AA28" s="88">
        <v>3.37</v>
      </c>
      <c r="AB28" s="88">
        <v>7.6289999999999996</v>
      </c>
      <c r="AC28" s="87">
        <v>13.278</v>
      </c>
      <c r="AD28" s="88">
        <v>1.099</v>
      </c>
      <c r="AE28" s="88">
        <v>1.4490000000000001</v>
      </c>
      <c r="AF28" s="88">
        <v>3.25</v>
      </c>
      <c r="AG28" s="88">
        <v>5.1379999999999999</v>
      </c>
      <c r="AH28" s="87">
        <v>10.936999999999999</v>
      </c>
      <c r="AI28" s="88">
        <v>2.13</v>
      </c>
      <c r="AJ28" s="88">
        <v>2.1749999999999998</v>
      </c>
      <c r="AK28" s="88">
        <v>2.5459999999999998</v>
      </c>
      <c r="AL28" s="4">
        <f t="shared" ref="AL28" si="42">AM28-SUM(AI28,AJ28,AK28)</f>
        <v>6.298</v>
      </c>
      <c r="AM28" s="87">
        <v>13.148999999999999</v>
      </c>
      <c r="AN28" s="88">
        <v>3.1190000000000002</v>
      </c>
      <c r="AO28" s="88">
        <v>2.097</v>
      </c>
      <c r="AP28" s="88">
        <v>2.3940000000000001</v>
      </c>
      <c r="AQ28" s="4">
        <f t="shared" ref="AQ28" si="43">AR28-SUM(AN28,AO28,AP28)</f>
        <v>2.8459999999999992</v>
      </c>
      <c r="AR28" s="87">
        <v>10.456</v>
      </c>
      <c r="AS28" s="88">
        <v>3.8559999999999999</v>
      </c>
      <c r="AT28" s="88">
        <v>2.7789999999999999</v>
      </c>
      <c r="AU28" s="88">
        <v>3.169</v>
      </c>
      <c r="AV28" s="4">
        <f t="shared" ref="AV28" si="44">AW28-SUM(AS28,AT28,AU28)</f>
        <v>3.907</v>
      </c>
      <c r="AW28" s="87">
        <v>13.711</v>
      </c>
      <c r="AX28" s="88">
        <v>1.764</v>
      </c>
      <c r="AY28" s="88">
        <v>2.9470000000000001</v>
      </c>
      <c r="AZ28" s="88">
        <v>4.327</v>
      </c>
      <c r="BA28" s="4">
        <f t="shared" ref="BA28" si="45">BB28-SUM(AX28,AY28,AZ28)</f>
        <v>7.7910000000000004</v>
      </c>
      <c r="BB28" s="87">
        <v>16.829000000000001</v>
      </c>
      <c r="BC28" s="88">
        <v>3.052</v>
      </c>
      <c r="BD28" s="88">
        <v>6.0060000000000002</v>
      </c>
      <c r="BE28" s="88">
        <v>6.742</v>
      </c>
      <c r="BF28" s="4">
        <f t="shared" ref="BF28" si="46">BG28-SUM(BC28,BD28,BE28)</f>
        <v>9.5790000000000006</v>
      </c>
      <c r="BG28" s="677">
        <v>25.379000000000001</v>
      </c>
    </row>
    <row r="29" spans="2:68" x14ac:dyDescent="0.2">
      <c r="B29" s="622" t="s">
        <v>368</v>
      </c>
      <c r="C29" s="47"/>
      <c r="J29" s="597">
        <v>0.13281997956968067</v>
      </c>
      <c r="K29" s="595">
        <v>0.14408112454425037</v>
      </c>
      <c r="L29" s="595">
        <v>0.13034950503113779</v>
      </c>
      <c r="M29" s="662">
        <v>0.1299190836135993</v>
      </c>
      <c r="N29" s="590">
        <v>0.13430083512011406</v>
      </c>
      <c r="O29" s="591">
        <v>0.14107149277627495</v>
      </c>
      <c r="P29" s="591">
        <v>0.15993047580620132</v>
      </c>
      <c r="Q29" s="591">
        <v>0.14025434650658108</v>
      </c>
      <c r="R29" s="591">
        <v>0.13475177304964533</v>
      </c>
      <c r="S29" s="590">
        <v>0.14405478644635319</v>
      </c>
      <c r="T29" s="591">
        <v>0.13932603354426881</v>
      </c>
      <c r="U29" s="591">
        <v>0.16073863392183904</v>
      </c>
      <c r="V29" s="591">
        <v>0.15000390594484808</v>
      </c>
      <c r="W29" s="591">
        <v>0.14315573493681186</v>
      </c>
      <c r="X29" s="590">
        <v>0.14824143212759067</v>
      </c>
      <c r="Y29" s="591">
        <v>0.13691448933882469</v>
      </c>
      <c r="Z29" s="591">
        <v>0.14606864682408485</v>
      </c>
      <c r="AA29" s="591">
        <v>0.11918703159354732</v>
      </c>
      <c r="AB29" s="591">
        <v>0.10985815354849236</v>
      </c>
      <c r="AC29" s="590">
        <v>0.12808773962297895</v>
      </c>
      <c r="AD29" s="591">
        <v>0.11486705142453486</v>
      </c>
      <c r="AE29" s="591">
        <v>0.12892223234741801</v>
      </c>
      <c r="AF29" s="591">
        <v>0.11684049716150205</v>
      </c>
      <c r="AG29" s="591">
        <v>0.10975044556563285</v>
      </c>
      <c r="AH29" s="590">
        <v>0.1185561170791601</v>
      </c>
      <c r="AI29" s="591">
        <v>0.12018781225336425</v>
      </c>
      <c r="AJ29" s="591">
        <v>0.13346774997778862</v>
      </c>
      <c r="AK29" s="591">
        <v>0.11985428118955198</v>
      </c>
      <c r="AL29" s="591">
        <v>0.10019848373847158</v>
      </c>
      <c r="AM29" s="590">
        <v>0.11847225113509122</v>
      </c>
      <c r="AN29" s="591">
        <v>8.0504267397655122E-2</v>
      </c>
      <c r="AO29" s="591">
        <v>-0.11179833076144489</v>
      </c>
      <c r="AP29" s="591">
        <v>4.5171997007079405E-2</v>
      </c>
      <c r="AQ29" s="591">
        <v>3.2682988015553555E-2</v>
      </c>
      <c r="AR29" s="590">
        <v>2.8731716180612335E-2</v>
      </c>
      <c r="AS29" s="591">
        <v>8.9070844572067071E-2</v>
      </c>
      <c r="AT29" s="591">
        <v>0.13713406000748321</v>
      </c>
      <c r="AU29" s="591">
        <v>0.1127169629823392</v>
      </c>
      <c r="AV29" s="591">
        <v>8.0944852755680349E-2</v>
      </c>
      <c r="AW29" s="590">
        <v>0.10578944499558482</v>
      </c>
      <c r="AX29" s="591">
        <v>0.1040379393128419</v>
      </c>
      <c r="AY29" s="591">
        <v>0.10037637042839444</v>
      </c>
      <c r="AZ29" s="591">
        <v>6.9865417596889703E-2</v>
      </c>
      <c r="BA29" s="591">
        <v>7.5425484123018582E-2</v>
      </c>
      <c r="BB29" s="590">
        <v>8.7326441836630145E-2</v>
      </c>
      <c r="BC29" s="591">
        <v>0.11949085365853658</v>
      </c>
      <c r="BD29" s="591">
        <v>0.13130957070014301</v>
      </c>
      <c r="BE29" s="591">
        <v>0.10767822459961156</v>
      </c>
      <c r="BF29" s="589">
        <v>9.9268731632862317E-2</v>
      </c>
      <c r="BG29" s="596">
        <v>0.11447223307615298</v>
      </c>
    </row>
    <row r="30" spans="2:68" x14ac:dyDescent="0.2">
      <c r="B30" s="604"/>
      <c r="C30" s="47"/>
      <c r="J30" s="682"/>
      <c r="K30" s="829"/>
      <c r="L30" s="829"/>
      <c r="M30" s="659"/>
      <c r="N30" s="850"/>
      <c r="O30" s="850"/>
      <c r="P30" s="850"/>
      <c r="Q30" s="850"/>
      <c r="R30" s="850"/>
      <c r="S30" s="850"/>
      <c r="T30" s="850"/>
      <c r="U30" s="850"/>
      <c r="V30" s="850"/>
      <c r="W30" s="850"/>
      <c r="X30" s="850"/>
      <c r="Y30" s="850"/>
      <c r="Z30" s="850"/>
      <c r="AA30" s="850"/>
      <c r="AB30" s="850"/>
      <c r="AC30" s="850"/>
      <c r="AD30" s="850"/>
      <c r="AE30" s="850"/>
      <c r="AF30" s="850"/>
      <c r="AG30" s="850"/>
      <c r="AH30" s="850"/>
      <c r="AI30" s="850"/>
      <c r="AJ30" s="850"/>
      <c r="AK30" s="850"/>
      <c r="AL30" s="850"/>
      <c r="AM30" s="850"/>
      <c r="AN30" s="850"/>
      <c r="AO30" s="850"/>
      <c r="AP30" s="850"/>
      <c r="AQ30" s="850"/>
      <c r="AR30" s="850"/>
      <c r="AS30" s="850"/>
      <c r="AT30" s="850"/>
      <c r="AU30" s="850"/>
      <c r="AV30" s="850"/>
      <c r="AW30" s="850"/>
      <c r="AX30" s="850"/>
      <c r="AY30" s="850"/>
      <c r="AZ30" s="850"/>
      <c r="BA30" s="850"/>
      <c r="BB30" s="850"/>
      <c r="BC30" s="850"/>
      <c r="BD30" s="850"/>
      <c r="BE30" s="850"/>
      <c r="BF30" s="850"/>
      <c r="BG30" s="678"/>
    </row>
    <row r="31" spans="2:68" x14ac:dyDescent="0.2">
      <c r="B31" s="614"/>
      <c r="J31" s="685"/>
      <c r="K31" s="847"/>
      <c r="L31" s="847"/>
      <c r="M31" s="621"/>
      <c r="N31" s="847"/>
      <c r="O31" s="847"/>
      <c r="P31" s="847"/>
      <c r="Q31" s="847"/>
      <c r="R31" s="847"/>
      <c r="S31" s="847"/>
      <c r="T31" s="847"/>
      <c r="U31" s="847"/>
      <c r="V31" s="847"/>
      <c r="W31" s="847"/>
      <c r="X31" s="847"/>
      <c r="Y31" s="847"/>
      <c r="Z31" s="847"/>
      <c r="AA31" s="847"/>
      <c r="AB31" s="847"/>
      <c r="AC31" s="847"/>
      <c r="AD31" s="847"/>
      <c r="AE31" s="847"/>
      <c r="AF31" s="847"/>
      <c r="AG31" s="847"/>
      <c r="AH31" s="847"/>
      <c r="AI31" s="847"/>
      <c r="AJ31" s="847"/>
      <c r="AK31" s="847"/>
      <c r="AL31" s="847"/>
      <c r="AM31" s="847"/>
      <c r="AN31" s="847"/>
      <c r="AO31" s="847"/>
      <c r="AP31" s="847"/>
      <c r="AQ31" s="847"/>
      <c r="AR31" s="847"/>
      <c r="AS31" s="847"/>
      <c r="AT31" s="847"/>
      <c r="AU31" s="847"/>
      <c r="AV31" s="847"/>
      <c r="AW31" s="847"/>
      <c r="AX31" s="847"/>
      <c r="AY31" s="847"/>
      <c r="AZ31" s="847"/>
      <c r="BA31" s="847"/>
      <c r="BB31" s="847"/>
      <c r="BC31" s="847"/>
      <c r="BD31" s="847"/>
      <c r="BE31" s="847"/>
      <c r="BF31" s="847"/>
      <c r="BG31" s="621"/>
    </row>
    <row r="32" spans="2:68" x14ac:dyDescent="0.2">
      <c r="B32" s="623" t="s">
        <v>369</v>
      </c>
      <c r="C32" s="624"/>
      <c r="D32" s="625"/>
      <c r="E32" s="625"/>
      <c r="F32" s="626"/>
      <c r="G32" s="626"/>
      <c r="H32" s="626"/>
      <c r="I32" s="626"/>
      <c r="J32" s="598"/>
      <c r="K32" s="599"/>
      <c r="L32" s="599"/>
      <c r="M32" s="679"/>
      <c r="N32" s="600">
        <f t="shared" ref="N32:BG32" si="47">N20+N21+N22+N23+N24+N25+N26+N27+N28</f>
        <v>1831.8929999999998</v>
      </c>
      <c r="O32" s="600">
        <f t="shared" si="47"/>
        <v>476.91900000000004</v>
      </c>
      <c r="P32" s="600">
        <f t="shared" si="47"/>
        <v>479.35400000000004</v>
      </c>
      <c r="Q32" s="600">
        <f t="shared" si="47"/>
        <v>491.04400000000004</v>
      </c>
      <c r="R32" s="600">
        <f t="shared" si="47"/>
        <v>488.04600000000005</v>
      </c>
      <c r="S32" s="600">
        <f t="shared" si="47"/>
        <v>1935.3630000000001</v>
      </c>
      <c r="T32" s="600">
        <f t="shared" si="47"/>
        <v>505.09899999999993</v>
      </c>
      <c r="U32" s="600">
        <f t="shared" si="47"/>
        <v>503.67200000000003</v>
      </c>
      <c r="V32" s="600">
        <f t="shared" si="47"/>
        <v>509.95500000000004</v>
      </c>
      <c r="W32" s="600">
        <f t="shared" si="47"/>
        <v>556.00000000000011</v>
      </c>
      <c r="X32" s="600">
        <f t="shared" si="47"/>
        <v>2074.7260000000001</v>
      </c>
      <c r="Y32" s="600">
        <f t="shared" si="47"/>
        <v>519.86299999999994</v>
      </c>
      <c r="Z32" s="600">
        <f t="shared" si="47"/>
        <v>519.65100000000007</v>
      </c>
      <c r="AA32" s="600">
        <f t="shared" si="47"/>
        <v>521.07499999999993</v>
      </c>
      <c r="AB32" s="600">
        <f t="shared" si="47"/>
        <v>547.06799999999998</v>
      </c>
      <c r="AC32" s="600">
        <f t="shared" si="47"/>
        <v>2107.6569999999997</v>
      </c>
      <c r="AD32" s="600">
        <f t="shared" si="47"/>
        <v>559.14</v>
      </c>
      <c r="AE32" s="600">
        <f t="shared" si="47"/>
        <v>558.63499999999988</v>
      </c>
      <c r="AF32" s="600">
        <f t="shared" si="47"/>
        <v>547.38700000000006</v>
      </c>
      <c r="AG32" s="600">
        <f t="shared" si="47"/>
        <v>565.79600000000016</v>
      </c>
      <c r="AH32" s="600">
        <f t="shared" si="47"/>
        <v>2213.3830000000003</v>
      </c>
      <c r="AI32" s="600">
        <f t="shared" si="47"/>
        <v>569.33299999999997</v>
      </c>
      <c r="AJ32" s="600">
        <f t="shared" si="47"/>
        <v>562.54599999999994</v>
      </c>
      <c r="AK32" s="600">
        <f t="shared" si="47"/>
        <v>559.572</v>
      </c>
      <c r="AL32" s="600">
        <f t="shared" si="47"/>
        <v>687.64300000000003</v>
      </c>
      <c r="AM32" s="600">
        <f t="shared" si="47"/>
        <v>2379.0939999999996</v>
      </c>
      <c r="AN32" s="600">
        <f t="shared" si="47"/>
        <v>805.16399999999999</v>
      </c>
      <c r="AO32" s="600">
        <f t="shared" si="47"/>
        <v>379.56099999999992</v>
      </c>
      <c r="AP32" s="600">
        <f t="shared" si="47"/>
        <v>552.57399999999996</v>
      </c>
      <c r="AQ32" s="600">
        <f t="shared" si="47"/>
        <v>593.36299999999983</v>
      </c>
      <c r="AR32" s="600">
        <f t="shared" si="47"/>
        <v>2330.6620000000007</v>
      </c>
      <c r="AS32" s="600">
        <f t="shared" si="47"/>
        <v>618.57299999999998</v>
      </c>
      <c r="AT32" s="600">
        <f t="shared" si="47"/>
        <v>727.83799999999985</v>
      </c>
      <c r="AU32" s="600">
        <f t="shared" si="47"/>
        <v>723.09699999999998</v>
      </c>
      <c r="AV32" s="600">
        <f t="shared" si="47"/>
        <v>775.71400000000006</v>
      </c>
      <c r="AW32" s="600">
        <f t="shared" si="47"/>
        <v>2845.2220000000002</v>
      </c>
      <c r="AX32" s="600">
        <f t="shared" si="47"/>
        <v>765.38900000000001</v>
      </c>
      <c r="AY32" s="600">
        <f t="shared" si="47"/>
        <v>804.70100000000002</v>
      </c>
      <c r="AZ32" s="600">
        <f t="shared" si="47"/>
        <v>786.2059999999999</v>
      </c>
      <c r="BA32" s="600">
        <f t="shared" si="47"/>
        <v>907.92500000000018</v>
      </c>
      <c r="BB32" s="600">
        <f t="shared" si="47"/>
        <v>3264.2210000000005</v>
      </c>
      <c r="BC32" s="600">
        <f t="shared" si="47"/>
        <v>832.18799999999987</v>
      </c>
      <c r="BD32" s="600">
        <f t="shared" si="47"/>
        <v>818.69900000000007</v>
      </c>
      <c r="BE32" s="600">
        <f t="shared" si="47"/>
        <v>811.18000000000006</v>
      </c>
      <c r="BF32" s="600">
        <f t="shared" si="47"/>
        <v>868.86999999999989</v>
      </c>
      <c r="BG32" s="601">
        <f t="shared" si="47"/>
        <v>3330.9369999999999</v>
      </c>
    </row>
    <row r="33" spans="2:2" x14ac:dyDescent="0.2">
      <c r="B33" s="818"/>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628C9-E2C5-4E2B-81EB-F886A978D0C0}">
  <dimension ref="B3:AV56"/>
  <sheetViews>
    <sheetView showGridLines="0" workbookViewId="0">
      <selection activeCell="AZ12" sqref="AZ12"/>
    </sheetView>
  </sheetViews>
  <sheetFormatPr baseColWidth="10" defaultColWidth="8.83203125" defaultRowHeight="15" outlineLevelCol="1" x14ac:dyDescent="0.2"/>
  <cols>
    <col min="2" max="2" width="37.5" bestFit="1" customWidth="1"/>
    <col min="4" max="7" width="0" hidden="1" customWidth="1" outlineLevel="1"/>
    <col min="8" max="8" width="9.1640625" collapsed="1"/>
    <col min="9" max="12" width="0" hidden="1" customWidth="1" outlineLevel="1"/>
    <col min="13" max="13" width="9.1640625" collapsed="1"/>
    <col min="14" max="17" width="0" hidden="1" customWidth="1" outlineLevel="1"/>
    <col min="18" max="18" width="9.1640625" collapsed="1"/>
    <col min="19" max="22" width="0" hidden="1" customWidth="1" outlineLevel="1"/>
    <col min="23" max="23" width="9.1640625" collapsed="1"/>
    <col min="24" max="27" width="0" hidden="1" customWidth="1" outlineLevel="1"/>
    <col min="28" max="28" width="9.1640625" collapsed="1"/>
    <col min="29" max="32" width="0" hidden="1" customWidth="1" outlineLevel="1"/>
    <col min="33" max="33" width="9.1640625" collapsed="1"/>
    <col min="34" max="37" width="0" hidden="1" customWidth="1" outlineLevel="1"/>
    <col min="38" max="38" width="9.1640625" collapsed="1"/>
    <col min="39" max="42" width="0" hidden="1" customWidth="1" outlineLevel="1"/>
    <col min="43" max="43" width="9.1640625" collapsed="1"/>
    <col min="44" max="47" width="0" hidden="1" customWidth="1" outlineLevel="1"/>
    <col min="48" max="48" width="9.1640625" collapsed="1"/>
  </cols>
  <sheetData>
    <row r="3" spans="2:48" x14ac:dyDescent="0.2">
      <c r="B3" s="1510" t="s">
        <v>155</v>
      </c>
      <c r="C3" s="1511">
        <v>42003</v>
      </c>
      <c r="D3" s="1511">
        <v>42094</v>
      </c>
      <c r="E3" s="1511">
        <v>42185</v>
      </c>
      <c r="F3" s="1511">
        <v>42276</v>
      </c>
      <c r="G3" s="1511">
        <v>42367</v>
      </c>
      <c r="H3" s="1511">
        <v>42367</v>
      </c>
      <c r="I3" s="1511">
        <v>42458</v>
      </c>
      <c r="J3" s="1511">
        <v>42549</v>
      </c>
      <c r="K3" s="1511">
        <v>42640</v>
      </c>
      <c r="L3" s="1511">
        <v>42738</v>
      </c>
      <c r="M3" s="1511">
        <v>42738</v>
      </c>
      <c r="N3" s="1511">
        <v>42829</v>
      </c>
      <c r="O3" s="1511">
        <v>42920</v>
      </c>
      <c r="P3" s="1511">
        <v>43011</v>
      </c>
      <c r="Q3" s="1511">
        <v>43102</v>
      </c>
      <c r="R3" s="1511">
        <v>43102</v>
      </c>
      <c r="S3" s="1511">
        <v>43193</v>
      </c>
      <c r="T3" s="1511">
        <v>43284</v>
      </c>
      <c r="U3" s="1511">
        <v>43375</v>
      </c>
      <c r="V3" s="1511">
        <v>43466</v>
      </c>
      <c r="W3" s="1511">
        <v>43466</v>
      </c>
      <c r="X3" s="1511">
        <v>43557</v>
      </c>
      <c r="Y3" s="1511">
        <v>43648</v>
      </c>
      <c r="Z3" s="1511">
        <v>43739</v>
      </c>
      <c r="AA3" s="1511">
        <v>43830</v>
      </c>
      <c r="AB3" s="1511">
        <v>43830</v>
      </c>
      <c r="AC3" s="1511">
        <v>43921</v>
      </c>
      <c r="AD3" s="1511">
        <v>44012</v>
      </c>
      <c r="AE3" s="1511">
        <v>44103</v>
      </c>
      <c r="AF3" s="1511">
        <v>44194</v>
      </c>
      <c r="AG3" s="1511">
        <v>44194</v>
      </c>
      <c r="AH3" s="1511">
        <v>44285</v>
      </c>
      <c r="AI3" s="1511">
        <v>44376</v>
      </c>
      <c r="AJ3" s="1511">
        <v>44467</v>
      </c>
      <c r="AK3" s="1511">
        <v>44558</v>
      </c>
      <c r="AL3" s="1511">
        <v>44558</v>
      </c>
      <c r="AM3" s="1511">
        <v>44649</v>
      </c>
      <c r="AN3" s="1511">
        <v>44740</v>
      </c>
      <c r="AO3" s="1511">
        <v>44831</v>
      </c>
      <c r="AP3" s="1511">
        <v>44929</v>
      </c>
      <c r="AQ3" s="1511">
        <v>44929</v>
      </c>
      <c r="AR3" s="1511">
        <v>45019</v>
      </c>
      <c r="AS3" s="1511">
        <v>45111</v>
      </c>
      <c r="AT3" s="1511">
        <v>45202</v>
      </c>
      <c r="AU3" s="1511">
        <v>45293</v>
      </c>
      <c r="AV3" s="1529">
        <v>45293</v>
      </c>
    </row>
    <row r="4" spans="2:48" x14ac:dyDescent="0.2">
      <c r="B4" s="690"/>
      <c r="C4" s="593" t="s">
        <v>161</v>
      </c>
      <c r="D4" s="593" t="s">
        <v>162</v>
      </c>
      <c r="E4" s="593" t="s">
        <v>163</v>
      </c>
      <c r="F4" s="593" t="s">
        <v>164</v>
      </c>
      <c r="G4" s="593" t="s">
        <v>165</v>
      </c>
      <c r="H4" s="593" t="s">
        <v>166</v>
      </c>
      <c r="I4" s="593" t="s">
        <v>167</v>
      </c>
      <c r="J4" s="593" t="s">
        <v>168</v>
      </c>
      <c r="K4" s="593" t="s">
        <v>169</v>
      </c>
      <c r="L4" s="593" t="s">
        <v>170</v>
      </c>
      <c r="M4" s="593" t="s">
        <v>171</v>
      </c>
      <c r="N4" s="593" t="s">
        <v>172</v>
      </c>
      <c r="O4" s="593" t="s">
        <v>173</v>
      </c>
      <c r="P4" s="593" t="s">
        <v>174</v>
      </c>
      <c r="Q4" s="593" t="s">
        <v>175</v>
      </c>
      <c r="R4" s="593" t="s">
        <v>176</v>
      </c>
      <c r="S4" s="593" t="s">
        <v>177</v>
      </c>
      <c r="T4" s="593" t="s">
        <v>178</v>
      </c>
      <c r="U4" s="593" t="s">
        <v>179</v>
      </c>
      <c r="V4" s="593" t="s">
        <v>180</v>
      </c>
      <c r="W4" s="593" t="s">
        <v>181</v>
      </c>
      <c r="X4" s="593" t="s">
        <v>182</v>
      </c>
      <c r="Y4" s="593" t="s">
        <v>183</v>
      </c>
      <c r="Z4" s="593" t="s">
        <v>184</v>
      </c>
      <c r="AA4" s="593" t="s">
        <v>185</v>
      </c>
      <c r="AB4" s="593" t="s">
        <v>186</v>
      </c>
      <c r="AC4" s="593" t="s">
        <v>187</v>
      </c>
      <c r="AD4" s="593" t="s">
        <v>188</v>
      </c>
      <c r="AE4" s="593" t="s">
        <v>189</v>
      </c>
      <c r="AF4" s="593" t="s">
        <v>190</v>
      </c>
      <c r="AG4" s="593" t="s">
        <v>191</v>
      </c>
      <c r="AH4" s="593" t="s">
        <v>192</v>
      </c>
      <c r="AI4" s="593" t="s">
        <v>193</v>
      </c>
      <c r="AJ4" s="593" t="s">
        <v>194</v>
      </c>
      <c r="AK4" s="593" t="s">
        <v>195</v>
      </c>
      <c r="AL4" s="593" t="s">
        <v>196</v>
      </c>
      <c r="AM4" s="593" t="s">
        <v>197</v>
      </c>
      <c r="AN4" s="593" t="s">
        <v>198</v>
      </c>
      <c r="AO4" s="593" t="s">
        <v>199</v>
      </c>
      <c r="AP4" s="593" t="s">
        <v>200</v>
      </c>
      <c r="AQ4" s="593" t="s">
        <v>201</v>
      </c>
      <c r="AR4" s="593" t="s">
        <v>202</v>
      </c>
      <c r="AS4" s="593" t="s">
        <v>203</v>
      </c>
      <c r="AT4" s="593" t="s">
        <v>204</v>
      </c>
      <c r="AU4" s="593" t="s">
        <v>205</v>
      </c>
      <c r="AV4" s="1530" t="s">
        <v>206</v>
      </c>
    </row>
    <row r="5" spans="2:48" x14ac:dyDescent="0.2">
      <c r="B5" s="690"/>
      <c r="C5" s="689"/>
      <c r="D5" s="689"/>
      <c r="E5" s="689"/>
      <c r="F5" s="689"/>
      <c r="G5" s="689"/>
      <c r="H5" s="689"/>
      <c r="I5" s="689"/>
      <c r="J5" s="689"/>
      <c r="K5" s="689"/>
      <c r="L5" s="689"/>
      <c r="M5" s="689"/>
      <c r="N5" s="689"/>
      <c r="O5" s="689"/>
      <c r="P5" s="689"/>
      <c r="Q5" s="689"/>
      <c r="R5" s="689"/>
      <c r="S5" s="689"/>
      <c r="T5" s="689"/>
      <c r="U5" s="689"/>
      <c r="V5" s="689"/>
      <c r="W5" s="689"/>
      <c r="X5" s="689"/>
      <c r="Y5" s="689"/>
      <c r="Z5" s="689"/>
      <c r="AA5" s="689"/>
      <c r="AB5" s="689"/>
      <c r="AC5" s="689"/>
      <c r="AD5" s="689"/>
      <c r="AE5" s="689"/>
      <c r="AF5" s="689"/>
      <c r="AG5" s="689"/>
      <c r="AH5" s="689"/>
      <c r="AI5" s="689"/>
      <c r="AJ5" s="689"/>
      <c r="AK5" s="689"/>
      <c r="AL5" s="689"/>
      <c r="AM5" s="689"/>
      <c r="AN5" s="689"/>
      <c r="AO5" s="689"/>
      <c r="AP5" s="689"/>
      <c r="AQ5" s="689"/>
      <c r="AR5" s="689"/>
      <c r="AS5" s="689"/>
      <c r="AT5" s="689"/>
      <c r="AU5" s="689"/>
      <c r="AV5" s="691"/>
    </row>
    <row r="6" spans="2:48" x14ac:dyDescent="0.2">
      <c r="B6" s="1531" t="s">
        <v>370</v>
      </c>
      <c r="C6" s="1532"/>
      <c r="D6" s="692"/>
      <c r="E6" s="692"/>
      <c r="F6" s="692"/>
      <c r="G6" s="692"/>
      <c r="H6" s="692"/>
      <c r="I6" s="692"/>
      <c r="J6" s="692"/>
      <c r="K6" s="692"/>
      <c r="L6" s="692"/>
      <c r="M6" s="692"/>
      <c r="N6" s="692"/>
      <c r="O6" s="692"/>
      <c r="P6" s="692"/>
      <c r="Q6" s="692"/>
      <c r="R6" s="692"/>
      <c r="S6" s="692"/>
      <c r="T6" s="692"/>
      <c r="U6" s="692"/>
      <c r="V6" s="692"/>
      <c r="W6" s="692"/>
      <c r="X6" s="692"/>
      <c r="Y6" s="692"/>
      <c r="Z6" s="692"/>
      <c r="AA6" s="692"/>
      <c r="AB6" s="692"/>
      <c r="AC6" s="692"/>
      <c r="AD6" s="692"/>
      <c r="AE6" s="692"/>
      <c r="AF6" s="692"/>
      <c r="AG6" s="692"/>
      <c r="AH6" s="692"/>
      <c r="AI6" s="692"/>
      <c r="AJ6" s="692"/>
      <c r="AK6" s="692"/>
      <c r="AL6" s="692"/>
      <c r="AM6" s="692"/>
      <c r="AN6" s="692"/>
      <c r="AO6" s="692"/>
      <c r="AP6" s="692"/>
      <c r="AQ6" s="692"/>
      <c r="AR6" s="692"/>
      <c r="AS6" s="692"/>
      <c r="AT6" s="692"/>
      <c r="AU6" s="692"/>
      <c r="AV6" s="693"/>
    </row>
    <row r="7" spans="2:48" x14ac:dyDescent="0.2">
      <c r="B7" s="602"/>
      <c r="AV7" s="603"/>
    </row>
    <row r="8" spans="2:48" x14ac:dyDescent="0.2">
      <c r="B8" s="727" t="s">
        <v>371</v>
      </c>
      <c r="AV8" s="603"/>
    </row>
    <row r="9" spans="2:48" x14ac:dyDescent="0.2">
      <c r="B9" s="605" t="s">
        <v>372</v>
      </c>
      <c r="C9" s="731">
        <v>58.018000000000001</v>
      </c>
      <c r="D9" s="732">
        <v>39.478000000000002</v>
      </c>
      <c r="E9" s="732">
        <v>61.548000000000002</v>
      </c>
      <c r="F9" s="732">
        <v>29.606999999999999</v>
      </c>
      <c r="G9" s="733">
        <f t="shared" ref="G9:G11" si="0">H9</f>
        <v>43.853999999999999</v>
      </c>
      <c r="H9" s="732">
        <v>43.853999999999999</v>
      </c>
      <c r="I9" s="732">
        <v>53.921999999999997</v>
      </c>
      <c r="J9" s="732">
        <v>79.617999999999995</v>
      </c>
      <c r="K9" s="732">
        <v>65.844999999999999</v>
      </c>
      <c r="L9" s="734">
        <f t="shared" ref="L9:L11" si="1">M9</f>
        <v>53.838999999999999</v>
      </c>
      <c r="M9" s="732">
        <v>53.838999999999999</v>
      </c>
      <c r="N9" s="732">
        <v>65.665999999999997</v>
      </c>
      <c r="O9" s="732">
        <v>66.313999999999993</v>
      </c>
      <c r="P9" s="732">
        <v>19.795000000000002</v>
      </c>
      <c r="Q9" s="733">
        <f t="shared" ref="Q9:Q11" si="2">R9</f>
        <v>6.008</v>
      </c>
      <c r="R9" s="732">
        <v>6.008</v>
      </c>
      <c r="S9" s="732">
        <v>24.800999999999998</v>
      </c>
      <c r="T9" s="732">
        <v>29.369</v>
      </c>
      <c r="U9" s="732">
        <v>12.638999999999999</v>
      </c>
      <c r="V9" s="733">
        <f t="shared" ref="V9:V11" si="3">W9</f>
        <v>26.577999999999999</v>
      </c>
      <c r="W9" s="732">
        <v>26.577999999999999</v>
      </c>
      <c r="X9" s="732">
        <v>22.529</v>
      </c>
      <c r="Y9" s="732">
        <v>22.603999999999999</v>
      </c>
      <c r="Z9" s="732">
        <v>306.25200000000001</v>
      </c>
      <c r="AA9" s="734">
        <f t="shared" ref="AA9:AA11" si="4">AB9</f>
        <v>58.416000000000004</v>
      </c>
      <c r="AB9" s="732">
        <v>58.416000000000004</v>
      </c>
      <c r="AC9" s="732">
        <v>81.022999999999996</v>
      </c>
      <c r="AD9" s="732">
        <v>250.155</v>
      </c>
      <c r="AE9" s="732">
        <v>243.768</v>
      </c>
      <c r="AF9" s="734">
        <f>AG9</f>
        <v>154.08500000000001</v>
      </c>
      <c r="AG9" s="732">
        <v>154.08500000000001</v>
      </c>
      <c r="AH9" s="732">
        <v>181.345</v>
      </c>
      <c r="AI9" s="732">
        <v>161.768</v>
      </c>
      <c r="AJ9" s="732">
        <v>131.03</v>
      </c>
      <c r="AK9" s="734">
        <f t="shared" ref="AK9:AK16" si="5">AL9</f>
        <v>189.62700000000001</v>
      </c>
      <c r="AL9" s="732">
        <v>189.62700000000001</v>
      </c>
      <c r="AM9" s="732">
        <v>183.55600000000001</v>
      </c>
      <c r="AN9" s="732">
        <v>194.89099999999999</v>
      </c>
      <c r="AO9" s="732">
        <v>133.15700000000001</v>
      </c>
      <c r="AP9" s="734">
        <f>AQ9</f>
        <v>114.777</v>
      </c>
      <c r="AQ9" s="732">
        <v>114.777</v>
      </c>
      <c r="AR9" s="732">
        <v>116.164</v>
      </c>
      <c r="AS9" s="732">
        <v>91.557000000000002</v>
      </c>
      <c r="AT9" s="732">
        <v>63.987000000000002</v>
      </c>
      <c r="AU9" s="734">
        <f>AV9</f>
        <v>56.29</v>
      </c>
      <c r="AV9" s="735">
        <v>56.29</v>
      </c>
    </row>
    <row r="10" spans="2:48" x14ac:dyDescent="0.2">
      <c r="B10" s="605" t="s">
        <v>373</v>
      </c>
      <c r="C10" s="736">
        <v>15.17</v>
      </c>
      <c r="D10" s="737">
        <v>12.643000000000001</v>
      </c>
      <c r="E10" s="737">
        <v>8.8109999999999999</v>
      </c>
      <c r="F10" s="737">
        <v>10.866</v>
      </c>
      <c r="G10" s="738">
        <f t="shared" si="0"/>
        <v>14.159000000000001</v>
      </c>
      <c r="H10" s="737">
        <v>14.159000000000001</v>
      </c>
      <c r="I10" s="737">
        <v>13.079000000000001</v>
      </c>
      <c r="J10" s="737">
        <v>14.468</v>
      </c>
      <c r="K10" s="737">
        <v>13.95</v>
      </c>
      <c r="L10" s="739">
        <f t="shared" si="1"/>
        <v>15.632</v>
      </c>
      <c r="M10" s="737">
        <v>15.632</v>
      </c>
      <c r="N10" s="737">
        <v>12.46</v>
      </c>
      <c r="O10" s="737">
        <v>14.073</v>
      </c>
      <c r="P10" s="737">
        <v>13.195</v>
      </c>
      <c r="Q10" s="738">
        <f t="shared" si="2"/>
        <v>19.864999999999998</v>
      </c>
      <c r="R10" s="737">
        <v>19.864999999999998</v>
      </c>
      <c r="S10" s="737">
        <v>16.347999999999999</v>
      </c>
      <c r="T10" s="737">
        <v>17.806000000000001</v>
      </c>
      <c r="U10" s="737">
        <v>15.984999999999999</v>
      </c>
      <c r="V10" s="738">
        <f t="shared" si="3"/>
        <v>20.928000000000001</v>
      </c>
      <c r="W10" s="737">
        <v>20.928000000000001</v>
      </c>
      <c r="X10" s="737">
        <v>17.742000000000001</v>
      </c>
      <c r="Y10" s="737">
        <v>16.873999999999999</v>
      </c>
      <c r="Z10" s="737">
        <v>16.356000000000002</v>
      </c>
      <c r="AA10" s="739">
        <f t="shared" si="4"/>
        <v>25.619</v>
      </c>
      <c r="AB10" s="737">
        <v>25.619</v>
      </c>
      <c r="AC10" s="737">
        <v>22.862000000000002</v>
      </c>
      <c r="AD10" s="737">
        <v>22.931999999999999</v>
      </c>
      <c r="AE10" s="737">
        <v>26.265000000000001</v>
      </c>
      <c r="AF10" s="739"/>
      <c r="AG10" s="739"/>
      <c r="AH10" s="739"/>
      <c r="AI10" s="739"/>
      <c r="AJ10" s="739"/>
      <c r="AK10" s="739">
        <f t="shared" si="5"/>
        <v>0</v>
      </c>
      <c r="AL10" s="739"/>
      <c r="AM10" s="739"/>
      <c r="AN10" s="739"/>
      <c r="AO10" s="739"/>
      <c r="AP10" s="739"/>
      <c r="AQ10" s="739"/>
      <c r="AR10" s="739"/>
      <c r="AS10" s="739"/>
      <c r="AT10" s="739"/>
      <c r="AU10" s="739"/>
      <c r="AV10" s="740"/>
    </row>
    <row r="11" spans="2:48" x14ac:dyDescent="0.2">
      <c r="B11" s="728" t="s">
        <v>374</v>
      </c>
      <c r="C11" s="741">
        <v>62.326999999999998</v>
      </c>
      <c r="D11" s="742">
        <v>29.692</v>
      </c>
      <c r="E11" s="742">
        <v>33.412999999999997</v>
      </c>
      <c r="F11" s="742">
        <v>35.003999999999998</v>
      </c>
      <c r="G11" s="743">
        <f t="shared" si="0"/>
        <v>72.658000000000001</v>
      </c>
      <c r="H11" s="742">
        <v>72.658000000000001</v>
      </c>
      <c r="I11" s="742">
        <v>30.588000000000001</v>
      </c>
      <c r="J11" s="742">
        <v>27.15</v>
      </c>
      <c r="K11" s="742">
        <v>30.765000000000001</v>
      </c>
      <c r="L11" s="744">
        <f t="shared" si="1"/>
        <v>64.591999999999999</v>
      </c>
      <c r="M11" s="742">
        <v>64.591999999999999</v>
      </c>
      <c r="N11" s="742">
        <v>32.328000000000003</v>
      </c>
      <c r="O11" s="742">
        <v>34.741999999999997</v>
      </c>
      <c r="P11" s="742">
        <v>33.896999999999998</v>
      </c>
      <c r="Q11" s="743">
        <f t="shared" si="2"/>
        <v>67.518000000000001</v>
      </c>
      <c r="R11" s="742">
        <v>67.518000000000001</v>
      </c>
      <c r="S11" s="742">
        <v>26.376000000000001</v>
      </c>
      <c r="T11" s="742">
        <v>31.815000000000001</v>
      </c>
      <c r="U11" s="742">
        <v>34.915999999999997</v>
      </c>
      <c r="V11" s="743">
        <f t="shared" si="3"/>
        <v>68.192999999999998</v>
      </c>
      <c r="W11" s="742">
        <v>68.192999999999998</v>
      </c>
      <c r="X11" s="742">
        <v>28.446000000000002</v>
      </c>
      <c r="Y11" s="742">
        <v>30.797000000000001</v>
      </c>
      <c r="Z11" s="742">
        <v>31.445</v>
      </c>
      <c r="AA11" s="744">
        <f t="shared" si="4"/>
        <v>64.683000000000007</v>
      </c>
      <c r="AB11" s="742">
        <v>64.683000000000007</v>
      </c>
      <c r="AC11" s="742">
        <v>27.283000000000001</v>
      </c>
      <c r="AD11" s="742">
        <v>25.652000000000001</v>
      </c>
      <c r="AE11" s="742">
        <v>25.468</v>
      </c>
      <c r="AF11" s="744"/>
      <c r="AG11" s="744"/>
      <c r="AH11" s="744"/>
      <c r="AI11" s="744"/>
      <c r="AJ11" s="744"/>
      <c r="AK11" s="744">
        <f t="shared" si="5"/>
        <v>0</v>
      </c>
      <c r="AL11" s="744"/>
      <c r="AM11" s="744"/>
      <c r="AN11" s="744"/>
      <c r="AO11" s="744"/>
      <c r="AP11" s="744"/>
      <c r="AQ11" s="744"/>
      <c r="AR11" s="744"/>
      <c r="AS11" s="744"/>
      <c r="AT11" s="744"/>
      <c r="AU11" s="744"/>
      <c r="AV11" s="745"/>
    </row>
    <row r="12" spans="2:48" x14ac:dyDescent="0.2">
      <c r="B12" s="605" t="s">
        <v>375</v>
      </c>
      <c r="C12" s="746">
        <f t="shared" ref="C12:AE12" si="6">C10+C11</f>
        <v>77.497</v>
      </c>
      <c r="D12" s="738">
        <f t="shared" si="6"/>
        <v>42.335000000000001</v>
      </c>
      <c r="E12" s="738">
        <f t="shared" si="6"/>
        <v>42.223999999999997</v>
      </c>
      <c r="F12" s="738">
        <f t="shared" si="6"/>
        <v>45.87</v>
      </c>
      <c r="G12" s="738">
        <f t="shared" si="6"/>
        <v>86.817000000000007</v>
      </c>
      <c r="H12" s="738">
        <f t="shared" si="6"/>
        <v>86.817000000000007</v>
      </c>
      <c r="I12" s="738">
        <f t="shared" si="6"/>
        <v>43.667000000000002</v>
      </c>
      <c r="J12" s="738">
        <f t="shared" si="6"/>
        <v>41.617999999999995</v>
      </c>
      <c r="K12" s="738">
        <f t="shared" si="6"/>
        <v>44.715000000000003</v>
      </c>
      <c r="L12" s="739">
        <f t="shared" si="6"/>
        <v>80.224000000000004</v>
      </c>
      <c r="M12" s="739">
        <f t="shared" si="6"/>
        <v>80.224000000000004</v>
      </c>
      <c r="N12" s="738">
        <f t="shared" si="6"/>
        <v>44.788000000000004</v>
      </c>
      <c r="O12" s="738">
        <f t="shared" si="6"/>
        <v>48.814999999999998</v>
      </c>
      <c r="P12" s="738">
        <f t="shared" si="6"/>
        <v>47.091999999999999</v>
      </c>
      <c r="Q12" s="738">
        <f t="shared" si="6"/>
        <v>87.382999999999996</v>
      </c>
      <c r="R12" s="739">
        <f t="shared" si="6"/>
        <v>87.382999999999996</v>
      </c>
      <c r="S12" s="738">
        <f t="shared" si="6"/>
        <v>42.724000000000004</v>
      </c>
      <c r="T12" s="738">
        <f t="shared" si="6"/>
        <v>49.621000000000002</v>
      </c>
      <c r="U12" s="738">
        <f t="shared" si="6"/>
        <v>50.900999999999996</v>
      </c>
      <c r="V12" s="738">
        <f t="shared" si="6"/>
        <v>89.120999999999995</v>
      </c>
      <c r="W12" s="739">
        <f t="shared" si="6"/>
        <v>89.120999999999995</v>
      </c>
      <c r="X12" s="739">
        <f t="shared" si="6"/>
        <v>46.188000000000002</v>
      </c>
      <c r="Y12" s="739">
        <f t="shared" si="6"/>
        <v>47.670999999999999</v>
      </c>
      <c r="Z12" s="739">
        <f t="shared" si="6"/>
        <v>47.801000000000002</v>
      </c>
      <c r="AA12" s="739">
        <f t="shared" si="6"/>
        <v>90.302000000000007</v>
      </c>
      <c r="AB12" s="738">
        <f t="shared" si="6"/>
        <v>90.302000000000007</v>
      </c>
      <c r="AC12" s="739">
        <f t="shared" si="6"/>
        <v>50.145000000000003</v>
      </c>
      <c r="AD12" s="739">
        <f t="shared" si="6"/>
        <v>48.584000000000003</v>
      </c>
      <c r="AE12" s="739">
        <f t="shared" si="6"/>
        <v>51.733000000000004</v>
      </c>
      <c r="AF12" s="739">
        <f t="shared" ref="AF12:AF15" si="7">AG12</f>
        <v>75.787000000000006</v>
      </c>
      <c r="AG12" s="737">
        <v>75.787000000000006</v>
      </c>
      <c r="AH12" s="737">
        <v>57.814999999999998</v>
      </c>
      <c r="AI12" s="737">
        <v>57.933999999999997</v>
      </c>
      <c r="AJ12" s="737">
        <v>66.662999999999997</v>
      </c>
      <c r="AK12" s="739">
        <f t="shared" si="5"/>
        <v>100.504</v>
      </c>
      <c r="AL12" s="737">
        <v>100.504</v>
      </c>
      <c r="AM12" s="737">
        <v>66.450999999999993</v>
      </c>
      <c r="AN12" s="737">
        <v>71.337999999999994</v>
      </c>
      <c r="AO12" s="737">
        <v>67.661000000000001</v>
      </c>
      <c r="AP12" s="739">
        <f t="shared" ref="AP12:AP16" si="8">AQ12</f>
        <v>105.511</v>
      </c>
      <c r="AQ12" s="737">
        <v>105.511</v>
      </c>
      <c r="AR12" s="737">
        <v>68.456000000000003</v>
      </c>
      <c r="AS12" s="737">
        <v>71.366</v>
      </c>
      <c r="AT12" s="737">
        <v>70.236000000000004</v>
      </c>
      <c r="AU12" s="739">
        <f t="shared" ref="AU12:AU16" si="9">AV12</f>
        <v>103.09399999999999</v>
      </c>
      <c r="AV12" s="747">
        <v>103.09399999999999</v>
      </c>
    </row>
    <row r="13" spans="2:48" x14ac:dyDescent="0.2">
      <c r="B13" s="605" t="s">
        <v>376</v>
      </c>
      <c r="C13" s="736">
        <v>17.382999999999999</v>
      </c>
      <c r="D13" s="737">
        <v>12.782999999999999</v>
      </c>
      <c r="E13" s="737">
        <v>5.9169999999999998</v>
      </c>
      <c r="F13" s="737">
        <v>16.030999999999999</v>
      </c>
      <c r="G13" s="738">
        <f t="shared" ref="G13:G16" si="10">H13</f>
        <v>18.739000000000001</v>
      </c>
      <c r="H13" s="737">
        <v>18.739000000000001</v>
      </c>
      <c r="I13" s="737">
        <v>16.021000000000001</v>
      </c>
      <c r="J13" s="737">
        <v>4.3410000000000002</v>
      </c>
      <c r="K13" s="737">
        <v>0.45900000000000002</v>
      </c>
      <c r="L13" s="739">
        <f t="shared" ref="L13:L16" si="11">M13</f>
        <v>0</v>
      </c>
      <c r="M13" s="739"/>
      <c r="N13" s="739"/>
      <c r="O13" s="737">
        <v>4.1980000000000004</v>
      </c>
      <c r="P13" s="737">
        <v>5.0380000000000003</v>
      </c>
      <c r="Q13" s="738">
        <f t="shared" ref="Q13:Q16" si="12">R13</f>
        <v>15.016</v>
      </c>
      <c r="R13" s="737">
        <v>15.016</v>
      </c>
      <c r="S13" s="737">
        <v>1.3480000000000001</v>
      </c>
      <c r="T13" s="737">
        <v>2.4329999999999998</v>
      </c>
      <c r="U13" s="737">
        <v>3.1850000000000001</v>
      </c>
      <c r="V13" s="738">
        <f t="shared" ref="V13:V15" si="13">W13</f>
        <v>0</v>
      </c>
      <c r="W13" s="737">
        <v>0</v>
      </c>
      <c r="X13" s="739"/>
      <c r="Y13" s="737">
        <v>2.3820000000000001</v>
      </c>
      <c r="Z13" s="737">
        <v>8.4149999999999991</v>
      </c>
      <c r="AA13" s="739">
        <f t="shared" ref="AA13:AA15" si="14">AB13</f>
        <v>4.6260000000000003</v>
      </c>
      <c r="AB13" s="737">
        <v>4.6260000000000003</v>
      </c>
      <c r="AC13" s="737">
        <v>49.179000000000002</v>
      </c>
      <c r="AD13" s="737">
        <v>79.013000000000005</v>
      </c>
      <c r="AE13" s="737">
        <v>45.603000000000002</v>
      </c>
      <c r="AF13" s="739">
        <f t="shared" si="7"/>
        <v>36.889000000000003</v>
      </c>
      <c r="AG13" s="737">
        <v>36.889000000000003</v>
      </c>
      <c r="AH13" s="737">
        <v>34.972999999999999</v>
      </c>
      <c r="AI13" s="737">
        <v>34.655000000000001</v>
      </c>
      <c r="AJ13" s="737">
        <v>39.51</v>
      </c>
      <c r="AK13" s="739">
        <f t="shared" si="5"/>
        <v>36.173000000000002</v>
      </c>
      <c r="AL13" s="737">
        <v>36.173000000000002</v>
      </c>
      <c r="AM13" s="737">
        <v>36.893000000000001</v>
      </c>
      <c r="AN13" s="737">
        <v>39.790999999999997</v>
      </c>
      <c r="AO13" s="737">
        <v>23.692</v>
      </c>
      <c r="AP13" s="739">
        <f t="shared" si="8"/>
        <v>21.521999999999998</v>
      </c>
      <c r="AQ13" s="737">
        <v>21.521999999999998</v>
      </c>
      <c r="AR13" s="737">
        <v>21.64</v>
      </c>
      <c r="AS13" s="737">
        <v>22.739000000000001</v>
      </c>
      <c r="AT13" s="737">
        <v>23.922999999999998</v>
      </c>
      <c r="AU13" s="739">
        <f t="shared" si="9"/>
        <v>20.67</v>
      </c>
      <c r="AV13" s="747">
        <v>20.67</v>
      </c>
    </row>
    <row r="14" spans="2:48" x14ac:dyDescent="0.2">
      <c r="B14" s="605" t="s">
        <v>377</v>
      </c>
      <c r="C14" s="736">
        <v>33.255000000000003</v>
      </c>
      <c r="D14" s="737">
        <v>32.524999999999999</v>
      </c>
      <c r="E14" s="737">
        <v>36.466000000000001</v>
      </c>
      <c r="F14" s="737">
        <v>36.741999999999997</v>
      </c>
      <c r="G14" s="738">
        <f t="shared" si="10"/>
        <v>34.01</v>
      </c>
      <c r="H14" s="737">
        <v>34.01</v>
      </c>
      <c r="I14" s="737">
        <v>35.542999999999999</v>
      </c>
      <c r="J14" s="737">
        <v>34.570999999999998</v>
      </c>
      <c r="K14" s="737">
        <v>35.540999999999997</v>
      </c>
      <c r="L14" s="739">
        <f t="shared" si="11"/>
        <v>34.926000000000002</v>
      </c>
      <c r="M14" s="737">
        <v>34.926000000000002</v>
      </c>
      <c r="N14" s="737">
        <v>38.540999999999997</v>
      </c>
      <c r="O14" s="737">
        <v>40.246000000000002</v>
      </c>
      <c r="P14" s="737">
        <v>44.195</v>
      </c>
      <c r="Q14" s="738">
        <f t="shared" si="12"/>
        <v>42.56</v>
      </c>
      <c r="R14" s="737">
        <v>42.56</v>
      </c>
      <c r="S14" s="737">
        <v>40.959000000000003</v>
      </c>
      <c r="T14" s="737">
        <v>34.691000000000003</v>
      </c>
      <c r="U14" s="737">
        <v>39.768999999999998</v>
      </c>
      <c r="V14" s="738">
        <f t="shared" si="13"/>
        <v>38.886000000000003</v>
      </c>
      <c r="W14" s="737">
        <v>38.886000000000003</v>
      </c>
      <c r="X14" s="737">
        <v>42.027999999999999</v>
      </c>
      <c r="Y14" s="737">
        <v>46.011000000000003</v>
      </c>
      <c r="Z14" s="737">
        <v>47.777999999999999</v>
      </c>
      <c r="AA14" s="739">
        <f t="shared" si="14"/>
        <v>47.225000000000001</v>
      </c>
      <c r="AB14" s="737">
        <v>47.225000000000001</v>
      </c>
      <c r="AC14" s="737">
        <v>47.822000000000003</v>
      </c>
      <c r="AD14" s="737">
        <v>40.511000000000003</v>
      </c>
      <c r="AE14" s="737">
        <v>37.726999999999997</v>
      </c>
      <c r="AF14" s="739">
        <f t="shared" si="7"/>
        <v>39.287999999999997</v>
      </c>
      <c r="AG14" s="737">
        <v>39.287999999999997</v>
      </c>
      <c r="AH14" s="737">
        <v>38.954999999999998</v>
      </c>
      <c r="AI14" s="737">
        <v>41.868000000000002</v>
      </c>
      <c r="AJ14" s="737">
        <v>43.27</v>
      </c>
      <c r="AK14" s="739">
        <f t="shared" si="5"/>
        <v>42.838999999999999</v>
      </c>
      <c r="AL14" s="737">
        <v>42.838999999999999</v>
      </c>
      <c r="AM14" s="737">
        <v>46.68</v>
      </c>
      <c r="AN14" s="737">
        <v>52.286000000000001</v>
      </c>
      <c r="AO14" s="737">
        <v>62.274999999999999</v>
      </c>
      <c r="AP14" s="739">
        <f t="shared" si="8"/>
        <v>55.558999999999997</v>
      </c>
      <c r="AQ14" s="737">
        <v>55.558999999999997</v>
      </c>
      <c r="AR14" s="737">
        <v>58.988999999999997</v>
      </c>
      <c r="AS14" s="737">
        <v>60.868000000000002</v>
      </c>
      <c r="AT14" s="737">
        <v>58.671999999999997</v>
      </c>
      <c r="AU14" s="739">
        <f t="shared" si="9"/>
        <v>57.654000000000003</v>
      </c>
      <c r="AV14" s="747">
        <v>57.654000000000003</v>
      </c>
    </row>
    <row r="15" spans="2:48" x14ac:dyDescent="0.2">
      <c r="B15" s="605" t="s">
        <v>378</v>
      </c>
      <c r="C15" s="736">
        <v>38.232999999999997</v>
      </c>
      <c r="D15" s="737">
        <v>46.579000000000001</v>
      </c>
      <c r="E15" s="737">
        <v>46.622</v>
      </c>
      <c r="F15" s="737">
        <v>44.08</v>
      </c>
      <c r="G15" s="738">
        <f t="shared" si="10"/>
        <v>41.975999999999999</v>
      </c>
      <c r="H15" s="737">
        <v>41.975999999999999</v>
      </c>
      <c r="I15" s="737">
        <v>40.637</v>
      </c>
      <c r="J15" s="737">
        <v>37.823999999999998</v>
      </c>
      <c r="K15" s="737">
        <v>36.337000000000003</v>
      </c>
      <c r="L15" s="739">
        <f t="shared" si="11"/>
        <v>52.438000000000002</v>
      </c>
      <c r="M15" s="737">
        <v>52.438000000000002</v>
      </c>
      <c r="N15" s="737">
        <v>52.585000000000001</v>
      </c>
      <c r="O15" s="737">
        <v>50.918999999999997</v>
      </c>
      <c r="P15" s="737">
        <v>48.521000000000001</v>
      </c>
      <c r="Q15" s="738">
        <f t="shared" si="12"/>
        <v>57.665999999999997</v>
      </c>
      <c r="R15" s="737">
        <v>57.665999999999997</v>
      </c>
      <c r="S15" s="737">
        <v>54.036000000000001</v>
      </c>
      <c r="T15" s="737">
        <v>52.945999999999998</v>
      </c>
      <c r="U15" s="737">
        <v>48.326999999999998</v>
      </c>
      <c r="V15" s="738">
        <f t="shared" si="13"/>
        <v>40.645000000000003</v>
      </c>
      <c r="W15" s="737">
        <v>40.645000000000003</v>
      </c>
      <c r="X15" s="737">
        <v>46.771000000000001</v>
      </c>
      <c r="Y15" s="737">
        <v>39.524000000000001</v>
      </c>
      <c r="Z15" s="737">
        <v>38.895000000000003</v>
      </c>
      <c r="AA15" s="739">
        <f t="shared" si="14"/>
        <v>43.945999999999998</v>
      </c>
      <c r="AB15" s="737">
        <v>43.945999999999998</v>
      </c>
      <c r="AC15" s="737">
        <v>42.489000000000004</v>
      </c>
      <c r="AD15" s="737">
        <v>36.341999999999999</v>
      </c>
      <c r="AE15" s="737">
        <v>32.188000000000002</v>
      </c>
      <c r="AF15" s="739">
        <f t="shared" si="7"/>
        <v>35.31</v>
      </c>
      <c r="AG15" s="737">
        <v>35.31</v>
      </c>
      <c r="AH15" s="737">
        <v>30.727</v>
      </c>
      <c r="AI15" s="737">
        <v>32.039000000000001</v>
      </c>
      <c r="AJ15" s="737">
        <v>29.713999999999999</v>
      </c>
      <c r="AK15" s="739">
        <f t="shared" si="5"/>
        <v>36.445999999999998</v>
      </c>
      <c r="AL15" s="737">
        <v>36.445999999999998</v>
      </c>
      <c r="AM15" s="737">
        <v>33.741</v>
      </c>
      <c r="AN15" s="737">
        <v>33.372999999999998</v>
      </c>
      <c r="AO15" s="737">
        <v>30.952999999999999</v>
      </c>
      <c r="AP15" s="739">
        <f t="shared" si="8"/>
        <v>48.399000000000001</v>
      </c>
      <c r="AQ15" s="737">
        <v>48.399000000000001</v>
      </c>
      <c r="AR15" s="737">
        <v>48.387</v>
      </c>
      <c r="AS15" s="737">
        <v>52.640999999999998</v>
      </c>
      <c r="AT15" s="737">
        <v>55.558</v>
      </c>
      <c r="AU15" s="739">
        <f t="shared" si="9"/>
        <v>63.09</v>
      </c>
      <c r="AV15" s="747">
        <v>63.09</v>
      </c>
    </row>
    <row r="16" spans="2:48" x14ac:dyDescent="0.2">
      <c r="B16" s="728" t="s">
        <v>379</v>
      </c>
      <c r="C16" s="748"/>
      <c r="D16" s="742">
        <v>15.076000000000001</v>
      </c>
      <c r="E16" s="742">
        <v>15.076000000000001</v>
      </c>
      <c r="F16" s="742">
        <v>15.076000000000001</v>
      </c>
      <c r="G16" s="743">
        <f t="shared" si="10"/>
        <v>0</v>
      </c>
      <c r="H16" s="744"/>
      <c r="I16" s="744"/>
      <c r="J16" s="744"/>
      <c r="K16" s="744"/>
      <c r="L16" s="744">
        <f t="shared" si="11"/>
        <v>0</v>
      </c>
      <c r="M16" s="744"/>
      <c r="N16" s="744"/>
      <c r="O16" s="744"/>
      <c r="P16" s="744"/>
      <c r="Q16" s="743">
        <f t="shared" si="12"/>
        <v>0</v>
      </c>
      <c r="R16" s="744"/>
      <c r="S16" s="744"/>
      <c r="T16" s="744"/>
      <c r="U16" s="744"/>
      <c r="V16" s="744"/>
      <c r="W16" s="744"/>
      <c r="X16" s="744"/>
      <c r="Y16" s="744"/>
      <c r="Z16" s="744"/>
      <c r="AA16" s="744"/>
      <c r="AB16" s="744"/>
      <c r="AC16" s="744"/>
      <c r="AD16" s="744"/>
      <c r="AE16" s="744"/>
      <c r="AF16" s="744"/>
      <c r="AG16" s="744"/>
      <c r="AH16" s="744"/>
      <c r="AI16" s="744"/>
      <c r="AJ16" s="744"/>
      <c r="AK16" s="739">
        <f t="shared" si="5"/>
        <v>0</v>
      </c>
      <c r="AL16" s="744"/>
      <c r="AM16" s="744"/>
      <c r="AN16" s="744"/>
      <c r="AO16" s="744"/>
      <c r="AP16" s="739">
        <f t="shared" si="8"/>
        <v>0</v>
      </c>
      <c r="AQ16" s="744"/>
      <c r="AR16" s="744"/>
      <c r="AS16" s="744"/>
      <c r="AT16" s="744"/>
      <c r="AU16" s="744">
        <f t="shared" si="9"/>
        <v>0</v>
      </c>
      <c r="AV16" s="745"/>
    </row>
    <row r="17" spans="2:48" x14ac:dyDescent="0.2">
      <c r="B17" s="754" t="s">
        <v>380</v>
      </c>
      <c r="C17" s="755">
        <f t="shared" ref="C17:AV17" si="15">SUM(C9,C12:C16)</f>
        <v>224.386</v>
      </c>
      <c r="D17" s="756">
        <f t="shared" si="15"/>
        <v>188.77600000000001</v>
      </c>
      <c r="E17" s="756">
        <f t="shared" si="15"/>
        <v>207.85299999999998</v>
      </c>
      <c r="F17" s="756">
        <f t="shared" si="15"/>
        <v>187.40599999999998</v>
      </c>
      <c r="G17" s="756">
        <f t="shared" si="15"/>
        <v>225.39599999999999</v>
      </c>
      <c r="H17" s="756">
        <f t="shared" si="15"/>
        <v>225.39599999999999</v>
      </c>
      <c r="I17" s="756">
        <f t="shared" si="15"/>
        <v>189.79</v>
      </c>
      <c r="J17" s="756">
        <f t="shared" si="15"/>
        <v>197.97199999999998</v>
      </c>
      <c r="K17" s="756">
        <f t="shared" si="15"/>
        <v>182.89699999999999</v>
      </c>
      <c r="L17" s="757">
        <f t="shared" si="15"/>
        <v>221.42699999999996</v>
      </c>
      <c r="M17" s="757">
        <f t="shared" si="15"/>
        <v>221.42699999999996</v>
      </c>
      <c r="N17" s="756">
        <f t="shared" si="15"/>
        <v>201.58</v>
      </c>
      <c r="O17" s="756">
        <f t="shared" si="15"/>
        <v>210.49200000000002</v>
      </c>
      <c r="P17" s="756">
        <f t="shared" si="15"/>
        <v>164.64100000000002</v>
      </c>
      <c r="Q17" s="756">
        <f t="shared" si="15"/>
        <v>208.63299999999998</v>
      </c>
      <c r="R17" s="757">
        <f t="shared" si="15"/>
        <v>208.63299999999998</v>
      </c>
      <c r="S17" s="756">
        <f t="shared" si="15"/>
        <v>163.86799999999999</v>
      </c>
      <c r="T17" s="756">
        <f t="shared" si="15"/>
        <v>169.06</v>
      </c>
      <c r="U17" s="756">
        <f t="shared" si="15"/>
        <v>154.821</v>
      </c>
      <c r="V17" s="756">
        <f t="shared" si="15"/>
        <v>195.23000000000002</v>
      </c>
      <c r="W17" s="757">
        <f t="shared" si="15"/>
        <v>195.23000000000002</v>
      </c>
      <c r="X17" s="757">
        <f t="shared" si="15"/>
        <v>157.51600000000002</v>
      </c>
      <c r="Y17" s="757">
        <f t="shared" si="15"/>
        <v>158.19200000000001</v>
      </c>
      <c r="Z17" s="757">
        <f t="shared" si="15"/>
        <v>449.14100000000002</v>
      </c>
      <c r="AA17" s="757">
        <f t="shared" si="15"/>
        <v>244.51500000000001</v>
      </c>
      <c r="AB17" s="757">
        <f t="shared" si="15"/>
        <v>244.51500000000001</v>
      </c>
      <c r="AC17" s="757">
        <f t="shared" si="15"/>
        <v>270.65800000000002</v>
      </c>
      <c r="AD17" s="757">
        <f t="shared" si="15"/>
        <v>454.60500000000008</v>
      </c>
      <c r="AE17" s="757">
        <f t="shared" si="15"/>
        <v>411.01899999999995</v>
      </c>
      <c r="AF17" s="757">
        <f t="shared" si="15"/>
        <v>341.35900000000004</v>
      </c>
      <c r="AG17" s="757">
        <f t="shared" si="15"/>
        <v>341.35900000000004</v>
      </c>
      <c r="AH17" s="757">
        <f t="shared" si="15"/>
        <v>343.81499999999994</v>
      </c>
      <c r="AI17" s="757">
        <f t="shared" si="15"/>
        <v>328.26400000000001</v>
      </c>
      <c r="AJ17" s="757">
        <f t="shared" si="15"/>
        <v>310.18699999999995</v>
      </c>
      <c r="AK17" s="757">
        <f t="shared" si="15"/>
        <v>405.58900000000006</v>
      </c>
      <c r="AL17" s="757">
        <f t="shared" si="15"/>
        <v>405.58900000000006</v>
      </c>
      <c r="AM17" s="757">
        <f t="shared" si="15"/>
        <v>367.32099999999997</v>
      </c>
      <c r="AN17" s="757">
        <f t="shared" si="15"/>
        <v>391.67899999999997</v>
      </c>
      <c r="AO17" s="757">
        <f t="shared" si="15"/>
        <v>317.738</v>
      </c>
      <c r="AP17" s="757">
        <f t="shared" si="15"/>
        <v>345.76800000000003</v>
      </c>
      <c r="AQ17" s="757">
        <f t="shared" si="15"/>
        <v>345.76800000000003</v>
      </c>
      <c r="AR17" s="757">
        <f t="shared" si="15"/>
        <v>313.63599999999997</v>
      </c>
      <c r="AS17" s="757">
        <f t="shared" si="15"/>
        <v>299.17099999999999</v>
      </c>
      <c r="AT17" s="757">
        <f t="shared" si="15"/>
        <v>272.37600000000003</v>
      </c>
      <c r="AU17" s="757">
        <f t="shared" si="15"/>
        <v>300.798</v>
      </c>
      <c r="AV17" s="758">
        <f t="shared" si="15"/>
        <v>300.798</v>
      </c>
    </row>
    <row r="18" spans="2:48" x14ac:dyDescent="0.2">
      <c r="B18" s="729"/>
      <c r="C18" s="749"/>
      <c r="D18" s="750"/>
      <c r="E18" s="750"/>
      <c r="F18" s="750"/>
      <c r="G18" s="750"/>
      <c r="H18" s="750"/>
      <c r="I18" s="750"/>
      <c r="J18" s="750"/>
      <c r="K18" s="750"/>
      <c r="L18" s="750"/>
      <c r="M18" s="750"/>
      <c r="N18" s="750"/>
      <c r="O18" s="750"/>
      <c r="P18" s="750"/>
      <c r="Q18" s="750"/>
      <c r="R18" s="750"/>
      <c r="S18" s="750"/>
      <c r="T18" s="750"/>
      <c r="U18" s="750"/>
      <c r="V18" s="750"/>
      <c r="W18" s="750"/>
      <c r="X18" s="750"/>
      <c r="Y18" s="750"/>
      <c r="Z18" s="750"/>
      <c r="AA18" s="750"/>
      <c r="AB18" s="750"/>
      <c r="AC18" s="750"/>
      <c r="AD18" s="750"/>
      <c r="AE18" s="750"/>
      <c r="AF18" s="750"/>
      <c r="AG18" s="750"/>
      <c r="AH18" s="750"/>
      <c r="AI18" s="750"/>
      <c r="AJ18" s="750"/>
      <c r="AK18" s="750"/>
      <c r="AL18" s="750"/>
      <c r="AM18" s="750"/>
      <c r="AN18" s="750"/>
      <c r="AO18" s="750"/>
      <c r="AP18" s="750"/>
      <c r="AQ18" s="750"/>
      <c r="AR18" s="750"/>
      <c r="AS18" s="750"/>
      <c r="AT18" s="750"/>
      <c r="AU18" s="750"/>
      <c r="AV18" s="751"/>
    </row>
    <row r="19" spans="2:48" x14ac:dyDescent="0.2">
      <c r="B19" s="730" t="s">
        <v>381</v>
      </c>
      <c r="C19" s="749"/>
      <c r="D19" s="750"/>
      <c r="E19" s="750"/>
      <c r="F19" s="750"/>
      <c r="G19" s="750"/>
      <c r="H19" s="750"/>
      <c r="I19" s="750"/>
      <c r="J19" s="750"/>
      <c r="K19" s="750"/>
      <c r="L19" s="750"/>
      <c r="M19" s="750"/>
      <c r="N19" s="750"/>
      <c r="O19" s="750"/>
      <c r="P19" s="750"/>
      <c r="Q19" s="750"/>
      <c r="R19" s="750"/>
      <c r="S19" s="750"/>
      <c r="T19" s="750"/>
      <c r="U19" s="750"/>
      <c r="V19" s="750"/>
      <c r="W19" s="750"/>
      <c r="X19" s="750"/>
      <c r="Y19" s="750"/>
      <c r="Z19" s="750"/>
      <c r="AA19" s="750"/>
      <c r="AB19" s="750"/>
      <c r="AC19" s="750"/>
      <c r="AD19" s="750"/>
      <c r="AE19" s="750"/>
      <c r="AF19" s="750"/>
      <c r="AG19" s="750"/>
      <c r="AH19" s="750"/>
      <c r="AI19" s="750"/>
      <c r="AJ19" s="750"/>
      <c r="AK19" s="750"/>
      <c r="AL19" s="750"/>
      <c r="AM19" s="750"/>
      <c r="AN19" s="750"/>
      <c r="AO19" s="750"/>
      <c r="AP19" s="750"/>
      <c r="AQ19" s="750"/>
      <c r="AR19" s="750"/>
      <c r="AS19" s="750"/>
      <c r="AT19" s="750"/>
      <c r="AU19" s="750"/>
      <c r="AV19" s="751"/>
    </row>
    <row r="20" spans="2:48" x14ac:dyDescent="0.2">
      <c r="B20" s="605" t="s">
        <v>382</v>
      </c>
      <c r="C20" s="736">
        <v>828.30499999999995</v>
      </c>
      <c r="D20" s="737">
        <v>828.96600000000001</v>
      </c>
      <c r="E20" s="737">
        <v>851.47699999999998</v>
      </c>
      <c r="F20" s="737">
        <v>874.34</v>
      </c>
      <c r="G20" s="738">
        <f t="shared" ref="G20:G21" si="16">H20</f>
        <v>892.19100000000003</v>
      </c>
      <c r="H20" s="737">
        <v>892.19100000000003</v>
      </c>
      <c r="I20" s="737">
        <v>885.96400000000006</v>
      </c>
      <c r="J20" s="737">
        <v>888.84900000000005</v>
      </c>
      <c r="K20" s="737">
        <v>902.58100000000002</v>
      </c>
      <c r="L20" s="739">
        <f t="shared" ref="L20:L21" si="17">M20</f>
        <v>910.13400000000001</v>
      </c>
      <c r="M20" s="737">
        <v>910.13400000000001</v>
      </c>
      <c r="N20" s="737">
        <v>910.58100000000002</v>
      </c>
      <c r="O20" s="737">
        <v>913.375</v>
      </c>
      <c r="P20" s="737">
        <v>933.48400000000004</v>
      </c>
      <c r="Q20" s="738">
        <f t="shared" ref="Q20:Q21" si="18">R20</f>
        <v>935.04499999999996</v>
      </c>
      <c r="R20" s="737">
        <v>935.04499999999996</v>
      </c>
      <c r="S20" s="737">
        <v>935.279</v>
      </c>
      <c r="T20" s="737">
        <v>936.46900000000005</v>
      </c>
      <c r="U20" s="737">
        <v>940.077</v>
      </c>
      <c r="V20" s="738">
        <f t="shared" ref="V20:V21" si="19">W20</f>
        <v>913.27499999999998</v>
      </c>
      <c r="W20" s="737">
        <v>913.27499999999998</v>
      </c>
      <c r="X20" s="737">
        <v>763.88400000000001</v>
      </c>
      <c r="Y20" s="737">
        <v>758.49599999999998</v>
      </c>
      <c r="Z20" s="737">
        <v>759.24300000000005</v>
      </c>
      <c r="AA20" s="739">
        <f t="shared" ref="AA20:AA25" si="20">AB20</f>
        <v>831.59900000000005</v>
      </c>
      <c r="AB20" s="737">
        <v>831.59900000000005</v>
      </c>
      <c r="AC20" s="737">
        <v>818.28300000000002</v>
      </c>
      <c r="AD20" s="737">
        <v>805.88900000000001</v>
      </c>
      <c r="AE20" s="737">
        <v>789.60400000000004</v>
      </c>
      <c r="AF20" s="739">
        <f t="shared" ref="AF20:AF25" si="21">AG20</f>
        <v>774.13699999999994</v>
      </c>
      <c r="AG20" s="737">
        <v>774.13699999999994</v>
      </c>
      <c r="AH20" s="737">
        <v>760.72199999999998</v>
      </c>
      <c r="AI20" s="737">
        <v>761.58900000000006</v>
      </c>
      <c r="AJ20" s="737">
        <v>755.64</v>
      </c>
      <c r="AK20" s="739">
        <f t="shared" ref="AK20:AK25" si="22">AL20</f>
        <v>741.74599999999998</v>
      </c>
      <c r="AL20" s="737">
        <v>741.74599999999998</v>
      </c>
      <c r="AM20" s="737">
        <v>744.75099999999998</v>
      </c>
      <c r="AN20" s="737">
        <v>745.25099999999998</v>
      </c>
      <c r="AO20" s="737">
        <v>755.524</v>
      </c>
      <c r="AP20" s="739">
        <f t="shared" ref="AP20:AP25" si="23">AQ20</f>
        <v>746.05100000000004</v>
      </c>
      <c r="AQ20" s="737">
        <v>746.05100000000004</v>
      </c>
      <c r="AR20" s="737">
        <v>754.89499999999998</v>
      </c>
      <c r="AS20" s="737">
        <v>770.31500000000005</v>
      </c>
      <c r="AT20" s="737">
        <v>777.66899999999998</v>
      </c>
      <c r="AU20" s="739">
        <f t="shared" ref="AU20:AU25" si="24">AV20</f>
        <v>791.09299999999996</v>
      </c>
      <c r="AV20" s="747">
        <v>791.09299999999996</v>
      </c>
    </row>
    <row r="21" spans="2:48" x14ac:dyDescent="0.2">
      <c r="B21" s="605" t="s">
        <v>383</v>
      </c>
      <c r="C21" s="736">
        <v>20.780999999999999</v>
      </c>
      <c r="D21" s="737">
        <v>21.215</v>
      </c>
      <c r="E21" s="737">
        <v>21.504000000000001</v>
      </c>
      <c r="F21" s="737">
        <v>21.606999999999999</v>
      </c>
      <c r="G21" s="738">
        <f t="shared" si="16"/>
        <v>21.972000000000001</v>
      </c>
      <c r="H21" s="737">
        <v>21.972000000000001</v>
      </c>
      <c r="I21" s="737">
        <v>22.471</v>
      </c>
      <c r="J21" s="737">
        <v>22.597000000000001</v>
      </c>
      <c r="K21" s="737">
        <v>22.844000000000001</v>
      </c>
      <c r="L21" s="739">
        <f t="shared" si="17"/>
        <v>23.053999999999998</v>
      </c>
      <c r="M21" s="737">
        <v>23.053999999999998</v>
      </c>
      <c r="N21" s="737">
        <v>23.213999999999999</v>
      </c>
      <c r="O21" s="737">
        <v>23.391999999999999</v>
      </c>
      <c r="P21" s="737">
        <v>23.545999999999999</v>
      </c>
      <c r="Q21" s="738">
        <f t="shared" si="18"/>
        <v>24.065000000000001</v>
      </c>
      <c r="R21" s="737">
        <v>24.065000000000001</v>
      </c>
      <c r="S21" s="737">
        <v>24.233000000000001</v>
      </c>
      <c r="T21" s="737">
        <v>24.524000000000001</v>
      </c>
      <c r="U21" s="737">
        <v>26.327000000000002</v>
      </c>
      <c r="V21" s="738">
        <f t="shared" si="19"/>
        <v>26.209</v>
      </c>
      <c r="W21" s="737">
        <v>26.209</v>
      </c>
      <c r="X21" s="737">
        <v>20.094000000000001</v>
      </c>
      <c r="Y21" s="737">
        <v>20.157</v>
      </c>
      <c r="Z21" s="737">
        <v>20.271000000000001</v>
      </c>
      <c r="AA21" s="739">
        <f t="shared" si="20"/>
        <v>437.20699999999999</v>
      </c>
      <c r="AB21" s="737">
        <v>437.20699999999999</v>
      </c>
      <c r="AC21" s="737">
        <v>254.40100000000001</v>
      </c>
      <c r="AD21" s="737">
        <v>254.33</v>
      </c>
      <c r="AE21" s="737">
        <v>253.577</v>
      </c>
      <c r="AF21" s="739">
        <f t="shared" si="21"/>
        <v>253.16</v>
      </c>
      <c r="AG21" s="737">
        <v>253.16</v>
      </c>
      <c r="AH21" s="737">
        <v>253.15199999999999</v>
      </c>
      <c r="AI21" s="737">
        <v>253.143</v>
      </c>
      <c r="AJ21" s="737">
        <v>253.154</v>
      </c>
      <c r="AK21" s="739">
        <f t="shared" si="22"/>
        <v>251.70099999999999</v>
      </c>
      <c r="AL21" s="737">
        <v>251.70099999999999</v>
      </c>
      <c r="AM21" s="737">
        <v>251.655</v>
      </c>
      <c r="AN21" s="737">
        <v>251.61799999999999</v>
      </c>
      <c r="AO21" s="737">
        <v>251.63900000000001</v>
      </c>
      <c r="AP21" s="739">
        <f t="shared" si="23"/>
        <v>251.524</v>
      </c>
      <c r="AQ21" s="737">
        <v>251.524</v>
      </c>
      <c r="AR21" s="737">
        <v>251.52600000000001</v>
      </c>
      <c r="AS21" s="737">
        <v>251.559</v>
      </c>
      <c r="AT21" s="737">
        <v>251.529</v>
      </c>
      <c r="AU21" s="739">
        <f t="shared" si="24"/>
        <v>251.727</v>
      </c>
      <c r="AV21" s="747">
        <v>251.727</v>
      </c>
    </row>
    <row r="22" spans="2:48" x14ac:dyDescent="0.2">
      <c r="B22" s="605" t="s">
        <v>384</v>
      </c>
      <c r="C22" s="752"/>
      <c r="D22" s="739"/>
      <c r="E22" s="739"/>
      <c r="F22" s="739"/>
      <c r="G22" s="739"/>
      <c r="H22" s="739"/>
      <c r="I22" s="739"/>
      <c r="J22" s="739"/>
      <c r="K22" s="739"/>
      <c r="L22" s="739"/>
      <c r="M22" s="739"/>
      <c r="N22" s="739"/>
      <c r="O22" s="739"/>
      <c r="P22" s="739"/>
      <c r="Q22" s="739"/>
      <c r="R22" s="739"/>
      <c r="S22" s="739"/>
      <c r="T22" s="739"/>
      <c r="U22" s="739"/>
      <c r="V22" s="739"/>
      <c r="W22" s="739"/>
      <c r="X22" s="737">
        <v>968.74099999999999</v>
      </c>
      <c r="Y22" s="737">
        <v>963.72400000000005</v>
      </c>
      <c r="Z22" s="737">
        <v>984.83799999999997</v>
      </c>
      <c r="AA22" s="739">
        <f t="shared" si="20"/>
        <v>1240.9760000000001</v>
      </c>
      <c r="AB22" s="737">
        <v>1240.9760000000001</v>
      </c>
      <c r="AC22" s="737">
        <v>1257.4280000000001</v>
      </c>
      <c r="AD22" s="737">
        <v>1268.1369999999999</v>
      </c>
      <c r="AE22" s="737">
        <v>1267.27</v>
      </c>
      <c r="AF22" s="739">
        <f t="shared" si="21"/>
        <v>1251.027</v>
      </c>
      <c r="AG22" s="737">
        <v>1251.027</v>
      </c>
      <c r="AH22" s="737">
        <v>1245.8920000000001</v>
      </c>
      <c r="AI22" s="737">
        <v>1241.1969999999999</v>
      </c>
      <c r="AJ22" s="737">
        <v>1258.8510000000001</v>
      </c>
      <c r="AK22" s="739">
        <f t="shared" si="22"/>
        <v>1241.2370000000001</v>
      </c>
      <c r="AL22" s="737">
        <v>1241.2370000000001</v>
      </c>
      <c r="AM22" s="737">
        <v>1240.5519999999999</v>
      </c>
      <c r="AN22" s="737">
        <v>1241.6990000000001</v>
      </c>
      <c r="AO22" s="737">
        <v>1267.241</v>
      </c>
      <c r="AP22" s="739">
        <f t="shared" si="23"/>
        <v>1268.9860000000001</v>
      </c>
      <c r="AQ22" s="737">
        <v>1268.9860000000001</v>
      </c>
      <c r="AR22" s="737">
        <v>1259.0260000000001</v>
      </c>
      <c r="AS22" s="737">
        <v>1280.758</v>
      </c>
      <c r="AT22" s="737">
        <v>1307.345</v>
      </c>
      <c r="AU22" s="739">
        <f t="shared" si="24"/>
        <v>1302.1500000000001</v>
      </c>
      <c r="AV22" s="747">
        <v>1302.1500000000001</v>
      </c>
    </row>
    <row r="23" spans="2:48" x14ac:dyDescent="0.2">
      <c r="B23" s="605" t="s">
        <v>385</v>
      </c>
      <c r="C23" s="736">
        <v>46.212000000000003</v>
      </c>
      <c r="D23" s="737">
        <v>47.067</v>
      </c>
      <c r="E23" s="737">
        <v>46.109000000000002</v>
      </c>
      <c r="F23" s="737">
        <v>46.844000000000001</v>
      </c>
      <c r="G23" s="738">
        <f>H23</f>
        <v>46.881</v>
      </c>
      <c r="H23" s="737">
        <v>46.881</v>
      </c>
      <c r="I23" s="737">
        <v>45.521000000000001</v>
      </c>
      <c r="J23" s="737">
        <v>44.386000000000003</v>
      </c>
      <c r="K23" s="737">
        <v>43.250999999999998</v>
      </c>
      <c r="L23" s="739">
        <f>M23</f>
        <v>42.161999999999999</v>
      </c>
      <c r="M23" s="737">
        <v>42.161999999999999</v>
      </c>
      <c r="N23" s="737">
        <v>41.362000000000002</v>
      </c>
      <c r="O23" s="737">
        <v>40.735999999999997</v>
      </c>
      <c r="P23" s="737">
        <v>39.652000000000001</v>
      </c>
      <c r="Q23" s="738">
        <f>R23</f>
        <v>39.399000000000001</v>
      </c>
      <c r="R23" s="737">
        <v>39.399000000000001</v>
      </c>
      <c r="S23" s="737">
        <v>37.875</v>
      </c>
      <c r="T23" s="737">
        <v>36.759</v>
      </c>
      <c r="U23" s="737">
        <v>35.814</v>
      </c>
      <c r="V23" s="738">
        <f t="shared" ref="V23:V25" si="25">W23</f>
        <v>34.960999999999999</v>
      </c>
      <c r="W23" s="737">
        <v>34.960999999999999</v>
      </c>
      <c r="X23" s="739"/>
      <c r="Y23" s="739"/>
      <c r="Z23" s="739"/>
      <c r="AA23" s="739">
        <f t="shared" si="20"/>
        <v>0</v>
      </c>
      <c r="AB23" s="739"/>
      <c r="AC23" s="739"/>
      <c r="AD23" s="739"/>
      <c r="AE23" s="739"/>
      <c r="AF23" s="739">
        <f t="shared" si="21"/>
        <v>0</v>
      </c>
      <c r="AG23" s="739"/>
      <c r="AH23" s="739"/>
      <c r="AI23" s="739"/>
      <c r="AJ23" s="739"/>
      <c r="AK23" s="739">
        <f t="shared" si="22"/>
        <v>0</v>
      </c>
      <c r="AL23" s="739"/>
      <c r="AM23" s="739"/>
      <c r="AN23" s="739"/>
      <c r="AO23" s="739"/>
      <c r="AP23" s="739">
        <f t="shared" si="23"/>
        <v>0</v>
      </c>
      <c r="AQ23" s="739"/>
      <c r="AR23" s="739"/>
      <c r="AS23" s="739"/>
      <c r="AT23" s="739"/>
      <c r="AU23" s="739">
        <f t="shared" si="24"/>
        <v>0</v>
      </c>
      <c r="AV23" s="740"/>
    </row>
    <row r="24" spans="2:48" x14ac:dyDescent="0.2">
      <c r="B24" s="605" t="s">
        <v>386</v>
      </c>
      <c r="C24" s="752"/>
      <c r="D24" s="739"/>
      <c r="E24" s="739"/>
      <c r="F24" s="739"/>
      <c r="G24" s="739"/>
      <c r="H24" s="739"/>
      <c r="I24" s="739"/>
      <c r="J24" s="739"/>
      <c r="K24" s="739"/>
      <c r="L24" s="739"/>
      <c r="M24" s="739"/>
      <c r="N24" s="739"/>
      <c r="O24" s="739"/>
      <c r="P24" s="739"/>
      <c r="Q24" s="739"/>
      <c r="R24" s="739"/>
      <c r="S24" s="739"/>
      <c r="T24" s="739"/>
      <c r="U24" s="739"/>
      <c r="V24" s="738">
        <f t="shared" si="25"/>
        <v>79.766999999999996</v>
      </c>
      <c r="W24" s="737">
        <v>79.766999999999996</v>
      </c>
      <c r="X24" s="737">
        <v>81.316999999999993</v>
      </c>
      <c r="Y24" s="737">
        <v>79.674000000000007</v>
      </c>
      <c r="Z24" s="737">
        <v>69.328000000000003</v>
      </c>
      <c r="AA24" s="739">
        <f t="shared" si="20"/>
        <v>0</v>
      </c>
      <c r="AB24" s="739"/>
      <c r="AC24" s="739"/>
      <c r="AD24" s="739"/>
      <c r="AE24" s="739"/>
      <c r="AF24" s="739">
        <f t="shared" si="21"/>
        <v>0</v>
      </c>
      <c r="AG24" s="739"/>
      <c r="AH24" s="739"/>
      <c r="AI24" s="739"/>
      <c r="AJ24" s="739"/>
      <c r="AK24" s="739">
        <f t="shared" si="22"/>
        <v>0</v>
      </c>
      <c r="AL24" s="739"/>
      <c r="AM24" s="739"/>
      <c r="AN24" s="739"/>
      <c r="AO24" s="739"/>
      <c r="AP24" s="739">
        <f t="shared" si="23"/>
        <v>0</v>
      </c>
      <c r="AQ24" s="739"/>
      <c r="AR24" s="739"/>
      <c r="AS24" s="739"/>
      <c r="AT24" s="739"/>
      <c r="AU24" s="739">
        <f t="shared" si="24"/>
        <v>0</v>
      </c>
      <c r="AV24" s="740"/>
    </row>
    <row r="25" spans="2:48" x14ac:dyDescent="0.2">
      <c r="B25" s="728" t="s">
        <v>387</v>
      </c>
      <c r="C25" s="741">
        <v>41.692</v>
      </c>
      <c r="D25" s="742">
        <v>42.701999999999998</v>
      </c>
      <c r="E25" s="742">
        <v>47.847000000000001</v>
      </c>
      <c r="F25" s="742">
        <v>45.658999999999999</v>
      </c>
      <c r="G25" s="743">
        <f>H25</f>
        <v>46.905999999999999</v>
      </c>
      <c r="H25" s="742">
        <v>46.905999999999999</v>
      </c>
      <c r="I25" s="742">
        <v>48.905000000000001</v>
      </c>
      <c r="J25" s="742">
        <v>50.514000000000003</v>
      </c>
      <c r="K25" s="742">
        <v>52.805999999999997</v>
      </c>
      <c r="L25" s="744">
        <f>M25</f>
        <v>96.542000000000002</v>
      </c>
      <c r="M25" s="742">
        <v>96.542000000000002</v>
      </c>
      <c r="N25" s="742">
        <v>100.09099999999999</v>
      </c>
      <c r="O25" s="742">
        <v>111.32</v>
      </c>
      <c r="P25" s="742">
        <v>114.005</v>
      </c>
      <c r="Q25" s="743">
        <f>R25</f>
        <v>125.91800000000001</v>
      </c>
      <c r="R25" s="742">
        <v>125.91800000000001</v>
      </c>
      <c r="S25" s="742">
        <v>126.08799999999999</v>
      </c>
      <c r="T25" s="742">
        <v>139.827</v>
      </c>
      <c r="U25" s="742">
        <v>151.024</v>
      </c>
      <c r="V25" s="743">
        <f t="shared" si="25"/>
        <v>64.691000000000003</v>
      </c>
      <c r="W25" s="742">
        <v>64.691000000000003</v>
      </c>
      <c r="X25" s="742">
        <v>84.528000000000006</v>
      </c>
      <c r="Y25" s="742">
        <v>93.546999999999997</v>
      </c>
      <c r="Z25" s="742">
        <v>98.948999999999998</v>
      </c>
      <c r="AA25" s="744">
        <f t="shared" si="20"/>
        <v>86.296000000000006</v>
      </c>
      <c r="AB25" s="742">
        <v>86.296000000000006</v>
      </c>
      <c r="AC25" s="742">
        <v>75.012</v>
      </c>
      <c r="AD25" s="742">
        <v>84.32</v>
      </c>
      <c r="AE25" s="742">
        <v>106.593</v>
      </c>
      <c r="AF25" s="744">
        <f t="shared" si="21"/>
        <v>127.371</v>
      </c>
      <c r="AG25" s="742">
        <v>127.371</v>
      </c>
      <c r="AH25" s="742">
        <v>131.858</v>
      </c>
      <c r="AI25" s="742">
        <v>138.09700000000001</v>
      </c>
      <c r="AJ25" s="742">
        <v>139.886</v>
      </c>
      <c r="AK25" s="739">
        <f t="shared" si="22"/>
        <v>157.852</v>
      </c>
      <c r="AL25" s="737">
        <v>157.852</v>
      </c>
      <c r="AM25" s="742">
        <v>149.46199999999999</v>
      </c>
      <c r="AN25" s="742">
        <v>142.18600000000001</v>
      </c>
      <c r="AO25" s="742">
        <v>141.93199999999999</v>
      </c>
      <c r="AP25" s="739">
        <f t="shared" si="23"/>
        <v>162.89099999999999</v>
      </c>
      <c r="AQ25" s="742">
        <v>162.89099999999999</v>
      </c>
      <c r="AR25" s="742">
        <v>163.405</v>
      </c>
      <c r="AS25" s="742">
        <v>167.905</v>
      </c>
      <c r="AT25" s="742">
        <v>167.971</v>
      </c>
      <c r="AU25" s="744">
        <f t="shared" si="24"/>
        <v>194.61500000000001</v>
      </c>
      <c r="AV25" s="753">
        <v>194.61500000000001</v>
      </c>
    </row>
    <row r="26" spans="2:48" x14ac:dyDescent="0.2">
      <c r="B26" s="759" t="s">
        <v>388</v>
      </c>
      <c r="C26" s="760">
        <f t="shared" ref="C26:AV26" si="26">SUM(C20:C25)</f>
        <v>936.9899999999999</v>
      </c>
      <c r="D26" s="761">
        <f t="shared" si="26"/>
        <v>939.95</v>
      </c>
      <c r="E26" s="761">
        <f t="shared" si="26"/>
        <v>966.93700000000001</v>
      </c>
      <c r="F26" s="761">
        <f t="shared" si="26"/>
        <v>988.45</v>
      </c>
      <c r="G26" s="761">
        <f t="shared" si="26"/>
        <v>1007.9499999999999</v>
      </c>
      <c r="H26" s="761">
        <f t="shared" si="26"/>
        <v>1007.9499999999999</v>
      </c>
      <c r="I26" s="761">
        <f t="shared" si="26"/>
        <v>1002.861</v>
      </c>
      <c r="J26" s="761">
        <f t="shared" si="26"/>
        <v>1006.346</v>
      </c>
      <c r="K26" s="761">
        <f t="shared" si="26"/>
        <v>1021.4820000000001</v>
      </c>
      <c r="L26" s="762">
        <f t="shared" si="26"/>
        <v>1071.8920000000001</v>
      </c>
      <c r="M26" s="762">
        <f t="shared" si="26"/>
        <v>1071.8920000000001</v>
      </c>
      <c r="N26" s="761">
        <f t="shared" si="26"/>
        <v>1075.248</v>
      </c>
      <c r="O26" s="761">
        <f t="shared" si="26"/>
        <v>1088.8230000000001</v>
      </c>
      <c r="P26" s="761">
        <f t="shared" si="26"/>
        <v>1110.6870000000001</v>
      </c>
      <c r="Q26" s="761">
        <f t="shared" si="26"/>
        <v>1124.4270000000001</v>
      </c>
      <c r="R26" s="762">
        <f t="shared" si="26"/>
        <v>1124.4270000000001</v>
      </c>
      <c r="S26" s="761">
        <f t="shared" si="26"/>
        <v>1123.4749999999999</v>
      </c>
      <c r="T26" s="761">
        <f t="shared" si="26"/>
        <v>1137.5790000000002</v>
      </c>
      <c r="U26" s="761">
        <f t="shared" si="26"/>
        <v>1153.242</v>
      </c>
      <c r="V26" s="761">
        <f t="shared" si="26"/>
        <v>1118.903</v>
      </c>
      <c r="W26" s="762">
        <f t="shared" si="26"/>
        <v>1118.903</v>
      </c>
      <c r="X26" s="762">
        <f t="shared" si="26"/>
        <v>1918.5640000000001</v>
      </c>
      <c r="Y26" s="762">
        <f t="shared" si="26"/>
        <v>1915.598</v>
      </c>
      <c r="Z26" s="762">
        <f t="shared" si="26"/>
        <v>1932.6289999999999</v>
      </c>
      <c r="AA26" s="762">
        <f t="shared" si="26"/>
        <v>2596.078</v>
      </c>
      <c r="AB26" s="762">
        <f t="shared" si="26"/>
        <v>2596.078</v>
      </c>
      <c r="AC26" s="762">
        <f t="shared" si="26"/>
        <v>2405.1240000000003</v>
      </c>
      <c r="AD26" s="762">
        <f t="shared" si="26"/>
        <v>2412.6759999999999</v>
      </c>
      <c r="AE26" s="762">
        <f t="shared" si="26"/>
        <v>2417.0439999999999</v>
      </c>
      <c r="AF26" s="762">
        <f t="shared" si="26"/>
        <v>2405.6950000000002</v>
      </c>
      <c r="AG26" s="762">
        <f t="shared" si="26"/>
        <v>2405.6950000000002</v>
      </c>
      <c r="AH26" s="762">
        <f t="shared" si="26"/>
        <v>2391.6240000000003</v>
      </c>
      <c r="AI26" s="762">
        <f t="shared" si="26"/>
        <v>2394.0260000000003</v>
      </c>
      <c r="AJ26" s="762">
        <f t="shared" si="26"/>
        <v>2407.5309999999999</v>
      </c>
      <c r="AK26" s="762">
        <f t="shared" si="26"/>
        <v>2392.5360000000001</v>
      </c>
      <c r="AL26" s="762">
        <f t="shared" si="26"/>
        <v>2392.5360000000001</v>
      </c>
      <c r="AM26" s="762">
        <f t="shared" si="26"/>
        <v>2386.4199999999996</v>
      </c>
      <c r="AN26" s="762">
        <f t="shared" si="26"/>
        <v>2380.7540000000004</v>
      </c>
      <c r="AO26" s="762">
        <f t="shared" si="26"/>
        <v>2416.3359999999998</v>
      </c>
      <c r="AP26" s="762">
        <f t="shared" si="26"/>
        <v>2429.4520000000002</v>
      </c>
      <c r="AQ26" s="762">
        <f t="shared" si="26"/>
        <v>2429.4520000000002</v>
      </c>
      <c r="AR26" s="762">
        <f t="shared" si="26"/>
        <v>2428.8520000000003</v>
      </c>
      <c r="AS26" s="762">
        <f t="shared" si="26"/>
        <v>2470.5370000000003</v>
      </c>
      <c r="AT26" s="762">
        <f t="shared" si="26"/>
        <v>2504.5139999999997</v>
      </c>
      <c r="AU26" s="762">
        <f t="shared" si="26"/>
        <v>2539.585</v>
      </c>
      <c r="AV26" s="763">
        <f t="shared" si="26"/>
        <v>2539.585</v>
      </c>
    </row>
    <row r="27" spans="2:48" x14ac:dyDescent="0.2">
      <c r="B27" s="764" t="s">
        <v>389</v>
      </c>
      <c r="C27" s="765">
        <f t="shared" ref="C27:AV27" si="27">C17+C26</f>
        <v>1161.376</v>
      </c>
      <c r="D27" s="766">
        <f t="shared" si="27"/>
        <v>1128.7260000000001</v>
      </c>
      <c r="E27" s="766">
        <f t="shared" si="27"/>
        <v>1174.79</v>
      </c>
      <c r="F27" s="766">
        <f t="shared" si="27"/>
        <v>1175.856</v>
      </c>
      <c r="G27" s="766">
        <f t="shared" si="27"/>
        <v>1233.346</v>
      </c>
      <c r="H27" s="766">
        <f t="shared" si="27"/>
        <v>1233.346</v>
      </c>
      <c r="I27" s="766">
        <f t="shared" si="27"/>
        <v>1192.6510000000001</v>
      </c>
      <c r="J27" s="766">
        <f t="shared" si="27"/>
        <v>1204.318</v>
      </c>
      <c r="K27" s="766">
        <f t="shared" si="27"/>
        <v>1204.3790000000001</v>
      </c>
      <c r="L27" s="767">
        <f t="shared" si="27"/>
        <v>1293.319</v>
      </c>
      <c r="M27" s="767">
        <f t="shared" si="27"/>
        <v>1293.319</v>
      </c>
      <c r="N27" s="766">
        <f t="shared" si="27"/>
        <v>1276.828</v>
      </c>
      <c r="O27" s="766">
        <f t="shared" si="27"/>
        <v>1299.3150000000001</v>
      </c>
      <c r="P27" s="766">
        <f t="shared" si="27"/>
        <v>1275.3280000000002</v>
      </c>
      <c r="Q27" s="766">
        <f t="shared" si="27"/>
        <v>1333.0600000000002</v>
      </c>
      <c r="R27" s="767">
        <f t="shared" si="27"/>
        <v>1333.0600000000002</v>
      </c>
      <c r="S27" s="766">
        <f t="shared" si="27"/>
        <v>1287.3429999999998</v>
      </c>
      <c r="T27" s="766">
        <f t="shared" si="27"/>
        <v>1306.6390000000001</v>
      </c>
      <c r="U27" s="766">
        <f t="shared" si="27"/>
        <v>1308.0629999999999</v>
      </c>
      <c r="V27" s="766">
        <f t="shared" si="27"/>
        <v>1314.133</v>
      </c>
      <c r="W27" s="767">
        <f t="shared" si="27"/>
        <v>1314.133</v>
      </c>
      <c r="X27" s="767">
        <f t="shared" si="27"/>
        <v>2076.08</v>
      </c>
      <c r="Y27" s="767">
        <f t="shared" si="27"/>
        <v>2073.79</v>
      </c>
      <c r="Z27" s="767">
        <f t="shared" si="27"/>
        <v>2381.77</v>
      </c>
      <c r="AA27" s="767">
        <f t="shared" si="27"/>
        <v>2840.5929999999998</v>
      </c>
      <c r="AB27" s="767">
        <f t="shared" si="27"/>
        <v>2840.5929999999998</v>
      </c>
      <c r="AC27" s="767">
        <f t="shared" si="27"/>
        <v>2675.7820000000002</v>
      </c>
      <c r="AD27" s="767">
        <f t="shared" si="27"/>
        <v>2867.2809999999999</v>
      </c>
      <c r="AE27" s="767">
        <f t="shared" si="27"/>
        <v>2828.0629999999996</v>
      </c>
      <c r="AF27" s="767">
        <f t="shared" si="27"/>
        <v>2747.0540000000001</v>
      </c>
      <c r="AG27" s="767">
        <f t="shared" si="27"/>
        <v>2747.0540000000001</v>
      </c>
      <c r="AH27" s="767">
        <f t="shared" si="27"/>
        <v>2735.4390000000003</v>
      </c>
      <c r="AI27" s="767">
        <f t="shared" si="27"/>
        <v>2722.2900000000004</v>
      </c>
      <c r="AJ27" s="767">
        <f t="shared" si="27"/>
        <v>2717.7179999999998</v>
      </c>
      <c r="AK27" s="767">
        <f t="shared" si="27"/>
        <v>2798.125</v>
      </c>
      <c r="AL27" s="767">
        <f t="shared" si="27"/>
        <v>2798.125</v>
      </c>
      <c r="AM27" s="767">
        <f t="shared" si="27"/>
        <v>2753.7409999999995</v>
      </c>
      <c r="AN27" s="767">
        <f t="shared" si="27"/>
        <v>2772.4330000000004</v>
      </c>
      <c r="AO27" s="767">
        <f t="shared" si="27"/>
        <v>2734.0739999999996</v>
      </c>
      <c r="AP27" s="767">
        <f t="shared" si="27"/>
        <v>2775.2200000000003</v>
      </c>
      <c r="AQ27" s="767">
        <f t="shared" si="27"/>
        <v>2775.2200000000003</v>
      </c>
      <c r="AR27" s="767">
        <f t="shared" si="27"/>
        <v>2742.4880000000003</v>
      </c>
      <c r="AS27" s="767">
        <f t="shared" si="27"/>
        <v>2769.7080000000001</v>
      </c>
      <c r="AT27" s="767">
        <f t="shared" si="27"/>
        <v>2776.89</v>
      </c>
      <c r="AU27" s="767">
        <f t="shared" si="27"/>
        <v>2840.3829999999998</v>
      </c>
      <c r="AV27" s="768">
        <f t="shared" si="27"/>
        <v>2840.3829999999998</v>
      </c>
    </row>
    <row r="28" spans="2:48" x14ac:dyDescent="0.2">
      <c r="B28" s="729"/>
      <c r="C28" s="749"/>
      <c r="D28" s="750"/>
      <c r="E28" s="750"/>
      <c r="F28" s="750"/>
      <c r="G28" s="750"/>
      <c r="H28" s="750"/>
      <c r="I28" s="750"/>
      <c r="J28" s="750"/>
      <c r="K28" s="750"/>
      <c r="L28" s="750"/>
      <c r="M28" s="750"/>
      <c r="N28" s="750"/>
      <c r="O28" s="750"/>
      <c r="P28" s="750"/>
      <c r="Q28" s="750"/>
      <c r="R28" s="750"/>
      <c r="S28" s="750"/>
      <c r="T28" s="750"/>
      <c r="U28" s="750"/>
      <c r="V28" s="750"/>
      <c r="W28" s="750"/>
      <c r="X28" s="750"/>
      <c r="Y28" s="750"/>
      <c r="Z28" s="750"/>
      <c r="AA28" s="750"/>
      <c r="AB28" s="750"/>
      <c r="AC28" s="750"/>
      <c r="AD28" s="750"/>
      <c r="AE28" s="750"/>
      <c r="AF28" s="750"/>
      <c r="AG28" s="750"/>
      <c r="AH28" s="750"/>
      <c r="AI28" s="750"/>
      <c r="AJ28" s="750"/>
      <c r="AK28" s="750"/>
      <c r="AL28" s="750"/>
      <c r="AM28" s="750"/>
      <c r="AN28" s="750"/>
      <c r="AO28" s="750"/>
      <c r="AP28" s="750"/>
      <c r="AQ28" s="750"/>
      <c r="AR28" s="750"/>
      <c r="AS28" s="750"/>
      <c r="AT28" s="750"/>
      <c r="AU28" s="750"/>
      <c r="AV28" s="751"/>
    </row>
    <row r="29" spans="2:48" x14ac:dyDescent="0.2">
      <c r="B29" s="727" t="s">
        <v>390</v>
      </c>
      <c r="C29" s="749"/>
      <c r="D29" s="750"/>
      <c r="E29" s="750"/>
      <c r="F29" s="750"/>
      <c r="G29" s="750"/>
      <c r="H29" s="750"/>
      <c r="I29" s="750"/>
      <c r="J29" s="750"/>
      <c r="K29" s="750"/>
      <c r="L29" s="750"/>
      <c r="M29" s="750"/>
      <c r="N29" s="750"/>
      <c r="O29" s="750"/>
      <c r="P29" s="750"/>
      <c r="Q29" s="750"/>
      <c r="R29" s="750"/>
      <c r="S29" s="750"/>
      <c r="T29" s="750"/>
      <c r="U29" s="750"/>
      <c r="V29" s="750"/>
      <c r="W29" s="750"/>
      <c r="X29" s="750"/>
      <c r="Y29" s="750"/>
      <c r="Z29" s="750"/>
      <c r="AA29" s="750"/>
      <c r="AB29" s="750"/>
      <c r="AC29" s="750"/>
      <c r="AD29" s="750"/>
      <c r="AE29" s="750"/>
      <c r="AF29" s="750"/>
      <c r="AG29" s="750"/>
      <c r="AH29" s="750"/>
      <c r="AI29" s="750"/>
      <c r="AJ29" s="750"/>
      <c r="AK29" s="750"/>
      <c r="AL29" s="750"/>
      <c r="AM29" s="750"/>
      <c r="AN29" s="750"/>
      <c r="AO29" s="750"/>
      <c r="AP29" s="750"/>
      <c r="AQ29" s="750"/>
      <c r="AR29" s="750"/>
      <c r="AS29" s="750"/>
      <c r="AT29" s="750"/>
      <c r="AU29" s="750"/>
      <c r="AV29" s="751"/>
    </row>
    <row r="30" spans="2:48" x14ac:dyDescent="0.2">
      <c r="B30" s="605" t="s">
        <v>391</v>
      </c>
      <c r="C30" s="736">
        <v>57.325000000000003</v>
      </c>
      <c r="D30" s="737">
        <v>54.152000000000001</v>
      </c>
      <c r="E30" s="737">
        <v>52.170999999999999</v>
      </c>
      <c r="F30" s="737">
        <v>44.207999999999998</v>
      </c>
      <c r="G30" s="738">
        <f t="shared" ref="G30:G32" si="28">H30</f>
        <v>47.77</v>
      </c>
      <c r="H30" s="737">
        <v>47.77</v>
      </c>
      <c r="I30" s="737">
        <v>38.363</v>
      </c>
      <c r="J30" s="737">
        <v>38.573</v>
      </c>
      <c r="K30" s="737">
        <v>38.905999999999999</v>
      </c>
      <c r="L30" s="739">
        <f t="shared" ref="L30:L32" si="29">M30</f>
        <v>41.564</v>
      </c>
      <c r="M30" s="737">
        <v>41.564</v>
      </c>
      <c r="N30" s="737">
        <v>34.936999999999998</v>
      </c>
      <c r="O30" s="737">
        <v>46.219000000000001</v>
      </c>
      <c r="P30" s="737">
        <v>46.572000000000003</v>
      </c>
      <c r="Q30" s="738">
        <f t="shared" ref="Q30:Q32" si="30">R30</f>
        <v>50.984000000000002</v>
      </c>
      <c r="R30" s="737">
        <v>50.984000000000002</v>
      </c>
      <c r="S30" s="737">
        <v>38.805</v>
      </c>
      <c r="T30" s="737">
        <v>38.311999999999998</v>
      </c>
      <c r="U30" s="737">
        <v>39.130000000000003</v>
      </c>
      <c r="V30" s="738">
        <f t="shared" ref="V30:V32" si="31">W30</f>
        <v>49.070999999999998</v>
      </c>
      <c r="W30" s="737">
        <v>49.070999999999998</v>
      </c>
      <c r="X30" s="737">
        <v>36.393999999999998</v>
      </c>
      <c r="Y30" s="737">
        <v>35.96</v>
      </c>
      <c r="Z30" s="737">
        <v>36.094999999999999</v>
      </c>
      <c r="AA30" s="739">
        <f t="shared" ref="AA30:AA34" si="32">AB30</f>
        <v>61.945999999999998</v>
      </c>
      <c r="AB30" s="737">
        <v>61.945999999999998</v>
      </c>
      <c r="AC30" s="737">
        <v>55.893999999999998</v>
      </c>
      <c r="AD30" s="737">
        <v>57.531999999999996</v>
      </c>
      <c r="AE30" s="737">
        <v>61.548999999999999</v>
      </c>
      <c r="AF30" s="739">
        <f t="shared" ref="AF30:AF34" si="33">AG30</f>
        <v>58.432000000000002</v>
      </c>
      <c r="AG30" s="737">
        <v>58.432000000000002</v>
      </c>
      <c r="AH30" s="737">
        <v>56.046999999999997</v>
      </c>
      <c r="AI30" s="737">
        <v>55.377000000000002</v>
      </c>
      <c r="AJ30" s="737">
        <v>52.89</v>
      </c>
      <c r="AK30" s="739">
        <f t="shared" ref="AK30:AK34" si="34">AL30</f>
        <v>54.085999999999999</v>
      </c>
      <c r="AL30" s="737">
        <v>54.085999999999999</v>
      </c>
      <c r="AM30" s="737">
        <v>61.741</v>
      </c>
      <c r="AN30" s="737">
        <v>58.927</v>
      </c>
      <c r="AO30" s="737">
        <v>59.03</v>
      </c>
      <c r="AP30" s="739">
        <f t="shared" ref="AP30:AP34" si="35">AQ30</f>
        <v>66.638000000000005</v>
      </c>
      <c r="AQ30" s="737">
        <v>66.638000000000005</v>
      </c>
      <c r="AR30" s="737">
        <v>57.000999999999998</v>
      </c>
      <c r="AS30" s="737">
        <v>72.682000000000002</v>
      </c>
      <c r="AT30" s="737">
        <v>53.392000000000003</v>
      </c>
      <c r="AU30" s="739">
        <f t="shared" ref="AU30:AU34" si="36">AV30</f>
        <v>63.152000000000001</v>
      </c>
      <c r="AV30" s="747">
        <v>63.152000000000001</v>
      </c>
    </row>
    <row r="31" spans="2:48" x14ac:dyDescent="0.2">
      <c r="B31" s="605" t="s">
        <v>392</v>
      </c>
      <c r="C31" s="752"/>
      <c r="D31" s="739"/>
      <c r="E31" s="739"/>
      <c r="F31" s="739"/>
      <c r="G31" s="738">
        <f t="shared" si="28"/>
        <v>0</v>
      </c>
      <c r="H31" s="739"/>
      <c r="I31" s="739"/>
      <c r="J31" s="739"/>
      <c r="K31" s="739"/>
      <c r="L31" s="739">
        <f t="shared" si="29"/>
        <v>2.2989999999999999</v>
      </c>
      <c r="M31" s="737">
        <v>2.2989999999999999</v>
      </c>
      <c r="N31" s="737">
        <v>5.4630000000000001</v>
      </c>
      <c r="O31" s="737">
        <v>0</v>
      </c>
      <c r="P31" s="737">
        <v>0</v>
      </c>
      <c r="Q31" s="738">
        <f t="shared" si="30"/>
        <v>0</v>
      </c>
      <c r="R31" s="737">
        <v>0</v>
      </c>
      <c r="S31" s="738">
        <f>R31</f>
        <v>0</v>
      </c>
      <c r="T31" s="739"/>
      <c r="U31" s="739"/>
      <c r="V31" s="738">
        <f t="shared" si="31"/>
        <v>0.71199999999999997</v>
      </c>
      <c r="W31" s="737">
        <v>0.71199999999999997</v>
      </c>
      <c r="X31" s="737">
        <v>3.1E-2</v>
      </c>
      <c r="Y31" s="739"/>
      <c r="Z31" s="739"/>
      <c r="AA31" s="739">
        <f t="shared" si="32"/>
        <v>0</v>
      </c>
      <c r="AB31" s="739"/>
      <c r="AC31" s="739"/>
      <c r="AD31" s="739"/>
      <c r="AE31" s="739"/>
      <c r="AF31" s="739">
        <f t="shared" si="33"/>
        <v>0</v>
      </c>
      <c r="AG31" s="739"/>
      <c r="AH31" s="739"/>
      <c r="AI31" s="739"/>
      <c r="AJ31" s="739"/>
      <c r="AK31" s="739">
        <f t="shared" si="34"/>
        <v>0</v>
      </c>
      <c r="AL31" s="739"/>
      <c r="AM31" s="739"/>
      <c r="AN31" s="739"/>
      <c r="AO31" s="739"/>
      <c r="AP31" s="739">
        <f t="shared" si="35"/>
        <v>0</v>
      </c>
      <c r="AQ31" s="739"/>
      <c r="AR31" s="739"/>
      <c r="AS31" s="739"/>
      <c r="AT31" s="739"/>
      <c r="AU31" s="739">
        <f t="shared" si="36"/>
        <v>0</v>
      </c>
      <c r="AV31" s="740"/>
    </row>
    <row r="32" spans="2:48" x14ac:dyDescent="0.2">
      <c r="B32" s="605" t="s">
        <v>393</v>
      </c>
      <c r="C32" s="752"/>
      <c r="D32" s="739"/>
      <c r="E32" s="739"/>
      <c r="F32" s="739"/>
      <c r="G32" s="738">
        <f t="shared" si="28"/>
        <v>0</v>
      </c>
      <c r="H32" s="739"/>
      <c r="I32" s="739"/>
      <c r="J32" s="739"/>
      <c r="K32" s="739"/>
      <c r="L32" s="739">
        <f t="shared" si="29"/>
        <v>153.62899999999999</v>
      </c>
      <c r="M32" s="737">
        <v>153.62899999999999</v>
      </c>
      <c r="N32" s="737">
        <v>127.61799999999999</v>
      </c>
      <c r="O32" s="737">
        <v>123.64</v>
      </c>
      <c r="P32" s="737">
        <v>116.419</v>
      </c>
      <c r="Q32" s="738">
        <f t="shared" si="30"/>
        <v>163.95099999999999</v>
      </c>
      <c r="R32" s="737">
        <v>163.95099999999999</v>
      </c>
      <c r="S32" s="737">
        <v>138.13399999999999</v>
      </c>
      <c r="T32" s="737">
        <v>133.61699999999999</v>
      </c>
      <c r="U32" s="737">
        <v>125.342</v>
      </c>
      <c r="V32" s="738">
        <f t="shared" si="31"/>
        <v>172.33600000000001</v>
      </c>
      <c r="W32" s="737">
        <v>172.33600000000001</v>
      </c>
      <c r="X32" s="737">
        <v>145.745</v>
      </c>
      <c r="Y32" s="737">
        <v>142.36099999999999</v>
      </c>
      <c r="Z32" s="737">
        <v>135.566</v>
      </c>
      <c r="AA32" s="739">
        <f t="shared" si="32"/>
        <v>187.97800000000001</v>
      </c>
      <c r="AB32" s="737">
        <v>187.97800000000001</v>
      </c>
      <c r="AC32" s="737">
        <v>161.215</v>
      </c>
      <c r="AD32" s="737">
        <v>162.24100000000001</v>
      </c>
      <c r="AE32" s="737">
        <v>155.48599999999999</v>
      </c>
      <c r="AF32" s="739">
        <f t="shared" si="33"/>
        <v>184.655</v>
      </c>
      <c r="AG32" s="737">
        <v>184.655</v>
      </c>
      <c r="AH32" s="737">
        <v>166.178</v>
      </c>
      <c r="AI32" s="737">
        <v>169.09800000000001</v>
      </c>
      <c r="AJ32" s="737">
        <v>161.51300000000001</v>
      </c>
      <c r="AK32" s="739">
        <f t="shared" si="34"/>
        <v>211.18199999999999</v>
      </c>
      <c r="AL32" s="737">
        <v>211.18199999999999</v>
      </c>
      <c r="AM32" s="737">
        <v>185.512</v>
      </c>
      <c r="AN32" s="737">
        <v>182.29499999999999</v>
      </c>
      <c r="AO32" s="737">
        <v>174.72499999999999</v>
      </c>
      <c r="AP32" s="739">
        <f t="shared" si="35"/>
        <v>219.80799999999999</v>
      </c>
      <c r="AQ32" s="737">
        <v>219.80799999999999</v>
      </c>
      <c r="AR32" s="737">
        <v>191.90799999999999</v>
      </c>
      <c r="AS32" s="737">
        <v>187.483</v>
      </c>
      <c r="AT32" s="737">
        <v>180.2</v>
      </c>
      <c r="AU32" s="739">
        <f t="shared" si="36"/>
        <v>222.91499999999999</v>
      </c>
      <c r="AV32" s="747">
        <v>222.91499999999999</v>
      </c>
    </row>
    <row r="33" spans="2:48" x14ac:dyDescent="0.2">
      <c r="B33" s="605" t="s">
        <v>394</v>
      </c>
      <c r="C33" s="752"/>
      <c r="D33" s="739"/>
      <c r="E33" s="739"/>
      <c r="F33" s="739"/>
      <c r="G33" s="739"/>
      <c r="H33" s="739"/>
      <c r="I33" s="739"/>
      <c r="J33" s="739"/>
      <c r="K33" s="739"/>
      <c r="L33" s="739"/>
      <c r="M33" s="739"/>
      <c r="N33" s="739"/>
      <c r="O33" s="739"/>
      <c r="P33" s="739"/>
      <c r="Q33" s="739"/>
      <c r="R33" s="739"/>
      <c r="S33" s="739"/>
      <c r="T33" s="739"/>
      <c r="U33" s="739"/>
      <c r="V33" s="739"/>
      <c r="W33" s="739"/>
      <c r="X33" s="737">
        <v>93.150999999999996</v>
      </c>
      <c r="Y33" s="737">
        <v>85.668999999999997</v>
      </c>
      <c r="Z33" s="737">
        <v>90.027000000000001</v>
      </c>
      <c r="AA33" s="739">
        <f t="shared" si="32"/>
        <v>128.08099999999999</v>
      </c>
      <c r="AB33" s="737">
        <v>128.08099999999999</v>
      </c>
      <c r="AC33" s="737">
        <v>123.18900000000001</v>
      </c>
      <c r="AD33" s="737">
        <v>120.35</v>
      </c>
      <c r="AE33" s="737">
        <v>128.767</v>
      </c>
      <c r="AF33" s="739">
        <f t="shared" si="33"/>
        <v>132.51900000000001</v>
      </c>
      <c r="AG33" s="737">
        <v>132.51900000000001</v>
      </c>
      <c r="AH33" s="737">
        <v>132.52099999999999</v>
      </c>
      <c r="AI33" s="737">
        <v>131.18899999999999</v>
      </c>
      <c r="AJ33" s="737">
        <v>132.55000000000001</v>
      </c>
      <c r="AK33" s="739">
        <f t="shared" si="34"/>
        <v>131.81800000000001</v>
      </c>
      <c r="AL33" s="737">
        <v>131.81800000000001</v>
      </c>
      <c r="AM33" s="737">
        <v>144.96600000000001</v>
      </c>
      <c r="AN33" s="737">
        <v>144.82900000000001</v>
      </c>
      <c r="AO33" s="737">
        <v>147.41300000000001</v>
      </c>
      <c r="AP33" s="739">
        <f t="shared" si="35"/>
        <v>139.09899999999999</v>
      </c>
      <c r="AQ33" s="737">
        <v>139.09899999999999</v>
      </c>
      <c r="AR33" s="737">
        <v>140.49299999999999</v>
      </c>
      <c r="AS33" s="737">
        <v>142.37</v>
      </c>
      <c r="AT33" s="737">
        <v>144.488</v>
      </c>
      <c r="AU33" s="739">
        <f t="shared" si="36"/>
        <v>134.905</v>
      </c>
      <c r="AV33" s="747">
        <v>134.905</v>
      </c>
    </row>
    <row r="34" spans="2:48" x14ac:dyDescent="0.2">
      <c r="B34" s="728" t="s">
        <v>395</v>
      </c>
      <c r="C34" s="741">
        <v>264.68599999999998</v>
      </c>
      <c r="D34" s="742">
        <v>243.62299999999999</v>
      </c>
      <c r="E34" s="742">
        <v>246.07</v>
      </c>
      <c r="F34" s="742">
        <v>246.428</v>
      </c>
      <c r="G34" s="743">
        <f>H34</f>
        <v>302.45600000000002</v>
      </c>
      <c r="H34" s="742">
        <v>302.45600000000002</v>
      </c>
      <c r="I34" s="742">
        <v>267.85700000000003</v>
      </c>
      <c r="J34" s="742">
        <v>265.851</v>
      </c>
      <c r="K34" s="742">
        <v>265.197</v>
      </c>
      <c r="L34" s="744">
        <f>M34</f>
        <v>179.03399999999999</v>
      </c>
      <c r="M34" s="742">
        <v>179.03399999999999</v>
      </c>
      <c r="N34" s="742">
        <v>155.08099999999999</v>
      </c>
      <c r="O34" s="742">
        <v>160.04599999999999</v>
      </c>
      <c r="P34" s="742">
        <v>159.82300000000001</v>
      </c>
      <c r="Q34" s="743">
        <f>R34</f>
        <v>183.01599999999999</v>
      </c>
      <c r="R34" s="742">
        <v>183.01599999999999</v>
      </c>
      <c r="S34" s="742">
        <v>167.36699999999999</v>
      </c>
      <c r="T34" s="742">
        <v>182.65899999999999</v>
      </c>
      <c r="U34" s="742">
        <v>179.06200000000001</v>
      </c>
      <c r="V34" s="743">
        <f>W34</f>
        <v>194.381</v>
      </c>
      <c r="W34" s="742">
        <v>194.381</v>
      </c>
      <c r="X34" s="742">
        <v>171.315</v>
      </c>
      <c r="Y34" s="742">
        <v>172.97300000000001</v>
      </c>
      <c r="Z34" s="742">
        <v>172.09800000000001</v>
      </c>
      <c r="AA34" s="744">
        <f t="shared" si="32"/>
        <v>236.58199999999999</v>
      </c>
      <c r="AB34" s="742">
        <v>236.58199999999999</v>
      </c>
      <c r="AC34" s="742">
        <v>166.828</v>
      </c>
      <c r="AD34" s="742">
        <v>192.54900000000001</v>
      </c>
      <c r="AE34" s="742">
        <v>194.57499999999999</v>
      </c>
      <c r="AF34" s="744">
        <f t="shared" si="33"/>
        <v>210.46100000000001</v>
      </c>
      <c r="AG34" s="742">
        <v>210.46100000000001</v>
      </c>
      <c r="AH34" s="742">
        <v>203.21100000000001</v>
      </c>
      <c r="AI34" s="742">
        <v>241.488</v>
      </c>
      <c r="AJ34" s="742">
        <v>210.155</v>
      </c>
      <c r="AK34" s="739">
        <f t="shared" si="34"/>
        <v>239.18700000000001</v>
      </c>
      <c r="AL34" s="737">
        <v>239.18700000000001</v>
      </c>
      <c r="AM34" s="742">
        <v>202.21700000000001</v>
      </c>
      <c r="AN34" s="742">
        <v>237.453</v>
      </c>
      <c r="AO34" s="742">
        <v>225</v>
      </c>
      <c r="AP34" s="744">
        <f t="shared" si="35"/>
        <v>231.13300000000001</v>
      </c>
      <c r="AQ34" s="742">
        <v>231.13300000000001</v>
      </c>
      <c r="AR34" s="742">
        <v>237.29300000000001</v>
      </c>
      <c r="AS34" s="742">
        <v>220.917</v>
      </c>
      <c r="AT34" s="742">
        <v>240.44</v>
      </c>
      <c r="AU34" s="744">
        <f t="shared" si="36"/>
        <v>239.69900000000001</v>
      </c>
      <c r="AV34" s="753">
        <v>239.69900000000001</v>
      </c>
    </row>
    <row r="35" spans="2:48" x14ac:dyDescent="0.2">
      <c r="B35" s="754" t="s">
        <v>396</v>
      </c>
      <c r="C35" s="755">
        <f t="shared" ref="C35:AV35" si="37">SUM(C30:C34)</f>
        <v>322.01099999999997</v>
      </c>
      <c r="D35" s="756">
        <f t="shared" si="37"/>
        <v>297.77499999999998</v>
      </c>
      <c r="E35" s="756">
        <f t="shared" si="37"/>
        <v>298.24099999999999</v>
      </c>
      <c r="F35" s="756">
        <f t="shared" si="37"/>
        <v>290.63599999999997</v>
      </c>
      <c r="G35" s="756">
        <f t="shared" si="37"/>
        <v>350.226</v>
      </c>
      <c r="H35" s="756">
        <f t="shared" si="37"/>
        <v>350.226</v>
      </c>
      <c r="I35" s="756">
        <f t="shared" si="37"/>
        <v>306.22000000000003</v>
      </c>
      <c r="J35" s="756">
        <f t="shared" si="37"/>
        <v>304.42399999999998</v>
      </c>
      <c r="K35" s="756">
        <f t="shared" si="37"/>
        <v>304.10300000000001</v>
      </c>
      <c r="L35" s="757">
        <f t="shared" si="37"/>
        <v>376.52599999999995</v>
      </c>
      <c r="M35" s="757">
        <f t="shared" si="37"/>
        <v>376.52599999999995</v>
      </c>
      <c r="N35" s="756">
        <f t="shared" si="37"/>
        <v>323.09899999999999</v>
      </c>
      <c r="O35" s="756">
        <f t="shared" si="37"/>
        <v>329.90499999999997</v>
      </c>
      <c r="P35" s="756">
        <f t="shared" si="37"/>
        <v>322.81399999999996</v>
      </c>
      <c r="Q35" s="756">
        <f t="shared" si="37"/>
        <v>397.95100000000002</v>
      </c>
      <c r="R35" s="757">
        <f t="shared" si="37"/>
        <v>397.95100000000002</v>
      </c>
      <c r="S35" s="756">
        <f t="shared" si="37"/>
        <v>344.30599999999998</v>
      </c>
      <c r="T35" s="756">
        <f t="shared" si="37"/>
        <v>354.58799999999997</v>
      </c>
      <c r="U35" s="756">
        <f t="shared" si="37"/>
        <v>343.53399999999999</v>
      </c>
      <c r="V35" s="756">
        <f t="shared" si="37"/>
        <v>416.5</v>
      </c>
      <c r="W35" s="757">
        <f t="shared" si="37"/>
        <v>416.5</v>
      </c>
      <c r="X35" s="757">
        <f t="shared" si="37"/>
        <v>446.63600000000002</v>
      </c>
      <c r="Y35" s="757">
        <f t="shared" si="37"/>
        <v>436.96300000000002</v>
      </c>
      <c r="Z35" s="757">
        <f t="shared" si="37"/>
        <v>433.786</v>
      </c>
      <c r="AA35" s="757">
        <f t="shared" si="37"/>
        <v>614.58699999999999</v>
      </c>
      <c r="AB35" s="757">
        <f t="shared" si="37"/>
        <v>614.58699999999999</v>
      </c>
      <c r="AC35" s="757">
        <f t="shared" si="37"/>
        <v>507.12599999999998</v>
      </c>
      <c r="AD35" s="757">
        <f t="shared" si="37"/>
        <v>532.67200000000003</v>
      </c>
      <c r="AE35" s="757">
        <f t="shared" si="37"/>
        <v>540.37699999999995</v>
      </c>
      <c r="AF35" s="757">
        <f t="shared" si="37"/>
        <v>586.06700000000001</v>
      </c>
      <c r="AG35" s="757">
        <f t="shared" si="37"/>
        <v>586.06700000000001</v>
      </c>
      <c r="AH35" s="757">
        <f t="shared" si="37"/>
        <v>557.95699999999999</v>
      </c>
      <c r="AI35" s="757">
        <f t="shared" si="37"/>
        <v>597.15200000000004</v>
      </c>
      <c r="AJ35" s="757">
        <f t="shared" si="37"/>
        <v>557.10800000000006</v>
      </c>
      <c r="AK35" s="757">
        <f t="shared" si="37"/>
        <v>636.27300000000002</v>
      </c>
      <c r="AL35" s="757">
        <f t="shared" si="37"/>
        <v>636.27300000000002</v>
      </c>
      <c r="AM35" s="757">
        <f t="shared" si="37"/>
        <v>594.43600000000004</v>
      </c>
      <c r="AN35" s="757">
        <f t="shared" si="37"/>
        <v>623.50400000000002</v>
      </c>
      <c r="AO35" s="757">
        <f t="shared" si="37"/>
        <v>606.16800000000001</v>
      </c>
      <c r="AP35" s="757">
        <f t="shared" si="37"/>
        <v>656.678</v>
      </c>
      <c r="AQ35" s="757">
        <f t="shared" si="37"/>
        <v>656.678</v>
      </c>
      <c r="AR35" s="757">
        <f t="shared" si="37"/>
        <v>626.69499999999994</v>
      </c>
      <c r="AS35" s="757">
        <f t="shared" si="37"/>
        <v>623.452</v>
      </c>
      <c r="AT35" s="757">
        <f t="shared" si="37"/>
        <v>618.52</v>
      </c>
      <c r="AU35" s="757">
        <f t="shared" si="37"/>
        <v>660.67100000000005</v>
      </c>
      <c r="AV35" s="758">
        <f t="shared" si="37"/>
        <v>660.67100000000005</v>
      </c>
    </row>
    <row r="36" spans="2:48" x14ac:dyDescent="0.2">
      <c r="B36" s="729"/>
      <c r="C36" s="749"/>
      <c r="D36" s="750"/>
      <c r="E36" s="750"/>
      <c r="F36" s="750"/>
      <c r="G36" s="750"/>
      <c r="H36" s="750"/>
      <c r="I36" s="750"/>
      <c r="J36" s="750"/>
      <c r="K36" s="750"/>
      <c r="L36" s="750"/>
      <c r="M36" s="750"/>
      <c r="N36" s="750"/>
      <c r="O36" s="750"/>
      <c r="P36" s="750"/>
      <c r="Q36" s="750"/>
      <c r="R36" s="750"/>
      <c r="S36" s="750"/>
      <c r="T36" s="750"/>
      <c r="U36" s="750"/>
      <c r="V36" s="750"/>
      <c r="W36" s="750"/>
      <c r="X36" s="750"/>
      <c r="Y36" s="750"/>
      <c r="Z36" s="750"/>
      <c r="AA36" s="750"/>
      <c r="AB36" s="750"/>
      <c r="AC36" s="750"/>
      <c r="AD36" s="750"/>
      <c r="AE36" s="750"/>
      <c r="AF36" s="750"/>
      <c r="AG36" s="750"/>
      <c r="AH36" s="750"/>
      <c r="AI36" s="750"/>
      <c r="AJ36" s="750"/>
      <c r="AK36" s="750"/>
      <c r="AL36" s="750"/>
      <c r="AM36" s="750"/>
      <c r="AN36" s="750"/>
      <c r="AO36" s="750"/>
      <c r="AP36" s="750"/>
      <c r="AQ36" s="750"/>
      <c r="AR36" s="750"/>
      <c r="AS36" s="750"/>
      <c r="AT36" s="750"/>
      <c r="AU36" s="750"/>
      <c r="AV36" s="751"/>
    </row>
    <row r="37" spans="2:48" x14ac:dyDescent="0.2">
      <c r="B37" s="730" t="s">
        <v>397</v>
      </c>
      <c r="C37" s="749"/>
      <c r="D37" s="750"/>
      <c r="E37" s="750"/>
      <c r="F37" s="750"/>
      <c r="G37" s="750"/>
      <c r="H37" s="750"/>
      <c r="I37" s="750"/>
      <c r="J37" s="750"/>
      <c r="K37" s="750"/>
      <c r="L37" s="750"/>
      <c r="M37" s="750"/>
      <c r="N37" s="750"/>
      <c r="O37" s="750"/>
      <c r="P37" s="750"/>
      <c r="Q37" s="750"/>
      <c r="R37" s="750"/>
      <c r="S37" s="750"/>
      <c r="T37" s="750"/>
      <c r="U37" s="750"/>
      <c r="V37" s="750"/>
      <c r="W37" s="750"/>
      <c r="X37" s="750"/>
      <c r="Y37" s="750"/>
      <c r="Z37" s="750"/>
      <c r="AA37" s="750"/>
      <c r="AB37" s="750"/>
      <c r="AC37" s="750"/>
      <c r="AD37" s="750"/>
      <c r="AE37" s="750"/>
      <c r="AF37" s="750"/>
      <c r="AG37" s="750"/>
      <c r="AH37" s="750"/>
      <c r="AI37" s="750"/>
      <c r="AJ37" s="750"/>
      <c r="AK37" s="750"/>
      <c r="AL37" s="750"/>
      <c r="AM37" s="750"/>
      <c r="AN37" s="750"/>
      <c r="AO37" s="750"/>
      <c r="AP37" s="750"/>
      <c r="AQ37" s="750"/>
      <c r="AR37" s="750"/>
      <c r="AS37" s="750"/>
      <c r="AT37" s="750"/>
      <c r="AU37" s="750"/>
      <c r="AV37" s="751"/>
    </row>
    <row r="38" spans="2:48" x14ac:dyDescent="0.2">
      <c r="B38" s="605" t="s">
        <v>398</v>
      </c>
      <c r="C38" s="752"/>
      <c r="D38" s="739"/>
      <c r="E38" s="739"/>
      <c r="F38" s="739"/>
      <c r="G38" s="738">
        <f t="shared" ref="G38:G42" si="38">H38</f>
        <v>0</v>
      </c>
      <c r="H38" s="739"/>
      <c r="I38" s="739"/>
      <c r="J38" s="739"/>
      <c r="K38" s="739"/>
      <c r="L38" s="739">
        <f t="shared" ref="L38:L42" si="39">M38</f>
        <v>0</v>
      </c>
      <c r="M38" s="739"/>
      <c r="N38" s="739"/>
      <c r="O38" s="739"/>
      <c r="P38" s="739"/>
      <c r="Q38" s="739"/>
      <c r="R38" s="739"/>
      <c r="S38" s="739"/>
      <c r="T38" s="739"/>
      <c r="U38" s="739"/>
      <c r="V38" s="739"/>
      <c r="W38" s="739"/>
      <c r="X38" s="739"/>
      <c r="Y38" s="739"/>
      <c r="Z38" s="739"/>
      <c r="AA38" s="739"/>
      <c r="AB38" s="739"/>
      <c r="AC38" s="739"/>
      <c r="AD38" s="739"/>
      <c r="AE38" s="739"/>
      <c r="AF38" s="739"/>
      <c r="AG38" s="739"/>
      <c r="AH38" s="739"/>
      <c r="AI38" s="739"/>
      <c r="AJ38" s="739"/>
      <c r="AK38" s="739"/>
      <c r="AL38" s="739"/>
      <c r="AM38" s="739"/>
      <c r="AN38" s="739"/>
      <c r="AO38" s="739"/>
      <c r="AP38" s="739"/>
      <c r="AQ38" s="739"/>
      <c r="AR38" s="739"/>
      <c r="AS38" s="739"/>
      <c r="AT38" s="739"/>
      <c r="AU38" s="739"/>
      <c r="AV38" s="740"/>
    </row>
    <row r="39" spans="2:48" x14ac:dyDescent="0.2">
      <c r="B39" s="605" t="s">
        <v>379</v>
      </c>
      <c r="C39" s="736">
        <v>81.433000000000007</v>
      </c>
      <c r="D39" s="737">
        <v>97.724000000000004</v>
      </c>
      <c r="E39" s="737">
        <v>97.655000000000001</v>
      </c>
      <c r="F39" s="737">
        <v>97.183999999999997</v>
      </c>
      <c r="G39" s="738">
        <f t="shared" si="38"/>
        <v>82.524000000000001</v>
      </c>
      <c r="H39" s="737">
        <v>82.524000000000001</v>
      </c>
      <c r="I39" s="737">
        <v>85.685000000000002</v>
      </c>
      <c r="J39" s="737">
        <v>83.736999999999995</v>
      </c>
      <c r="K39" s="737">
        <v>83.087999999999994</v>
      </c>
      <c r="L39" s="739">
        <f t="shared" si="39"/>
        <v>82.400999999999996</v>
      </c>
      <c r="M39" s="737">
        <v>82.400999999999996</v>
      </c>
      <c r="N39" s="737">
        <v>85.587000000000003</v>
      </c>
      <c r="O39" s="737">
        <v>84.665000000000006</v>
      </c>
      <c r="P39" s="737">
        <v>83.54</v>
      </c>
      <c r="Q39" s="738">
        <f t="shared" ref="Q39:Q42" si="40">R39</f>
        <v>57.216000000000001</v>
      </c>
      <c r="R39" s="737">
        <v>57.216000000000001</v>
      </c>
      <c r="S39" s="737">
        <v>57.122</v>
      </c>
      <c r="T39" s="737">
        <v>56.77</v>
      </c>
      <c r="U39" s="737">
        <v>56.881</v>
      </c>
      <c r="V39" s="738">
        <f t="shared" ref="V39:V42" si="41">W39</f>
        <v>52.122999999999998</v>
      </c>
      <c r="W39" s="737">
        <v>52.122999999999998</v>
      </c>
      <c r="X39" s="737">
        <v>43.048000000000002</v>
      </c>
      <c r="Y39" s="737">
        <v>38.902000000000001</v>
      </c>
      <c r="Z39" s="737">
        <v>38.448999999999998</v>
      </c>
      <c r="AA39" s="739">
        <f t="shared" ref="AA39:AA44" si="42">AB39</f>
        <v>33.847000000000001</v>
      </c>
      <c r="AB39" s="737">
        <v>33.847000000000001</v>
      </c>
      <c r="AC39" s="737">
        <v>23.838000000000001</v>
      </c>
      <c r="AD39" s="737">
        <v>23.478999999999999</v>
      </c>
      <c r="AE39" s="739"/>
      <c r="AF39" s="739">
        <f t="shared" ref="AF39:AF45" si="43">AG39</f>
        <v>0</v>
      </c>
      <c r="AG39" s="739"/>
      <c r="AH39" s="739"/>
      <c r="AI39" s="739"/>
      <c r="AJ39" s="739"/>
      <c r="AK39" s="739"/>
      <c r="AL39" s="739"/>
      <c r="AM39" s="739"/>
      <c r="AN39" s="739"/>
      <c r="AO39" s="739"/>
      <c r="AP39" s="739"/>
      <c r="AQ39" s="739"/>
      <c r="AR39" s="739"/>
      <c r="AS39" s="739"/>
      <c r="AT39" s="739"/>
      <c r="AU39" s="739"/>
      <c r="AV39" s="740"/>
    </row>
    <row r="40" spans="2:48" x14ac:dyDescent="0.2">
      <c r="B40" s="605" t="s">
        <v>399</v>
      </c>
      <c r="C40" s="736">
        <v>73.856999999999999</v>
      </c>
      <c r="D40" s="737">
        <v>73.450999999999993</v>
      </c>
      <c r="E40" s="737">
        <v>73.100999999999999</v>
      </c>
      <c r="F40" s="737">
        <v>72.858000000000004</v>
      </c>
      <c r="G40" s="738">
        <f t="shared" si="38"/>
        <v>72.911000000000001</v>
      </c>
      <c r="H40" s="737">
        <v>72.911000000000001</v>
      </c>
      <c r="I40" s="737">
        <v>72.58</v>
      </c>
      <c r="J40" s="737">
        <v>72.254999999999995</v>
      </c>
      <c r="K40" s="737">
        <v>71.808000000000007</v>
      </c>
      <c r="L40" s="739">
        <f t="shared" si="39"/>
        <v>71.575000000000003</v>
      </c>
      <c r="M40" s="737">
        <v>71.575000000000003</v>
      </c>
      <c r="N40" s="737">
        <v>70.856999999999999</v>
      </c>
      <c r="O40" s="737">
        <v>75.260999999999996</v>
      </c>
      <c r="P40" s="737">
        <v>74.784000000000006</v>
      </c>
      <c r="Q40" s="738">
        <f t="shared" si="40"/>
        <v>74.760999999999996</v>
      </c>
      <c r="R40" s="737">
        <v>74.760999999999996</v>
      </c>
      <c r="S40" s="737">
        <v>73.665999999999997</v>
      </c>
      <c r="T40" s="737">
        <v>71.497</v>
      </c>
      <c r="U40" s="737">
        <v>70.436999999999998</v>
      </c>
      <c r="V40" s="738">
        <f t="shared" si="41"/>
        <v>79.697000000000003</v>
      </c>
      <c r="W40" s="737">
        <v>79.697000000000003</v>
      </c>
      <c r="X40" s="739"/>
      <c r="Y40" s="739"/>
      <c r="Z40" s="739"/>
      <c r="AA40" s="739">
        <f t="shared" si="42"/>
        <v>0</v>
      </c>
      <c r="AB40" s="739"/>
      <c r="AC40" s="739"/>
      <c r="AD40" s="739"/>
      <c r="AE40" s="739"/>
      <c r="AF40" s="739">
        <f t="shared" si="43"/>
        <v>0</v>
      </c>
      <c r="AG40" s="739"/>
      <c r="AH40" s="739"/>
      <c r="AI40" s="739"/>
      <c r="AJ40" s="739"/>
      <c r="AK40" s="739"/>
      <c r="AL40" s="739"/>
      <c r="AM40" s="739"/>
      <c r="AN40" s="739"/>
      <c r="AO40" s="739"/>
      <c r="AP40" s="739"/>
      <c r="AQ40" s="739"/>
      <c r="AR40" s="739"/>
      <c r="AS40" s="739"/>
      <c r="AT40" s="739"/>
      <c r="AU40" s="739"/>
      <c r="AV40" s="740"/>
    </row>
    <row r="41" spans="2:48" x14ac:dyDescent="0.2">
      <c r="B41" s="605" t="s">
        <v>400</v>
      </c>
      <c r="C41" s="736">
        <v>77.165000000000006</v>
      </c>
      <c r="D41" s="737">
        <v>76.552000000000007</v>
      </c>
      <c r="E41" s="737">
        <v>79.221000000000004</v>
      </c>
      <c r="F41" s="737">
        <v>85.259</v>
      </c>
      <c r="G41" s="738">
        <f t="shared" si="38"/>
        <v>87.840999999999994</v>
      </c>
      <c r="H41" s="737">
        <v>87.840999999999994</v>
      </c>
      <c r="I41" s="737">
        <v>89.173000000000002</v>
      </c>
      <c r="J41" s="737">
        <v>91.972999999999999</v>
      </c>
      <c r="K41" s="737">
        <v>98.501000000000005</v>
      </c>
      <c r="L41" s="739">
        <f t="shared" si="39"/>
        <v>100.57599999999999</v>
      </c>
      <c r="M41" s="737">
        <v>100.57599999999999</v>
      </c>
      <c r="N41" s="737">
        <v>107.541</v>
      </c>
      <c r="O41" s="737">
        <v>104.60599999999999</v>
      </c>
      <c r="P41" s="737">
        <v>113.607</v>
      </c>
      <c r="Q41" s="738">
        <f t="shared" si="40"/>
        <v>108.627</v>
      </c>
      <c r="R41" s="737">
        <v>108.627</v>
      </c>
      <c r="S41" s="737">
        <v>112.895</v>
      </c>
      <c r="T41" s="737">
        <v>114.79</v>
      </c>
      <c r="U41" s="737">
        <v>125.56399999999999</v>
      </c>
      <c r="V41" s="738">
        <f t="shared" si="41"/>
        <v>113.095</v>
      </c>
      <c r="W41" s="737">
        <v>113.095</v>
      </c>
      <c r="X41" s="739"/>
      <c r="Y41" s="739"/>
      <c r="Z41" s="739"/>
      <c r="AA41" s="739">
        <f t="shared" si="42"/>
        <v>0</v>
      </c>
      <c r="AB41" s="739"/>
      <c r="AC41" s="739"/>
      <c r="AD41" s="739"/>
      <c r="AE41" s="739"/>
      <c r="AF41" s="739">
        <f t="shared" si="43"/>
        <v>0</v>
      </c>
      <c r="AG41" s="739"/>
      <c r="AH41" s="739"/>
      <c r="AI41" s="739"/>
      <c r="AJ41" s="739"/>
      <c r="AK41" s="739"/>
      <c r="AL41" s="739"/>
      <c r="AM41" s="739"/>
      <c r="AN41" s="739"/>
      <c r="AO41" s="739"/>
      <c r="AP41" s="739"/>
      <c r="AQ41" s="739"/>
      <c r="AR41" s="739"/>
      <c r="AS41" s="739"/>
      <c r="AT41" s="739"/>
      <c r="AU41" s="739"/>
      <c r="AV41" s="740"/>
    </row>
    <row r="42" spans="2:48" x14ac:dyDescent="0.2">
      <c r="B42" s="605" t="s">
        <v>401</v>
      </c>
      <c r="C42" s="752"/>
      <c r="D42" s="737">
        <v>25</v>
      </c>
      <c r="E42" s="737">
        <v>25</v>
      </c>
      <c r="F42" s="739"/>
      <c r="G42" s="738">
        <f t="shared" si="38"/>
        <v>0</v>
      </c>
      <c r="H42" s="739"/>
      <c r="I42" s="739"/>
      <c r="J42" s="739"/>
      <c r="K42" s="739"/>
      <c r="L42" s="739">
        <f t="shared" si="39"/>
        <v>0</v>
      </c>
      <c r="M42" s="739"/>
      <c r="N42" s="739"/>
      <c r="O42" s="737">
        <v>0</v>
      </c>
      <c r="P42" s="737">
        <v>30</v>
      </c>
      <c r="Q42" s="738">
        <f t="shared" si="40"/>
        <v>10</v>
      </c>
      <c r="R42" s="737">
        <v>10</v>
      </c>
      <c r="S42" s="737">
        <v>30</v>
      </c>
      <c r="T42" s="737">
        <v>20</v>
      </c>
      <c r="U42" s="737">
        <v>20</v>
      </c>
      <c r="V42" s="738">
        <f t="shared" si="41"/>
        <v>10</v>
      </c>
      <c r="W42" s="737">
        <v>10</v>
      </c>
      <c r="X42" s="737">
        <v>20</v>
      </c>
      <c r="Y42" s="737">
        <v>35</v>
      </c>
      <c r="Z42" s="737">
        <v>335</v>
      </c>
      <c r="AA42" s="739">
        <f t="shared" si="42"/>
        <v>290</v>
      </c>
      <c r="AB42" s="737">
        <v>290</v>
      </c>
      <c r="AC42" s="737">
        <v>380</v>
      </c>
      <c r="AD42" s="737">
        <v>376</v>
      </c>
      <c r="AE42" s="737">
        <v>376</v>
      </c>
      <c r="AF42" s="739">
        <f t="shared" si="43"/>
        <v>280</v>
      </c>
      <c r="AG42" s="737">
        <v>280</v>
      </c>
      <c r="AH42" s="737">
        <v>280</v>
      </c>
      <c r="AI42" s="737">
        <v>465.01</v>
      </c>
      <c r="AJ42" s="737">
        <v>465.51400000000001</v>
      </c>
      <c r="AK42" s="739">
        <f t="shared" ref="AK42:AK44" si="44">AL42</f>
        <v>466.017</v>
      </c>
      <c r="AL42" s="737">
        <v>466.017</v>
      </c>
      <c r="AM42" s="737">
        <v>466.52100000000002</v>
      </c>
      <c r="AN42" s="737">
        <v>467.02499999999998</v>
      </c>
      <c r="AO42" s="737">
        <v>467.52800000000002</v>
      </c>
      <c r="AP42" s="739">
        <f t="shared" ref="AP42:AP44" si="45">AQ42</f>
        <v>468.03199999999998</v>
      </c>
      <c r="AQ42" s="737">
        <v>468.03199999999998</v>
      </c>
      <c r="AR42" s="737">
        <v>468.536</v>
      </c>
      <c r="AS42" s="737">
        <v>469.04</v>
      </c>
      <c r="AT42" s="737">
        <v>469.54300000000001</v>
      </c>
      <c r="AU42" s="739">
        <f t="shared" ref="AU42:AU44" si="46">AV42</f>
        <v>470.04700000000003</v>
      </c>
      <c r="AV42" s="747">
        <v>470.04700000000003</v>
      </c>
    </row>
    <row r="43" spans="2:48" x14ac:dyDescent="0.2">
      <c r="B43" s="605" t="s">
        <v>394</v>
      </c>
      <c r="C43" s="752"/>
      <c r="D43" s="739"/>
      <c r="E43" s="739"/>
      <c r="F43" s="739"/>
      <c r="G43" s="739"/>
      <c r="H43" s="739"/>
      <c r="I43" s="739"/>
      <c r="J43" s="739"/>
      <c r="K43" s="739"/>
      <c r="L43" s="739"/>
      <c r="M43" s="739"/>
      <c r="N43" s="739"/>
      <c r="O43" s="739"/>
      <c r="P43" s="739"/>
      <c r="Q43" s="739"/>
      <c r="R43" s="739"/>
      <c r="S43" s="739"/>
      <c r="T43" s="739"/>
      <c r="U43" s="739"/>
      <c r="V43" s="739"/>
      <c r="W43" s="739"/>
      <c r="X43" s="737">
        <v>946.78599999999994</v>
      </c>
      <c r="Y43" s="737">
        <v>942.58600000000001</v>
      </c>
      <c r="Z43" s="737">
        <v>959.63199999999995</v>
      </c>
      <c r="AA43" s="739">
        <f t="shared" si="42"/>
        <v>1189.8689999999999</v>
      </c>
      <c r="AB43" s="737">
        <v>1189.8689999999999</v>
      </c>
      <c r="AC43" s="737">
        <v>1217.5820000000001</v>
      </c>
      <c r="AD43" s="737">
        <v>1242.0350000000001</v>
      </c>
      <c r="AE43" s="737">
        <v>1236.6120000000001</v>
      </c>
      <c r="AF43" s="739">
        <f t="shared" si="43"/>
        <v>1224.3209999999999</v>
      </c>
      <c r="AG43" s="737">
        <v>1224.3209999999999</v>
      </c>
      <c r="AH43" s="737">
        <v>1216.473</v>
      </c>
      <c r="AI43" s="737">
        <v>1211.8779999999999</v>
      </c>
      <c r="AJ43" s="737">
        <v>1227.7049999999999</v>
      </c>
      <c r="AK43" s="739">
        <f t="shared" si="44"/>
        <v>1218.269</v>
      </c>
      <c r="AL43" s="737">
        <v>1218.269</v>
      </c>
      <c r="AM43" s="737">
        <v>1201.55</v>
      </c>
      <c r="AN43" s="737">
        <v>1195.912</v>
      </c>
      <c r="AO43" s="737">
        <v>1215.009</v>
      </c>
      <c r="AP43" s="739">
        <f t="shared" si="45"/>
        <v>1233.4970000000001</v>
      </c>
      <c r="AQ43" s="737">
        <v>1233.4970000000001</v>
      </c>
      <c r="AR43" s="737">
        <v>1218.0239999999999</v>
      </c>
      <c r="AS43" s="737">
        <v>1228.664</v>
      </c>
      <c r="AT43" s="737">
        <v>1246.819</v>
      </c>
      <c r="AU43" s="739">
        <f t="shared" si="46"/>
        <v>1254.9549999999999</v>
      </c>
      <c r="AV43" s="747">
        <v>1254.9549999999999</v>
      </c>
    </row>
    <row r="44" spans="2:48" x14ac:dyDescent="0.2">
      <c r="B44" s="605" t="s">
        <v>402</v>
      </c>
      <c r="C44" s="736">
        <v>50.4</v>
      </c>
      <c r="D44" s="737">
        <v>51.72</v>
      </c>
      <c r="E44" s="737">
        <v>52.453000000000003</v>
      </c>
      <c r="F44" s="737">
        <v>50.38</v>
      </c>
      <c r="G44" s="738">
        <f>H44</f>
        <v>51.305</v>
      </c>
      <c r="H44" s="737">
        <v>51.305</v>
      </c>
      <c r="I44" s="737">
        <v>53.433</v>
      </c>
      <c r="J44" s="737">
        <v>55.087000000000003</v>
      </c>
      <c r="K44" s="737">
        <v>57.347999999999999</v>
      </c>
      <c r="L44" s="739">
        <f>M44</f>
        <v>59.033999999999999</v>
      </c>
      <c r="M44" s="737">
        <v>59.033999999999999</v>
      </c>
      <c r="N44" s="737">
        <v>62.209000000000003</v>
      </c>
      <c r="O44" s="737">
        <v>64.346999999999994</v>
      </c>
      <c r="P44" s="737">
        <v>67.224000000000004</v>
      </c>
      <c r="Q44" s="738">
        <f>R44</f>
        <v>70.974999999999994</v>
      </c>
      <c r="R44" s="737">
        <v>70.974999999999994</v>
      </c>
      <c r="S44" s="737">
        <v>75.161000000000001</v>
      </c>
      <c r="T44" s="737">
        <v>76.212000000000003</v>
      </c>
      <c r="U44" s="737">
        <v>78.241</v>
      </c>
      <c r="V44" s="738">
        <f>W44</f>
        <v>71.659000000000006</v>
      </c>
      <c r="W44" s="737">
        <v>71.659000000000006</v>
      </c>
      <c r="X44" s="737">
        <v>77.366</v>
      </c>
      <c r="Y44" s="737">
        <v>80.06</v>
      </c>
      <c r="Z44" s="737">
        <v>81.087000000000003</v>
      </c>
      <c r="AA44" s="739">
        <f t="shared" si="42"/>
        <v>140.548</v>
      </c>
      <c r="AB44" s="737">
        <v>140.548</v>
      </c>
      <c r="AC44" s="737">
        <v>128.26500000000001</v>
      </c>
      <c r="AD44" s="737">
        <v>137.08699999999999</v>
      </c>
      <c r="AE44" s="737">
        <v>142.87200000000001</v>
      </c>
      <c r="AF44" s="739">
        <f t="shared" si="43"/>
        <v>149.72499999999999</v>
      </c>
      <c r="AG44" s="737">
        <v>149.72499999999999</v>
      </c>
      <c r="AH44" s="737">
        <v>151.01</v>
      </c>
      <c r="AI44" s="737">
        <v>163.642</v>
      </c>
      <c r="AJ44" s="737">
        <v>145.44499999999999</v>
      </c>
      <c r="AK44" s="739">
        <f t="shared" si="44"/>
        <v>147.4</v>
      </c>
      <c r="AL44" s="737">
        <v>147.4</v>
      </c>
      <c r="AM44" s="737">
        <v>135.90799999999999</v>
      </c>
      <c r="AN44" s="737">
        <v>124.30800000000001</v>
      </c>
      <c r="AO44" s="737">
        <v>121.873</v>
      </c>
      <c r="AP44" s="739">
        <f t="shared" si="45"/>
        <v>125.01</v>
      </c>
      <c r="AQ44" s="737">
        <v>125.01</v>
      </c>
      <c r="AR44" s="737">
        <v>129.39400000000001</v>
      </c>
      <c r="AS44" s="737">
        <v>122.649</v>
      </c>
      <c r="AT44" s="737">
        <v>120.364</v>
      </c>
      <c r="AU44" s="739">
        <f t="shared" si="46"/>
        <v>136.648</v>
      </c>
      <c r="AV44" s="747">
        <v>136.648</v>
      </c>
    </row>
    <row r="45" spans="2:48" x14ac:dyDescent="0.2">
      <c r="B45" s="605" t="s">
        <v>403</v>
      </c>
      <c r="C45" s="752"/>
      <c r="D45" s="739"/>
      <c r="E45" s="739"/>
      <c r="F45" s="739"/>
      <c r="G45" s="739"/>
      <c r="H45" s="739"/>
      <c r="I45" s="739"/>
      <c r="J45" s="739"/>
      <c r="K45" s="739"/>
      <c r="L45" s="739"/>
      <c r="M45" s="739"/>
      <c r="N45" s="739"/>
      <c r="O45" s="739"/>
      <c r="P45" s="739"/>
      <c r="Q45" s="739"/>
      <c r="R45" s="739"/>
      <c r="S45" s="739"/>
      <c r="T45" s="739"/>
      <c r="U45" s="739"/>
      <c r="V45" s="739"/>
      <c r="W45" s="739"/>
      <c r="X45" s="739"/>
      <c r="Y45" s="739"/>
      <c r="Z45" s="739"/>
      <c r="AA45" s="739"/>
      <c r="AB45" s="739"/>
      <c r="AC45" s="739"/>
      <c r="AD45" s="737">
        <v>204.07900000000001</v>
      </c>
      <c r="AE45" s="737">
        <v>209.92599999999999</v>
      </c>
      <c r="AF45" s="739">
        <f t="shared" si="43"/>
        <v>218.24799999999999</v>
      </c>
      <c r="AG45" s="737">
        <v>218.24799999999999</v>
      </c>
      <c r="AH45" s="737">
        <v>213.48500000000001</v>
      </c>
      <c r="AI45" s="739"/>
      <c r="AJ45" s="739"/>
      <c r="AK45" s="739"/>
      <c r="AL45" s="739"/>
      <c r="AM45" s="739"/>
      <c r="AN45" s="739"/>
      <c r="AO45" s="739"/>
      <c r="AP45" s="739"/>
      <c r="AQ45" s="739">
        <f>AP45</f>
        <v>0</v>
      </c>
      <c r="AR45" s="739"/>
      <c r="AS45" s="739"/>
      <c r="AT45" s="739"/>
      <c r="AU45" s="739"/>
      <c r="AV45" s="740">
        <f t="shared" ref="AV45" si="47">AU45</f>
        <v>0</v>
      </c>
    </row>
    <row r="46" spans="2:48" x14ac:dyDescent="0.2">
      <c r="B46" s="754" t="s">
        <v>404</v>
      </c>
      <c r="C46" s="755">
        <f t="shared" ref="C46:AV46" si="48">SUM(C38:C45)</f>
        <v>282.85500000000002</v>
      </c>
      <c r="D46" s="756">
        <f t="shared" si="48"/>
        <v>324.447</v>
      </c>
      <c r="E46" s="756">
        <f t="shared" si="48"/>
        <v>327.42999999999995</v>
      </c>
      <c r="F46" s="756">
        <f t="shared" si="48"/>
        <v>305.68099999999998</v>
      </c>
      <c r="G46" s="756">
        <f t="shared" si="48"/>
        <v>294.58100000000002</v>
      </c>
      <c r="H46" s="756">
        <f t="shared" si="48"/>
        <v>294.58100000000002</v>
      </c>
      <c r="I46" s="756">
        <f t="shared" si="48"/>
        <v>300.87099999999998</v>
      </c>
      <c r="J46" s="756">
        <f t="shared" si="48"/>
        <v>303.05199999999996</v>
      </c>
      <c r="K46" s="756">
        <f t="shared" si="48"/>
        <v>310.745</v>
      </c>
      <c r="L46" s="757">
        <f t="shared" si="48"/>
        <v>313.58600000000001</v>
      </c>
      <c r="M46" s="757">
        <f t="shared" si="48"/>
        <v>313.58600000000001</v>
      </c>
      <c r="N46" s="756">
        <f t="shared" si="48"/>
        <v>326.19400000000002</v>
      </c>
      <c r="O46" s="756">
        <f t="shared" si="48"/>
        <v>328.87899999999996</v>
      </c>
      <c r="P46" s="756">
        <f t="shared" si="48"/>
        <v>369.15500000000003</v>
      </c>
      <c r="Q46" s="756">
        <f t="shared" si="48"/>
        <v>321.57899999999995</v>
      </c>
      <c r="R46" s="757">
        <f t="shared" si="48"/>
        <v>321.57899999999995</v>
      </c>
      <c r="S46" s="756">
        <f t="shared" si="48"/>
        <v>348.84399999999999</v>
      </c>
      <c r="T46" s="756">
        <f t="shared" si="48"/>
        <v>339.26900000000001</v>
      </c>
      <c r="U46" s="756">
        <f t="shared" si="48"/>
        <v>351.12299999999999</v>
      </c>
      <c r="V46" s="756">
        <f t="shared" si="48"/>
        <v>326.57400000000001</v>
      </c>
      <c r="W46" s="757">
        <f t="shared" si="48"/>
        <v>326.57400000000001</v>
      </c>
      <c r="X46" s="757">
        <f t="shared" si="48"/>
        <v>1087.2</v>
      </c>
      <c r="Y46" s="757">
        <f t="shared" si="48"/>
        <v>1096.548</v>
      </c>
      <c r="Z46" s="757">
        <f t="shared" si="48"/>
        <v>1414.1679999999999</v>
      </c>
      <c r="AA46" s="757">
        <f t="shared" si="48"/>
        <v>1654.2639999999999</v>
      </c>
      <c r="AB46" s="757">
        <f t="shared" si="48"/>
        <v>1654.2639999999999</v>
      </c>
      <c r="AC46" s="757">
        <f t="shared" si="48"/>
        <v>1749.6850000000002</v>
      </c>
      <c r="AD46" s="757">
        <f t="shared" si="48"/>
        <v>1982.68</v>
      </c>
      <c r="AE46" s="757">
        <f t="shared" si="48"/>
        <v>1965.41</v>
      </c>
      <c r="AF46" s="757">
        <f t="shared" si="48"/>
        <v>1872.2939999999999</v>
      </c>
      <c r="AG46" s="757">
        <f t="shared" si="48"/>
        <v>1872.2939999999999</v>
      </c>
      <c r="AH46" s="757">
        <f t="shared" si="48"/>
        <v>1860.9679999999998</v>
      </c>
      <c r="AI46" s="757">
        <f t="shared" si="48"/>
        <v>1840.53</v>
      </c>
      <c r="AJ46" s="757">
        <f t="shared" si="48"/>
        <v>1838.664</v>
      </c>
      <c r="AK46" s="757">
        <f t="shared" si="48"/>
        <v>1831.6860000000001</v>
      </c>
      <c r="AL46" s="757">
        <f t="shared" si="48"/>
        <v>1831.6860000000001</v>
      </c>
      <c r="AM46" s="757">
        <f t="shared" si="48"/>
        <v>1803.9789999999998</v>
      </c>
      <c r="AN46" s="757">
        <f t="shared" si="48"/>
        <v>1787.2449999999999</v>
      </c>
      <c r="AO46" s="757">
        <f t="shared" si="48"/>
        <v>1804.41</v>
      </c>
      <c r="AP46" s="757">
        <f t="shared" si="48"/>
        <v>1826.539</v>
      </c>
      <c r="AQ46" s="757">
        <f t="shared" si="48"/>
        <v>1826.539</v>
      </c>
      <c r="AR46" s="757">
        <f t="shared" si="48"/>
        <v>1815.954</v>
      </c>
      <c r="AS46" s="757">
        <f t="shared" si="48"/>
        <v>1820.3530000000001</v>
      </c>
      <c r="AT46" s="757">
        <f t="shared" si="48"/>
        <v>1836.7260000000001</v>
      </c>
      <c r="AU46" s="757">
        <f t="shared" si="48"/>
        <v>1861.6499999999999</v>
      </c>
      <c r="AV46" s="758">
        <f t="shared" si="48"/>
        <v>1861.6499999999999</v>
      </c>
    </row>
    <row r="47" spans="2:48" x14ac:dyDescent="0.2">
      <c r="B47" s="769" t="s">
        <v>405</v>
      </c>
      <c r="C47" s="770">
        <f t="shared" ref="C47:AV47" si="49">C35+C46</f>
        <v>604.86599999999999</v>
      </c>
      <c r="D47" s="771">
        <f t="shared" si="49"/>
        <v>622.22199999999998</v>
      </c>
      <c r="E47" s="771">
        <f t="shared" si="49"/>
        <v>625.67099999999994</v>
      </c>
      <c r="F47" s="771">
        <f t="shared" si="49"/>
        <v>596.31700000000001</v>
      </c>
      <c r="G47" s="771">
        <f t="shared" si="49"/>
        <v>644.80700000000002</v>
      </c>
      <c r="H47" s="771">
        <f t="shared" si="49"/>
        <v>644.80700000000002</v>
      </c>
      <c r="I47" s="771">
        <f t="shared" si="49"/>
        <v>607.09100000000001</v>
      </c>
      <c r="J47" s="771">
        <f t="shared" si="49"/>
        <v>607.47599999999989</v>
      </c>
      <c r="K47" s="771">
        <f t="shared" si="49"/>
        <v>614.84799999999996</v>
      </c>
      <c r="L47" s="772">
        <f t="shared" si="49"/>
        <v>690.11199999999997</v>
      </c>
      <c r="M47" s="772">
        <f t="shared" si="49"/>
        <v>690.11199999999997</v>
      </c>
      <c r="N47" s="771">
        <f t="shared" si="49"/>
        <v>649.29300000000001</v>
      </c>
      <c r="O47" s="771">
        <f t="shared" si="49"/>
        <v>658.78399999999988</v>
      </c>
      <c r="P47" s="771">
        <f t="shared" si="49"/>
        <v>691.96900000000005</v>
      </c>
      <c r="Q47" s="771">
        <f t="shared" si="49"/>
        <v>719.53</v>
      </c>
      <c r="R47" s="772">
        <f t="shared" si="49"/>
        <v>719.53</v>
      </c>
      <c r="S47" s="771">
        <f t="shared" si="49"/>
        <v>693.15</v>
      </c>
      <c r="T47" s="771">
        <f t="shared" si="49"/>
        <v>693.85699999999997</v>
      </c>
      <c r="U47" s="771">
        <f t="shared" si="49"/>
        <v>694.65699999999993</v>
      </c>
      <c r="V47" s="771">
        <f t="shared" si="49"/>
        <v>743.07400000000007</v>
      </c>
      <c r="W47" s="772">
        <f t="shared" si="49"/>
        <v>743.07400000000007</v>
      </c>
      <c r="X47" s="772">
        <f t="shared" si="49"/>
        <v>1533.836</v>
      </c>
      <c r="Y47" s="772">
        <f t="shared" si="49"/>
        <v>1533.511</v>
      </c>
      <c r="Z47" s="772">
        <f t="shared" si="49"/>
        <v>1847.954</v>
      </c>
      <c r="AA47" s="772">
        <f t="shared" si="49"/>
        <v>2268.8509999999997</v>
      </c>
      <c r="AB47" s="772">
        <f t="shared" si="49"/>
        <v>2268.8509999999997</v>
      </c>
      <c r="AC47" s="772">
        <f t="shared" si="49"/>
        <v>2256.8110000000001</v>
      </c>
      <c r="AD47" s="772">
        <f t="shared" si="49"/>
        <v>2515.3519999999999</v>
      </c>
      <c r="AE47" s="772">
        <f t="shared" si="49"/>
        <v>2505.7870000000003</v>
      </c>
      <c r="AF47" s="772">
        <f t="shared" si="49"/>
        <v>2458.3609999999999</v>
      </c>
      <c r="AG47" s="772">
        <f t="shared" si="49"/>
        <v>2458.3609999999999</v>
      </c>
      <c r="AH47" s="772">
        <f t="shared" si="49"/>
        <v>2418.9249999999997</v>
      </c>
      <c r="AI47" s="772">
        <f t="shared" si="49"/>
        <v>2437.6819999999998</v>
      </c>
      <c r="AJ47" s="772">
        <f t="shared" si="49"/>
        <v>2395.7719999999999</v>
      </c>
      <c r="AK47" s="772">
        <f t="shared" si="49"/>
        <v>2467.9590000000003</v>
      </c>
      <c r="AL47" s="772">
        <f t="shared" si="49"/>
        <v>2467.9590000000003</v>
      </c>
      <c r="AM47" s="772">
        <f t="shared" si="49"/>
        <v>2398.415</v>
      </c>
      <c r="AN47" s="772">
        <f t="shared" si="49"/>
        <v>2410.7489999999998</v>
      </c>
      <c r="AO47" s="772">
        <f t="shared" si="49"/>
        <v>2410.578</v>
      </c>
      <c r="AP47" s="772">
        <f t="shared" si="49"/>
        <v>2483.2170000000001</v>
      </c>
      <c r="AQ47" s="772">
        <f t="shared" si="49"/>
        <v>2483.2170000000001</v>
      </c>
      <c r="AR47" s="772">
        <f t="shared" si="49"/>
        <v>2442.6489999999999</v>
      </c>
      <c r="AS47" s="772">
        <f t="shared" si="49"/>
        <v>2443.8050000000003</v>
      </c>
      <c r="AT47" s="772">
        <f t="shared" si="49"/>
        <v>2455.2460000000001</v>
      </c>
      <c r="AU47" s="772">
        <f t="shared" si="49"/>
        <v>2522.3209999999999</v>
      </c>
      <c r="AV47" s="773">
        <f t="shared" si="49"/>
        <v>2522.3209999999999</v>
      </c>
    </row>
    <row r="48" spans="2:48" x14ac:dyDescent="0.2">
      <c r="B48" s="729"/>
      <c r="C48" s="749"/>
      <c r="D48" s="750"/>
      <c r="E48" s="750"/>
      <c r="F48" s="750"/>
      <c r="G48" s="750"/>
      <c r="H48" s="750"/>
      <c r="I48" s="750"/>
      <c r="J48" s="750"/>
      <c r="K48" s="750"/>
      <c r="L48" s="750"/>
      <c r="M48" s="750"/>
      <c r="N48" s="750"/>
      <c r="O48" s="750"/>
      <c r="P48" s="750"/>
      <c r="Q48" s="750"/>
      <c r="R48" s="750"/>
      <c r="S48" s="750"/>
      <c r="T48" s="750"/>
      <c r="U48" s="750"/>
      <c r="V48" s="750"/>
      <c r="W48" s="750"/>
      <c r="X48" s="750"/>
      <c r="Y48" s="750"/>
      <c r="Z48" s="750"/>
      <c r="AA48" s="750"/>
      <c r="AB48" s="750"/>
      <c r="AC48" s="750"/>
      <c r="AD48" s="750"/>
      <c r="AE48" s="750"/>
      <c r="AF48" s="750"/>
      <c r="AG48" s="750"/>
      <c r="AH48" s="750"/>
      <c r="AI48" s="750"/>
      <c r="AJ48" s="750"/>
      <c r="AK48" s="750"/>
      <c r="AL48" s="750"/>
      <c r="AM48" s="750"/>
      <c r="AN48" s="750"/>
      <c r="AO48" s="750"/>
      <c r="AP48" s="750"/>
      <c r="AQ48" s="750"/>
      <c r="AR48" s="750"/>
      <c r="AS48" s="750"/>
      <c r="AT48" s="750"/>
      <c r="AU48" s="750"/>
      <c r="AV48" s="751"/>
    </row>
    <row r="49" spans="2:48" x14ac:dyDescent="0.2">
      <c r="B49" s="730" t="s">
        <v>406</v>
      </c>
      <c r="C49" s="749"/>
      <c r="D49" s="750"/>
      <c r="E49" s="750"/>
      <c r="F49" s="750"/>
      <c r="G49" s="750"/>
      <c r="H49" s="750"/>
      <c r="I49" s="750"/>
      <c r="J49" s="750"/>
      <c r="K49" s="750"/>
      <c r="L49" s="750"/>
      <c r="M49" s="750"/>
      <c r="N49" s="750"/>
      <c r="O49" s="750"/>
      <c r="P49" s="750"/>
      <c r="Q49" s="750"/>
      <c r="R49" s="750"/>
      <c r="S49" s="750"/>
      <c r="T49" s="750"/>
      <c r="U49" s="750"/>
      <c r="V49" s="750"/>
      <c r="W49" s="750"/>
      <c r="X49" s="750"/>
      <c r="Y49" s="750"/>
      <c r="Z49" s="750"/>
      <c r="AA49" s="750"/>
      <c r="AB49" s="750"/>
      <c r="AC49" s="750"/>
      <c r="AD49" s="750"/>
      <c r="AE49" s="750"/>
      <c r="AF49" s="750"/>
      <c r="AG49" s="750"/>
      <c r="AH49" s="750"/>
      <c r="AI49" s="750"/>
      <c r="AJ49" s="750"/>
      <c r="AK49" s="750"/>
      <c r="AL49" s="750"/>
      <c r="AM49" s="750"/>
      <c r="AN49" s="750"/>
      <c r="AO49" s="750"/>
      <c r="AP49" s="750"/>
      <c r="AQ49" s="750"/>
      <c r="AR49" s="750"/>
      <c r="AS49" s="750"/>
      <c r="AT49" s="750"/>
      <c r="AU49" s="750"/>
      <c r="AV49" s="751"/>
    </row>
    <row r="50" spans="2:48" x14ac:dyDescent="0.2">
      <c r="B50" s="605" t="s">
        <v>407</v>
      </c>
      <c r="C50" s="736">
        <v>0.91800000000000004</v>
      </c>
      <c r="D50" s="737">
        <v>0.92100000000000004</v>
      </c>
      <c r="E50" s="737">
        <v>0.92600000000000005</v>
      </c>
      <c r="F50" s="737">
        <v>0.93</v>
      </c>
      <c r="G50" s="738">
        <f t="shared" ref="G50:G54" si="50">H50</f>
        <v>0.93100000000000005</v>
      </c>
      <c r="H50" s="737">
        <v>0.93100000000000005</v>
      </c>
      <c r="I50" s="737">
        <v>0.93799999999999994</v>
      </c>
      <c r="J50" s="737">
        <v>0.93899999999999995</v>
      </c>
      <c r="K50" s="737">
        <v>0.94199999999999995</v>
      </c>
      <c r="L50" s="739">
        <f t="shared" ref="L50:L54" si="51">M50</f>
        <v>0.94699999999999995</v>
      </c>
      <c r="M50" s="737">
        <v>0.94699999999999995</v>
      </c>
      <c r="N50" s="737">
        <v>0.95099999999999996</v>
      </c>
      <c r="O50" s="737">
        <v>0.95199999999999996</v>
      </c>
      <c r="P50" s="737">
        <v>0.95299999999999996</v>
      </c>
      <c r="Q50" s="738">
        <f t="shared" ref="Q50:Q54" si="52">R50</f>
        <v>0.95399999999999996</v>
      </c>
      <c r="R50" s="737">
        <v>0.95399999999999996</v>
      </c>
      <c r="S50" s="737">
        <v>0.96</v>
      </c>
      <c r="T50" s="737">
        <v>0.96199999999999997</v>
      </c>
      <c r="U50" s="737">
        <v>0.96299999999999997</v>
      </c>
      <c r="V50" s="738">
        <f t="shared" ref="V50:V54" si="53">W50</f>
        <v>0.96699999999999997</v>
      </c>
      <c r="W50" s="737">
        <v>0.96699999999999997</v>
      </c>
      <c r="X50" s="737">
        <v>0.97399999999999998</v>
      </c>
      <c r="Y50" s="737">
        <v>0.97499999999999998</v>
      </c>
      <c r="Z50" s="737">
        <v>0.97499999999999998</v>
      </c>
      <c r="AA50" s="739">
        <f t="shared" ref="AA50:AA54" si="54">AB50</f>
        <v>0.97699999999999998</v>
      </c>
      <c r="AB50" s="737">
        <v>0.97699999999999998</v>
      </c>
      <c r="AC50" s="737">
        <v>0.98499999999999999</v>
      </c>
      <c r="AD50" s="737">
        <v>0.98499999999999999</v>
      </c>
      <c r="AE50" s="737">
        <v>0.98399999999999999</v>
      </c>
      <c r="AF50" s="739">
        <f t="shared" ref="AF50:AF54" si="55">AG50</f>
        <v>0.98599999999999999</v>
      </c>
      <c r="AG50" s="737">
        <v>0.98599999999999999</v>
      </c>
      <c r="AH50" s="737">
        <v>0.995</v>
      </c>
      <c r="AI50" s="737">
        <v>1.052</v>
      </c>
      <c r="AJ50" s="737">
        <v>1.0529999999999999</v>
      </c>
      <c r="AK50" s="739">
        <f t="shared" ref="AK50:AK54" si="56">AL50</f>
        <v>1.054</v>
      </c>
      <c r="AL50" s="737">
        <v>1.054</v>
      </c>
      <c r="AM50" s="737">
        <v>1.06</v>
      </c>
      <c r="AN50" s="737">
        <v>1.06</v>
      </c>
      <c r="AO50" s="737">
        <v>1.0620000000000001</v>
      </c>
      <c r="AP50" s="739">
        <f t="shared" ref="AP50:AP54" si="57">AQ50</f>
        <v>1.0629999999999999</v>
      </c>
      <c r="AQ50" s="737">
        <v>1.0629999999999999</v>
      </c>
      <c r="AR50" s="737">
        <v>1.069</v>
      </c>
      <c r="AS50" s="737">
        <v>1.07</v>
      </c>
      <c r="AT50" s="737">
        <v>1.071</v>
      </c>
      <c r="AU50" s="739">
        <f t="shared" ref="AU50:AU54" si="58">AV50</f>
        <v>1.0720000000000001</v>
      </c>
      <c r="AV50" s="747">
        <v>1.0720000000000001</v>
      </c>
    </row>
    <row r="51" spans="2:48" x14ac:dyDescent="0.2">
      <c r="B51" s="605" t="s">
        <v>408</v>
      </c>
      <c r="C51" s="736">
        <v>654.03300000000002</v>
      </c>
      <c r="D51" s="737">
        <v>664.23599999999999</v>
      </c>
      <c r="E51" s="737">
        <v>683.976</v>
      </c>
      <c r="F51" s="737">
        <v>701.274</v>
      </c>
      <c r="G51" s="738">
        <f t="shared" si="50"/>
        <v>710.24199999999996</v>
      </c>
      <c r="H51" s="737">
        <v>710.24199999999996</v>
      </c>
      <c r="I51" s="737">
        <v>733.07799999999997</v>
      </c>
      <c r="J51" s="737">
        <v>742.04100000000005</v>
      </c>
      <c r="K51" s="737">
        <v>754.03399999999999</v>
      </c>
      <c r="L51" s="739">
        <f t="shared" si="51"/>
        <v>774.13699999999994</v>
      </c>
      <c r="M51" s="737">
        <v>774.13699999999994</v>
      </c>
      <c r="N51" s="737">
        <v>784.17200000000003</v>
      </c>
      <c r="O51" s="737">
        <v>791.77700000000004</v>
      </c>
      <c r="P51" s="737">
        <v>797.505</v>
      </c>
      <c r="Q51" s="738">
        <f t="shared" si="52"/>
        <v>799.86199999999997</v>
      </c>
      <c r="R51" s="737">
        <v>799.86199999999997</v>
      </c>
      <c r="S51" s="737">
        <v>806.47900000000004</v>
      </c>
      <c r="T51" s="737">
        <v>817.38400000000001</v>
      </c>
      <c r="U51" s="737">
        <v>823.20600000000002</v>
      </c>
      <c r="V51" s="738">
        <f t="shared" si="53"/>
        <v>828.67600000000004</v>
      </c>
      <c r="W51" s="737">
        <v>828.67600000000004</v>
      </c>
      <c r="X51" s="737">
        <v>840.12</v>
      </c>
      <c r="Y51" s="737">
        <v>845.46100000000001</v>
      </c>
      <c r="Z51" s="737">
        <v>850.48500000000001</v>
      </c>
      <c r="AA51" s="739">
        <f t="shared" si="54"/>
        <v>855.98900000000003</v>
      </c>
      <c r="AB51" s="737">
        <v>855.98900000000003</v>
      </c>
      <c r="AC51" s="737">
        <v>861.64099999999996</v>
      </c>
      <c r="AD51" s="737">
        <v>866.803</v>
      </c>
      <c r="AE51" s="737">
        <v>871.77099999999996</v>
      </c>
      <c r="AF51" s="739">
        <f t="shared" si="55"/>
        <v>878.14800000000002</v>
      </c>
      <c r="AG51" s="737">
        <v>878.14800000000002</v>
      </c>
      <c r="AH51" s="737">
        <v>904.04499999999996</v>
      </c>
      <c r="AI51" s="737">
        <v>850.601</v>
      </c>
      <c r="AJ51" s="737">
        <v>856.04200000000003</v>
      </c>
      <c r="AK51" s="739">
        <f t="shared" si="56"/>
        <v>862.75800000000004</v>
      </c>
      <c r="AL51" s="737">
        <v>862.75800000000004</v>
      </c>
      <c r="AM51" s="737">
        <v>868.41</v>
      </c>
      <c r="AN51" s="737">
        <v>874.55100000000004</v>
      </c>
      <c r="AO51" s="737">
        <v>880.21500000000003</v>
      </c>
      <c r="AP51" s="739">
        <f t="shared" si="57"/>
        <v>887.48500000000001</v>
      </c>
      <c r="AQ51" s="737">
        <v>887.48500000000001</v>
      </c>
      <c r="AR51" s="737">
        <v>893.423</v>
      </c>
      <c r="AS51" s="737">
        <v>899.79200000000003</v>
      </c>
      <c r="AT51" s="737">
        <v>906.45799999999997</v>
      </c>
      <c r="AU51" s="739">
        <f t="shared" si="58"/>
        <v>913.44200000000001</v>
      </c>
      <c r="AV51" s="747">
        <v>913.44200000000001</v>
      </c>
    </row>
    <row r="52" spans="2:48" x14ac:dyDescent="0.2">
      <c r="B52" s="605" t="s">
        <v>409</v>
      </c>
      <c r="C52" s="736">
        <v>1060.211</v>
      </c>
      <c r="D52" s="737">
        <v>1080.3879999999999</v>
      </c>
      <c r="E52" s="737">
        <v>1107.066</v>
      </c>
      <c r="F52" s="737">
        <v>1123.4110000000001</v>
      </c>
      <c r="G52" s="738">
        <f t="shared" si="50"/>
        <v>1140.788</v>
      </c>
      <c r="H52" s="737">
        <v>1140.788</v>
      </c>
      <c r="I52" s="737">
        <v>1165.0119999999999</v>
      </c>
      <c r="J52" s="737">
        <v>1193.914</v>
      </c>
      <c r="K52" s="737">
        <v>1216.9780000000001</v>
      </c>
      <c r="L52" s="739">
        <f t="shared" si="51"/>
        <v>1238.0119999999999</v>
      </c>
      <c r="M52" s="737">
        <v>1238.0119999999999</v>
      </c>
      <c r="N52" s="737">
        <v>1261.5920000000001</v>
      </c>
      <c r="O52" s="737">
        <v>1288.2449999999999</v>
      </c>
      <c r="P52" s="737">
        <v>1301.2090000000001</v>
      </c>
      <c r="Q52" s="738">
        <f t="shared" si="52"/>
        <v>1345.6659999999999</v>
      </c>
      <c r="R52" s="737">
        <v>1345.6659999999999</v>
      </c>
      <c r="S52" s="737">
        <v>1354.855</v>
      </c>
      <c r="T52" s="737">
        <v>1369.912</v>
      </c>
      <c r="U52" s="737">
        <v>1383.3050000000001</v>
      </c>
      <c r="V52" s="738">
        <f t="shared" si="53"/>
        <v>1384.4939999999999</v>
      </c>
      <c r="W52" s="737">
        <v>1384.4939999999999</v>
      </c>
      <c r="X52" s="737">
        <v>1355.06</v>
      </c>
      <c r="Y52" s="737">
        <v>1375.671</v>
      </c>
      <c r="Z52" s="737">
        <v>1375.69</v>
      </c>
      <c r="AA52" s="739">
        <f t="shared" si="54"/>
        <v>1408.3330000000001</v>
      </c>
      <c r="AB52" s="737">
        <v>1408.3330000000001</v>
      </c>
      <c r="AC52" s="737">
        <v>1255.7940000000001</v>
      </c>
      <c r="AD52" s="737">
        <v>1184.9190000000001</v>
      </c>
      <c r="AE52" s="737">
        <v>1150.7260000000001</v>
      </c>
      <c r="AF52" s="739">
        <f t="shared" si="55"/>
        <v>1110.087</v>
      </c>
      <c r="AG52" s="737">
        <v>1110.087</v>
      </c>
      <c r="AH52" s="737">
        <v>1114.047</v>
      </c>
      <c r="AI52" s="737">
        <v>1134.1859999999999</v>
      </c>
      <c r="AJ52" s="737">
        <v>1167.001</v>
      </c>
      <c r="AK52" s="739">
        <f t="shared" si="56"/>
        <v>1169.1500000000001</v>
      </c>
      <c r="AL52" s="737">
        <v>1169.1500000000001</v>
      </c>
      <c r="AM52" s="737">
        <v>1192.335</v>
      </c>
      <c r="AN52" s="737">
        <v>1203.731</v>
      </c>
      <c r="AO52" s="737">
        <v>1187.28</v>
      </c>
      <c r="AP52" s="739">
        <f t="shared" si="57"/>
        <v>1170.078</v>
      </c>
      <c r="AQ52" s="737">
        <v>1170.078</v>
      </c>
      <c r="AR52" s="737">
        <v>1184.1990000000001</v>
      </c>
      <c r="AS52" s="737">
        <v>1213.115</v>
      </c>
      <c r="AT52" s="737">
        <v>1217.271</v>
      </c>
      <c r="AU52" s="739">
        <f t="shared" si="58"/>
        <v>1216.239</v>
      </c>
      <c r="AV52" s="747">
        <v>1216.239</v>
      </c>
    </row>
    <row r="53" spans="2:48" x14ac:dyDescent="0.2">
      <c r="B53" s="605" t="s">
        <v>410</v>
      </c>
      <c r="C53" s="752"/>
      <c r="D53" s="739"/>
      <c r="E53" s="739"/>
      <c r="F53" s="739"/>
      <c r="G53" s="738">
        <f t="shared" si="50"/>
        <v>0</v>
      </c>
      <c r="H53" s="739"/>
      <c r="I53" s="739"/>
      <c r="J53" s="739"/>
      <c r="K53" s="739"/>
      <c r="L53" s="739">
        <f t="shared" si="51"/>
        <v>0</v>
      </c>
      <c r="M53" s="739"/>
      <c r="N53" s="739"/>
      <c r="O53" s="737">
        <v>0</v>
      </c>
      <c r="P53" s="737">
        <v>-3.9E-2</v>
      </c>
      <c r="Q53" s="738">
        <f t="shared" si="52"/>
        <v>-8.7999999999999995E-2</v>
      </c>
      <c r="R53" s="737">
        <v>-8.7999999999999995E-2</v>
      </c>
      <c r="S53" s="737">
        <v>-0.33400000000000002</v>
      </c>
      <c r="T53" s="737">
        <v>-0.58299999999999996</v>
      </c>
      <c r="U53" s="737">
        <v>-0.311</v>
      </c>
      <c r="V53" s="738">
        <f t="shared" si="53"/>
        <v>-0.93799999999999994</v>
      </c>
      <c r="W53" s="737">
        <v>-0.93799999999999994</v>
      </c>
      <c r="X53" s="737">
        <v>-0.69899999999999995</v>
      </c>
      <c r="Y53" s="737">
        <v>-0.52400000000000002</v>
      </c>
      <c r="Z53" s="737">
        <v>-0.63300000000000001</v>
      </c>
      <c r="AA53" s="739">
        <f t="shared" si="54"/>
        <v>-0.435</v>
      </c>
      <c r="AB53" s="737">
        <v>-0.435</v>
      </c>
      <c r="AC53" s="737">
        <v>-3.7410000000000001</v>
      </c>
      <c r="AD53" s="737">
        <v>-4.8040000000000003</v>
      </c>
      <c r="AE53" s="737">
        <v>-4.8410000000000002</v>
      </c>
      <c r="AF53" s="739">
        <f t="shared" si="55"/>
        <v>-3.7850000000000001</v>
      </c>
      <c r="AG53" s="737">
        <v>-3.7850000000000001</v>
      </c>
      <c r="AH53" s="737">
        <v>-1.873</v>
      </c>
      <c r="AI53" s="737">
        <v>7.1999999999999995E-2</v>
      </c>
      <c r="AJ53" s="737">
        <v>-0.16600000000000001</v>
      </c>
      <c r="AK53" s="739">
        <f t="shared" si="56"/>
        <v>-0.28699999999999998</v>
      </c>
      <c r="AL53" s="737">
        <v>-0.28699999999999998</v>
      </c>
      <c r="AM53" s="737">
        <v>-3.2000000000000001E-2</v>
      </c>
      <c r="AN53" s="737">
        <v>-0.33200000000000002</v>
      </c>
      <c r="AO53" s="737">
        <v>-1.056</v>
      </c>
      <c r="AP53" s="739">
        <f t="shared" si="57"/>
        <v>-0.98199999999999998</v>
      </c>
      <c r="AQ53" s="737">
        <v>-0.98199999999999998</v>
      </c>
      <c r="AR53" s="737">
        <v>-0.83499999999999996</v>
      </c>
      <c r="AS53" s="737">
        <v>-0.65500000000000003</v>
      </c>
      <c r="AT53" s="737">
        <v>-1.0660000000000001</v>
      </c>
      <c r="AU53" s="739">
        <f t="shared" si="58"/>
        <v>-0.69399999999999995</v>
      </c>
      <c r="AV53" s="747">
        <v>-0.69399999999999995</v>
      </c>
    </row>
    <row r="54" spans="2:48" x14ac:dyDescent="0.2">
      <c r="B54" s="728" t="s">
        <v>411</v>
      </c>
      <c r="C54" s="741">
        <v>-1158.652</v>
      </c>
      <c r="D54" s="742">
        <v>-1239.0409999999999</v>
      </c>
      <c r="E54" s="742">
        <v>-1242.8489999999999</v>
      </c>
      <c r="F54" s="742">
        <v>-1246.076</v>
      </c>
      <c r="G54" s="743">
        <f t="shared" si="50"/>
        <v>-1263.422</v>
      </c>
      <c r="H54" s="742">
        <v>-1263.422</v>
      </c>
      <c r="I54" s="742">
        <v>-1313.4680000000001</v>
      </c>
      <c r="J54" s="742">
        <v>-1340.0519999999999</v>
      </c>
      <c r="K54" s="742">
        <v>-1382.423</v>
      </c>
      <c r="L54" s="744">
        <f t="shared" si="51"/>
        <v>-1409.8889999999999</v>
      </c>
      <c r="M54" s="742">
        <v>-1409.8889999999999</v>
      </c>
      <c r="N54" s="742">
        <v>-1419.18</v>
      </c>
      <c r="O54" s="742">
        <v>-1440.443</v>
      </c>
      <c r="P54" s="742">
        <v>-1516.269</v>
      </c>
      <c r="Q54" s="743">
        <f t="shared" si="52"/>
        <v>-1532.864</v>
      </c>
      <c r="R54" s="742">
        <v>-1532.864</v>
      </c>
      <c r="S54" s="742">
        <v>-1567.7670000000001</v>
      </c>
      <c r="T54" s="742">
        <v>-1574.893</v>
      </c>
      <c r="U54" s="742">
        <v>-1593.7570000000001</v>
      </c>
      <c r="V54" s="743">
        <f t="shared" si="53"/>
        <v>-1642.14</v>
      </c>
      <c r="W54" s="742">
        <v>-1642.14</v>
      </c>
      <c r="X54" s="742">
        <v>-1653.211</v>
      </c>
      <c r="Y54" s="742">
        <v>-1681.3040000000001</v>
      </c>
      <c r="Z54" s="742">
        <v>-1692.701</v>
      </c>
      <c r="AA54" s="744">
        <f t="shared" si="54"/>
        <v>-1693.1220000000001</v>
      </c>
      <c r="AB54" s="742">
        <v>-1693.1220000000001</v>
      </c>
      <c r="AC54" s="742">
        <v>-1695.7080000000001</v>
      </c>
      <c r="AD54" s="742">
        <v>-1695.9739999999999</v>
      </c>
      <c r="AE54" s="742">
        <v>-1696.364</v>
      </c>
      <c r="AF54" s="744">
        <f t="shared" si="55"/>
        <v>-1696.7429999999999</v>
      </c>
      <c r="AG54" s="742">
        <v>-1696.7429999999999</v>
      </c>
      <c r="AH54" s="742">
        <v>-1700.7</v>
      </c>
      <c r="AI54" s="742">
        <v>-1701.3030000000001</v>
      </c>
      <c r="AJ54" s="742">
        <v>-1701.9839999999999</v>
      </c>
      <c r="AK54" s="739">
        <f t="shared" si="56"/>
        <v>-1702.509</v>
      </c>
      <c r="AL54" s="742">
        <v>-1702.509</v>
      </c>
      <c r="AM54" s="742">
        <v>-1706.4469999999999</v>
      </c>
      <c r="AN54" s="742">
        <v>-1717.326</v>
      </c>
      <c r="AO54" s="742">
        <v>-1744.0050000000001</v>
      </c>
      <c r="AP54" s="744">
        <f t="shared" si="57"/>
        <v>-1765.6410000000001</v>
      </c>
      <c r="AQ54" s="742">
        <v>-1765.6410000000001</v>
      </c>
      <c r="AR54" s="742">
        <v>-1778.0170000000001</v>
      </c>
      <c r="AS54" s="742">
        <v>-1787.4190000000001</v>
      </c>
      <c r="AT54" s="742">
        <v>-1802.09</v>
      </c>
      <c r="AU54" s="744">
        <f t="shared" si="58"/>
        <v>-1811.9970000000001</v>
      </c>
      <c r="AV54" s="753">
        <v>-1811.9970000000001</v>
      </c>
    </row>
    <row r="55" spans="2:48" x14ac:dyDescent="0.2">
      <c r="B55" s="754" t="s">
        <v>412</v>
      </c>
      <c r="C55" s="755">
        <f t="shared" ref="C55:AV55" si="59">SUM(C50:C54)</f>
        <v>556.51</v>
      </c>
      <c r="D55" s="756">
        <f t="shared" si="59"/>
        <v>506.50400000000013</v>
      </c>
      <c r="E55" s="756">
        <f t="shared" si="59"/>
        <v>549.11900000000014</v>
      </c>
      <c r="F55" s="756">
        <f t="shared" si="59"/>
        <v>579.53899999999999</v>
      </c>
      <c r="G55" s="756">
        <f t="shared" si="59"/>
        <v>588.53899999999999</v>
      </c>
      <c r="H55" s="756">
        <f t="shared" si="59"/>
        <v>588.53899999999999</v>
      </c>
      <c r="I55" s="756">
        <f t="shared" si="59"/>
        <v>585.55999999999972</v>
      </c>
      <c r="J55" s="756">
        <f t="shared" si="59"/>
        <v>596.8420000000001</v>
      </c>
      <c r="K55" s="756">
        <f t="shared" si="59"/>
        <v>589.53100000000018</v>
      </c>
      <c r="L55" s="757">
        <f t="shared" si="59"/>
        <v>603.20700000000011</v>
      </c>
      <c r="M55" s="757">
        <f t="shared" si="59"/>
        <v>603.20700000000011</v>
      </c>
      <c r="N55" s="756">
        <f t="shared" si="59"/>
        <v>627.53500000000008</v>
      </c>
      <c r="O55" s="756">
        <f t="shared" si="59"/>
        <v>640.53100000000018</v>
      </c>
      <c r="P55" s="756">
        <f t="shared" si="59"/>
        <v>583.3589999999997</v>
      </c>
      <c r="Q55" s="757">
        <f t="shared" si="59"/>
        <v>613.52999999999975</v>
      </c>
      <c r="R55" s="757">
        <f t="shared" si="59"/>
        <v>613.52999999999975</v>
      </c>
      <c r="S55" s="756">
        <f t="shared" si="59"/>
        <v>594.19299999999998</v>
      </c>
      <c r="T55" s="756">
        <f t="shared" si="59"/>
        <v>612.7819999999997</v>
      </c>
      <c r="U55" s="756">
        <f t="shared" si="59"/>
        <v>613.40599999999995</v>
      </c>
      <c r="V55" s="757">
        <f t="shared" si="59"/>
        <v>571.05899999999951</v>
      </c>
      <c r="W55" s="757">
        <f t="shared" si="59"/>
        <v>571.05899999999951</v>
      </c>
      <c r="X55" s="757">
        <f t="shared" si="59"/>
        <v>542.24399999999991</v>
      </c>
      <c r="Y55" s="757">
        <f t="shared" si="59"/>
        <v>540.279</v>
      </c>
      <c r="Z55" s="757">
        <f t="shared" si="59"/>
        <v>533.81600000000026</v>
      </c>
      <c r="AA55" s="757">
        <f t="shared" si="59"/>
        <v>571.74199999999996</v>
      </c>
      <c r="AB55" s="757">
        <f t="shared" si="59"/>
        <v>571.74199999999996</v>
      </c>
      <c r="AC55" s="757">
        <f t="shared" si="59"/>
        <v>418.971</v>
      </c>
      <c r="AD55" s="757">
        <f t="shared" si="59"/>
        <v>351.92900000000031</v>
      </c>
      <c r="AE55" s="757">
        <f t="shared" si="59"/>
        <v>322.27600000000029</v>
      </c>
      <c r="AF55" s="757">
        <f t="shared" si="59"/>
        <v>288.69299999999998</v>
      </c>
      <c r="AG55" s="757">
        <f t="shared" si="59"/>
        <v>288.69299999999998</v>
      </c>
      <c r="AH55" s="757">
        <f t="shared" si="59"/>
        <v>316.5139999999999</v>
      </c>
      <c r="AI55" s="757">
        <f t="shared" si="59"/>
        <v>284.60799999999972</v>
      </c>
      <c r="AJ55" s="757">
        <f t="shared" si="59"/>
        <v>321.94600000000014</v>
      </c>
      <c r="AK55" s="757">
        <f t="shared" si="59"/>
        <v>330.16599999999994</v>
      </c>
      <c r="AL55" s="757">
        <f t="shared" si="59"/>
        <v>330.16599999999994</v>
      </c>
      <c r="AM55" s="757">
        <f t="shared" si="59"/>
        <v>355.32599999999979</v>
      </c>
      <c r="AN55" s="757">
        <f t="shared" si="59"/>
        <v>361.6840000000002</v>
      </c>
      <c r="AO55" s="757">
        <f t="shared" si="59"/>
        <v>323.49599999999964</v>
      </c>
      <c r="AP55" s="757">
        <f t="shared" si="59"/>
        <v>292.00300000000016</v>
      </c>
      <c r="AQ55" s="757">
        <f t="shared" si="59"/>
        <v>292.00300000000016</v>
      </c>
      <c r="AR55" s="757">
        <f t="shared" si="59"/>
        <v>299.83899999999971</v>
      </c>
      <c r="AS55" s="757">
        <f t="shared" si="59"/>
        <v>325.90299999999957</v>
      </c>
      <c r="AT55" s="757">
        <f t="shared" si="59"/>
        <v>321.64400000000046</v>
      </c>
      <c r="AU55" s="757">
        <f t="shared" si="59"/>
        <v>318.06200000000013</v>
      </c>
      <c r="AV55" s="758">
        <f t="shared" si="59"/>
        <v>318.06200000000013</v>
      </c>
    </row>
    <row r="56" spans="2:48" x14ac:dyDescent="0.2">
      <c r="B56" s="774" t="s">
        <v>413</v>
      </c>
      <c r="C56" s="777">
        <f>C55+C47</f>
        <v>1161.376</v>
      </c>
      <c r="D56" s="775">
        <f t="shared" ref="D56:AV56" si="60">D55+D47</f>
        <v>1128.7260000000001</v>
      </c>
      <c r="E56" s="775">
        <f t="shared" si="60"/>
        <v>1174.79</v>
      </c>
      <c r="F56" s="775">
        <f t="shared" si="60"/>
        <v>1175.856</v>
      </c>
      <c r="G56" s="775">
        <f t="shared" si="60"/>
        <v>1233.346</v>
      </c>
      <c r="H56" s="775">
        <f t="shared" si="60"/>
        <v>1233.346</v>
      </c>
      <c r="I56" s="775">
        <f t="shared" si="60"/>
        <v>1192.6509999999998</v>
      </c>
      <c r="J56" s="775">
        <f t="shared" si="60"/>
        <v>1204.318</v>
      </c>
      <c r="K56" s="775">
        <f t="shared" si="60"/>
        <v>1204.3790000000001</v>
      </c>
      <c r="L56" s="775">
        <f t="shared" si="60"/>
        <v>1293.319</v>
      </c>
      <c r="M56" s="775">
        <f t="shared" si="60"/>
        <v>1293.319</v>
      </c>
      <c r="N56" s="775">
        <f t="shared" si="60"/>
        <v>1276.828</v>
      </c>
      <c r="O56" s="775">
        <f t="shared" si="60"/>
        <v>1299.3150000000001</v>
      </c>
      <c r="P56" s="775">
        <f t="shared" si="60"/>
        <v>1275.3279999999997</v>
      </c>
      <c r="Q56" s="775">
        <f t="shared" si="60"/>
        <v>1333.0599999999997</v>
      </c>
      <c r="R56" s="775">
        <f t="shared" si="60"/>
        <v>1333.0599999999997</v>
      </c>
      <c r="S56" s="775">
        <f t="shared" si="60"/>
        <v>1287.3429999999998</v>
      </c>
      <c r="T56" s="775">
        <f t="shared" si="60"/>
        <v>1306.6389999999997</v>
      </c>
      <c r="U56" s="775">
        <f t="shared" si="60"/>
        <v>1308.0629999999999</v>
      </c>
      <c r="V56" s="775">
        <f t="shared" si="60"/>
        <v>1314.1329999999996</v>
      </c>
      <c r="W56" s="775">
        <f t="shared" si="60"/>
        <v>1314.1329999999996</v>
      </c>
      <c r="X56" s="775">
        <f t="shared" si="60"/>
        <v>2076.08</v>
      </c>
      <c r="Y56" s="775">
        <f t="shared" si="60"/>
        <v>2073.79</v>
      </c>
      <c r="Z56" s="775">
        <f t="shared" si="60"/>
        <v>2381.7700000000004</v>
      </c>
      <c r="AA56" s="775">
        <f t="shared" si="60"/>
        <v>2840.5929999999998</v>
      </c>
      <c r="AB56" s="775">
        <f t="shared" si="60"/>
        <v>2840.5929999999998</v>
      </c>
      <c r="AC56" s="775">
        <f t="shared" si="60"/>
        <v>2675.7820000000002</v>
      </c>
      <c r="AD56" s="775">
        <f t="shared" si="60"/>
        <v>2867.2809999999999</v>
      </c>
      <c r="AE56" s="775">
        <f t="shared" si="60"/>
        <v>2828.0630000000006</v>
      </c>
      <c r="AF56" s="775">
        <f t="shared" si="60"/>
        <v>2747.0540000000001</v>
      </c>
      <c r="AG56" s="775">
        <f t="shared" si="60"/>
        <v>2747.0540000000001</v>
      </c>
      <c r="AH56" s="775">
        <f t="shared" si="60"/>
        <v>2735.4389999999994</v>
      </c>
      <c r="AI56" s="775">
        <f t="shared" si="60"/>
        <v>2722.2899999999995</v>
      </c>
      <c r="AJ56" s="775">
        <f t="shared" si="60"/>
        <v>2717.7179999999998</v>
      </c>
      <c r="AK56" s="775">
        <f t="shared" si="60"/>
        <v>2798.125</v>
      </c>
      <c r="AL56" s="775">
        <f t="shared" si="60"/>
        <v>2798.125</v>
      </c>
      <c r="AM56" s="775">
        <f t="shared" si="60"/>
        <v>2753.741</v>
      </c>
      <c r="AN56" s="775">
        <f t="shared" si="60"/>
        <v>2772.433</v>
      </c>
      <c r="AO56" s="775">
        <f t="shared" si="60"/>
        <v>2734.0739999999996</v>
      </c>
      <c r="AP56" s="775">
        <f t="shared" si="60"/>
        <v>2775.2200000000003</v>
      </c>
      <c r="AQ56" s="775">
        <f t="shared" si="60"/>
        <v>2775.2200000000003</v>
      </c>
      <c r="AR56" s="775">
        <f t="shared" si="60"/>
        <v>2742.4879999999994</v>
      </c>
      <c r="AS56" s="775">
        <f t="shared" si="60"/>
        <v>2769.7079999999996</v>
      </c>
      <c r="AT56" s="775">
        <f t="shared" si="60"/>
        <v>2776.8900000000003</v>
      </c>
      <c r="AU56" s="775">
        <f t="shared" si="60"/>
        <v>2840.3829999999998</v>
      </c>
      <c r="AV56" s="776">
        <f t="shared" si="60"/>
        <v>2840.3829999999998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B4277-42D3-4290-B342-2D45C006063F}">
  <dimension ref="B2:AV74"/>
  <sheetViews>
    <sheetView showGridLines="0" topLeftCell="A8" zoomScale="86" workbookViewId="0">
      <selection activeCell="B24" sqref="B24"/>
    </sheetView>
  </sheetViews>
  <sheetFormatPr baseColWidth="10" defaultColWidth="9.1640625" defaultRowHeight="15" outlineLevelCol="1" x14ac:dyDescent="0.2"/>
  <cols>
    <col min="1" max="1" width="9.1640625" style="689"/>
    <col min="2" max="2" width="85" style="689" bestFit="1" customWidth="1"/>
    <col min="3" max="3" width="9.1640625" style="689"/>
    <col min="4" max="7" width="9.1640625" style="689" customWidth="1" outlineLevel="1"/>
    <col min="8" max="8" width="9.1640625" style="689"/>
    <col min="9" max="12" width="9.1640625" style="689" customWidth="1" outlineLevel="1"/>
    <col min="13" max="13" width="9.1640625" style="689"/>
    <col min="14" max="17" width="9.1640625" style="689" customWidth="1" outlineLevel="1"/>
    <col min="18" max="18" width="9.1640625" style="689"/>
    <col min="19" max="22" width="9.1640625" style="689" customWidth="1" outlineLevel="1"/>
    <col min="23" max="23" width="9.1640625" style="689"/>
    <col min="24" max="27" width="9.1640625" style="689" customWidth="1" outlineLevel="1"/>
    <col min="28" max="28" width="9.1640625" style="689"/>
    <col min="29" max="32" width="9.1640625" style="689" customWidth="1" outlineLevel="1"/>
    <col min="33" max="33" width="9.1640625" style="689"/>
    <col min="34" max="37" width="9.1640625" style="689" customWidth="1" outlineLevel="1"/>
    <col min="38" max="38" width="9.1640625" style="689"/>
    <col min="39" max="42" width="9.1640625" style="689" customWidth="1" outlineLevel="1"/>
    <col min="43" max="43" width="9.1640625" style="689"/>
    <col min="44" max="47" width="9.1640625" style="689" customWidth="1" outlineLevel="1"/>
    <col min="48" max="16384" width="9.1640625" style="689"/>
  </cols>
  <sheetData>
    <row r="2" spans="2:48" ht="16" thickBot="1" x14ac:dyDescent="0.25"/>
    <row r="3" spans="2:48" x14ac:dyDescent="0.2">
      <c r="B3" s="1510" t="s">
        <v>155</v>
      </c>
      <c r="C3" s="1511">
        <v>42003</v>
      </c>
      <c r="D3" s="1511">
        <v>42094</v>
      </c>
      <c r="E3" s="1511">
        <v>42185</v>
      </c>
      <c r="F3" s="1511">
        <v>42276</v>
      </c>
      <c r="G3" s="1511">
        <v>42367</v>
      </c>
      <c r="H3" s="1511">
        <v>42367</v>
      </c>
      <c r="I3" s="1511">
        <v>42458</v>
      </c>
      <c r="J3" s="1511">
        <v>42549</v>
      </c>
      <c r="K3" s="1511">
        <v>42640</v>
      </c>
      <c r="L3" s="1511">
        <v>42738</v>
      </c>
      <c r="M3" s="1511">
        <v>42738</v>
      </c>
      <c r="N3" s="1511">
        <v>42829</v>
      </c>
      <c r="O3" s="1511">
        <v>42920</v>
      </c>
      <c r="P3" s="1511">
        <v>43011</v>
      </c>
      <c r="Q3" s="1511">
        <v>43102</v>
      </c>
      <c r="R3" s="1511">
        <v>43102</v>
      </c>
      <c r="S3" s="1511">
        <v>43193</v>
      </c>
      <c r="T3" s="1511">
        <v>43284</v>
      </c>
      <c r="U3" s="1511">
        <v>43375</v>
      </c>
      <c r="V3" s="1511">
        <v>43466</v>
      </c>
      <c r="W3" s="1511">
        <v>43466</v>
      </c>
      <c r="X3" s="1511">
        <v>43557</v>
      </c>
      <c r="Y3" s="1511">
        <v>43648</v>
      </c>
      <c r="Z3" s="1511">
        <v>43739</v>
      </c>
      <c r="AA3" s="1511">
        <v>43830</v>
      </c>
      <c r="AB3" s="1511">
        <v>43830</v>
      </c>
      <c r="AC3" s="1511">
        <v>43921</v>
      </c>
      <c r="AD3" s="1511">
        <v>44012</v>
      </c>
      <c r="AE3" s="1511">
        <v>44103</v>
      </c>
      <c r="AF3" s="1511">
        <v>44194</v>
      </c>
      <c r="AG3" s="1511">
        <v>44194</v>
      </c>
      <c r="AH3" s="1511">
        <v>44285</v>
      </c>
      <c r="AI3" s="1511">
        <v>44376</v>
      </c>
      <c r="AJ3" s="1511">
        <v>44467</v>
      </c>
      <c r="AK3" s="1511">
        <v>44558</v>
      </c>
      <c r="AL3" s="1511">
        <v>44558</v>
      </c>
      <c r="AM3" s="1511">
        <v>44649</v>
      </c>
      <c r="AN3" s="1511">
        <v>44740</v>
      </c>
      <c r="AO3" s="1511">
        <v>44831</v>
      </c>
      <c r="AP3" s="1511">
        <v>44929</v>
      </c>
      <c r="AQ3" s="1511">
        <v>44929</v>
      </c>
      <c r="AR3" s="1511">
        <v>45019</v>
      </c>
      <c r="AS3" s="1511">
        <v>45111</v>
      </c>
      <c r="AT3" s="1511">
        <v>45202</v>
      </c>
      <c r="AU3" s="1511">
        <v>45293</v>
      </c>
      <c r="AV3" s="1529">
        <v>45293</v>
      </c>
    </row>
    <row r="4" spans="2:48" x14ac:dyDescent="0.2">
      <c r="B4" s="690"/>
      <c r="C4" s="593" t="s">
        <v>161</v>
      </c>
      <c r="D4" s="593" t="s">
        <v>162</v>
      </c>
      <c r="E4" s="593" t="s">
        <v>163</v>
      </c>
      <c r="F4" s="593" t="s">
        <v>164</v>
      </c>
      <c r="G4" s="593" t="s">
        <v>165</v>
      </c>
      <c r="H4" s="593" t="s">
        <v>166</v>
      </c>
      <c r="I4" s="593" t="s">
        <v>167</v>
      </c>
      <c r="J4" s="593" t="s">
        <v>168</v>
      </c>
      <c r="K4" s="593" t="s">
        <v>169</v>
      </c>
      <c r="L4" s="593" t="s">
        <v>170</v>
      </c>
      <c r="M4" s="593" t="s">
        <v>171</v>
      </c>
      <c r="N4" s="593" t="s">
        <v>172</v>
      </c>
      <c r="O4" s="593" t="s">
        <v>173</v>
      </c>
      <c r="P4" s="593" t="s">
        <v>174</v>
      </c>
      <c r="Q4" s="593" t="s">
        <v>175</v>
      </c>
      <c r="R4" s="593" t="s">
        <v>176</v>
      </c>
      <c r="S4" s="593" t="s">
        <v>177</v>
      </c>
      <c r="T4" s="593" t="s">
        <v>178</v>
      </c>
      <c r="U4" s="593" t="s">
        <v>179</v>
      </c>
      <c r="V4" s="593" t="s">
        <v>180</v>
      </c>
      <c r="W4" s="593" t="s">
        <v>181</v>
      </c>
      <c r="X4" s="593" t="s">
        <v>182</v>
      </c>
      <c r="Y4" s="593" t="s">
        <v>183</v>
      </c>
      <c r="Z4" s="593" t="s">
        <v>184</v>
      </c>
      <c r="AA4" s="593" t="s">
        <v>185</v>
      </c>
      <c r="AB4" s="593" t="s">
        <v>186</v>
      </c>
      <c r="AC4" s="593" t="s">
        <v>187</v>
      </c>
      <c r="AD4" s="593" t="s">
        <v>188</v>
      </c>
      <c r="AE4" s="593" t="s">
        <v>189</v>
      </c>
      <c r="AF4" s="593" t="s">
        <v>190</v>
      </c>
      <c r="AG4" s="593" t="s">
        <v>191</v>
      </c>
      <c r="AH4" s="593" t="s">
        <v>192</v>
      </c>
      <c r="AI4" s="593" t="s">
        <v>193</v>
      </c>
      <c r="AJ4" s="593" t="s">
        <v>194</v>
      </c>
      <c r="AK4" s="593" t="s">
        <v>195</v>
      </c>
      <c r="AL4" s="593" t="s">
        <v>196</v>
      </c>
      <c r="AM4" s="593" t="s">
        <v>197</v>
      </c>
      <c r="AN4" s="593" t="s">
        <v>198</v>
      </c>
      <c r="AO4" s="593" t="s">
        <v>199</v>
      </c>
      <c r="AP4" s="593" t="s">
        <v>200</v>
      </c>
      <c r="AQ4" s="593" t="s">
        <v>201</v>
      </c>
      <c r="AR4" s="593" t="s">
        <v>202</v>
      </c>
      <c r="AS4" s="593" t="s">
        <v>203</v>
      </c>
      <c r="AT4" s="593" t="s">
        <v>204</v>
      </c>
      <c r="AU4" s="593" t="s">
        <v>205</v>
      </c>
      <c r="AV4" s="1530" t="s">
        <v>206</v>
      </c>
    </row>
    <row r="5" spans="2:48" x14ac:dyDescent="0.2">
      <c r="B5" s="690"/>
      <c r="AV5" s="691"/>
    </row>
    <row r="6" spans="2:48" x14ac:dyDescent="0.2">
      <c r="B6" s="1531" t="s">
        <v>370</v>
      </c>
      <c r="C6" s="1532"/>
      <c r="D6" s="692"/>
      <c r="E6" s="692"/>
      <c r="F6" s="692"/>
      <c r="G6" s="692"/>
      <c r="H6" s="692"/>
      <c r="I6" s="692"/>
      <c r="J6" s="692"/>
      <c r="K6" s="692"/>
      <c r="L6" s="692"/>
      <c r="M6" s="692"/>
      <c r="N6" s="692"/>
      <c r="O6" s="692"/>
      <c r="P6" s="692"/>
      <c r="Q6" s="692"/>
      <c r="R6" s="692"/>
      <c r="S6" s="692"/>
      <c r="T6" s="692"/>
      <c r="U6" s="692"/>
      <c r="V6" s="692"/>
      <c r="W6" s="692"/>
      <c r="X6" s="692"/>
      <c r="Y6" s="692"/>
      <c r="Z6" s="692"/>
      <c r="AA6" s="692"/>
      <c r="AB6" s="692"/>
      <c r="AC6" s="692"/>
      <c r="AD6" s="692"/>
      <c r="AE6" s="692"/>
      <c r="AF6" s="692"/>
      <c r="AG6" s="692"/>
      <c r="AH6" s="692"/>
      <c r="AI6" s="692"/>
      <c r="AJ6" s="692"/>
      <c r="AK6" s="692"/>
      <c r="AL6" s="692"/>
      <c r="AM6" s="692"/>
      <c r="AN6" s="692"/>
      <c r="AO6" s="692"/>
      <c r="AP6" s="692"/>
      <c r="AQ6" s="692"/>
      <c r="AR6" s="692"/>
      <c r="AS6" s="692"/>
      <c r="AT6" s="692"/>
      <c r="AU6" s="692"/>
      <c r="AV6" s="693"/>
    </row>
    <row r="7" spans="2:48" x14ac:dyDescent="0.2">
      <c r="B7" s="1533"/>
      <c r="C7" s="1534"/>
      <c r="AV7" s="691"/>
    </row>
    <row r="8" spans="2:48" x14ac:dyDescent="0.2">
      <c r="B8" s="1535" t="s">
        <v>101</v>
      </c>
      <c r="C8" s="698"/>
      <c r="D8" s="698"/>
      <c r="E8" s="698"/>
      <c r="F8" s="698"/>
      <c r="G8" s="698"/>
      <c r="H8" s="698"/>
      <c r="I8" s="698"/>
      <c r="J8" s="698"/>
      <c r="K8" s="698"/>
      <c r="L8" s="698"/>
      <c r="M8" s="698"/>
      <c r="N8" s="698"/>
      <c r="O8" s="698"/>
      <c r="P8" s="698"/>
      <c r="Q8" s="698"/>
      <c r="R8" s="698"/>
      <c r="S8" s="698"/>
      <c r="T8" s="698"/>
      <c r="U8" s="698"/>
      <c r="V8" s="698"/>
      <c r="W8" s="698"/>
      <c r="X8" s="698"/>
      <c r="Y8" s="698"/>
      <c r="Z8" s="698"/>
      <c r="AA8" s="698"/>
      <c r="AB8" s="698"/>
      <c r="AC8" s="698"/>
      <c r="AD8" s="698"/>
      <c r="AE8" s="698"/>
      <c r="AF8" s="698"/>
      <c r="AG8" s="698"/>
      <c r="AH8" s="698"/>
      <c r="AI8" s="698"/>
      <c r="AJ8" s="698"/>
      <c r="AK8" s="698"/>
      <c r="AL8" s="698"/>
      <c r="AM8" s="698"/>
      <c r="AN8" s="698"/>
      <c r="AO8" s="698"/>
      <c r="AP8" s="698"/>
      <c r="AQ8" s="698"/>
      <c r="AR8" s="698"/>
      <c r="AS8" s="698"/>
      <c r="AT8" s="698"/>
      <c r="AU8" s="698"/>
      <c r="AV8" s="699"/>
    </row>
    <row r="9" spans="2:48" x14ac:dyDescent="0.2">
      <c r="B9" s="694" t="s">
        <v>414</v>
      </c>
      <c r="C9" s="713">
        <v>101.276</v>
      </c>
      <c r="D9" s="714">
        <v>28.422999999999998</v>
      </c>
      <c r="E9" s="714">
        <v>63.146999999999998</v>
      </c>
      <c r="F9" s="714">
        <v>89.322999999999993</v>
      </c>
      <c r="G9" s="715">
        <f>H9</f>
        <v>116.523</v>
      </c>
      <c r="H9" s="714">
        <v>116.523</v>
      </c>
      <c r="I9" s="714">
        <v>33.954000000000001</v>
      </c>
      <c r="J9" s="714">
        <v>72.539000000000001</v>
      </c>
      <c r="K9" s="714">
        <v>107.113</v>
      </c>
      <c r="L9" s="716">
        <f>M9</f>
        <v>139.494</v>
      </c>
      <c r="M9" s="714">
        <v>139.494</v>
      </c>
      <c r="N9" s="714">
        <v>35.042999999999999</v>
      </c>
      <c r="O9" s="714">
        <v>73.209000000000003</v>
      </c>
      <c r="P9" s="714">
        <v>99.653999999999996</v>
      </c>
      <c r="Q9" s="716">
        <f>R9</f>
        <v>157.392</v>
      </c>
      <c r="R9" s="714">
        <v>157.392</v>
      </c>
      <c r="S9" s="714">
        <v>26.029</v>
      </c>
      <c r="T9" s="714">
        <v>54.381999999999998</v>
      </c>
      <c r="U9" s="714">
        <v>82.856999999999999</v>
      </c>
      <c r="V9" s="716">
        <f>W9</f>
        <v>99.034999999999997</v>
      </c>
      <c r="W9" s="714">
        <v>99.034999999999997</v>
      </c>
      <c r="X9" s="714">
        <v>26.984000000000002</v>
      </c>
      <c r="Y9" s="714">
        <v>62.494</v>
      </c>
      <c r="Z9" s="714">
        <v>78.584000000000003</v>
      </c>
      <c r="AA9" s="716">
        <f>AB9</f>
        <v>127.29300000000001</v>
      </c>
      <c r="AB9" s="714">
        <v>127.29300000000001</v>
      </c>
      <c r="AC9" s="714">
        <v>-136.16300000000001</v>
      </c>
      <c r="AD9" s="714">
        <v>-192.702</v>
      </c>
      <c r="AE9" s="714">
        <v>-221.048</v>
      </c>
      <c r="AF9" s="716">
        <f>AG9</f>
        <v>-253.36500000000001</v>
      </c>
      <c r="AG9" s="714">
        <v>-253.36500000000001</v>
      </c>
      <c r="AH9" s="714">
        <v>3.8679999999999999</v>
      </c>
      <c r="AI9" s="714">
        <v>37.582999999999998</v>
      </c>
      <c r="AJ9" s="714">
        <v>70.263000000000005</v>
      </c>
      <c r="AK9" s="716">
        <f>AL9</f>
        <v>72.373000000000005</v>
      </c>
      <c r="AL9" s="714">
        <v>72.373000000000005</v>
      </c>
      <c r="AM9" s="714">
        <v>23.163</v>
      </c>
      <c r="AN9" s="714">
        <v>48.819000000000003</v>
      </c>
      <c r="AO9" s="714">
        <v>46.420999999999999</v>
      </c>
      <c r="AP9" s="716">
        <f>AQ9</f>
        <v>43.122999999999998</v>
      </c>
      <c r="AQ9" s="714">
        <v>43.122999999999998</v>
      </c>
      <c r="AR9" s="714">
        <v>28.05</v>
      </c>
      <c r="AS9" s="714">
        <v>70.724999999999994</v>
      </c>
      <c r="AT9" s="714">
        <v>88.67</v>
      </c>
      <c r="AU9" s="716">
        <f>AV9</f>
        <v>101.351</v>
      </c>
      <c r="AV9" s="717">
        <v>101.351</v>
      </c>
    </row>
    <row r="10" spans="2:48" x14ac:dyDescent="0.2">
      <c r="B10" s="694" t="s">
        <v>415</v>
      </c>
      <c r="C10" s="718">
        <v>82.834999999999994</v>
      </c>
      <c r="D10" s="703">
        <v>21.177</v>
      </c>
      <c r="E10" s="703">
        <v>42.335000000000001</v>
      </c>
      <c r="F10" s="703">
        <v>63.652000000000001</v>
      </c>
      <c r="G10" s="719">
        <f t="shared" ref="G10:G13" si="0">H10</f>
        <v>85.563000000000002</v>
      </c>
      <c r="H10" s="703">
        <v>85.563000000000002</v>
      </c>
      <c r="I10" s="703">
        <v>21.463999999999999</v>
      </c>
      <c r="J10" s="703">
        <v>42.924999999999997</v>
      </c>
      <c r="K10" s="703">
        <v>64.558999999999997</v>
      </c>
      <c r="L10" s="720">
        <f t="shared" ref="L10:L13" si="1">M10</f>
        <v>88.01</v>
      </c>
      <c r="M10" s="703">
        <v>88.01</v>
      </c>
      <c r="N10" s="703">
        <v>23.196000000000002</v>
      </c>
      <c r="O10" s="703">
        <v>46.493000000000002</v>
      </c>
      <c r="P10" s="703">
        <v>69.492000000000004</v>
      </c>
      <c r="Q10" s="720">
        <f t="shared" ref="Q10:Q13" si="2">R10</f>
        <v>92.728999999999999</v>
      </c>
      <c r="R10" s="703">
        <v>92.728999999999999</v>
      </c>
      <c r="S10" s="703">
        <v>24.001999999999999</v>
      </c>
      <c r="T10" s="703">
        <v>47.728999999999999</v>
      </c>
      <c r="U10" s="703">
        <v>71.819000000000003</v>
      </c>
      <c r="V10" s="720">
        <f t="shared" ref="V10:V17" si="3">W10</f>
        <v>95.975999999999999</v>
      </c>
      <c r="W10" s="703">
        <v>95.975999999999999</v>
      </c>
      <c r="X10" s="703">
        <v>21.361999999999998</v>
      </c>
      <c r="Y10" s="703">
        <v>43.021000000000001</v>
      </c>
      <c r="Z10" s="703">
        <v>64.363</v>
      </c>
      <c r="AA10" s="720">
        <f t="shared" ref="AA10:AA17" si="4">AB10</f>
        <v>88.132999999999996</v>
      </c>
      <c r="AB10" s="703">
        <v>88.132999999999996</v>
      </c>
      <c r="AC10" s="703">
        <v>23.562000000000001</v>
      </c>
      <c r="AD10" s="703">
        <v>46.152000000000001</v>
      </c>
      <c r="AE10" s="703">
        <v>68.802999999999997</v>
      </c>
      <c r="AF10" s="720">
        <f t="shared" ref="AF10:AF17" si="5">AG10</f>
        <v>91.415000000000006</v>
      </c>
      <c r="AG10" s="703">
        <v>91.415000000000006</v>
      </c>
      <c r="AH10" s="703">
        <v>22.006</v>
      </c>
      <c r="AI10" s="703">
        <v>44.228999999999999</v>
      </c>
      <c r="AJ10" s="703">
        <v>66.805000000000007</v>
      </c>
      <c r="AK10" s="720">
        <f t="shared" ref="AK10:AK17" si="6">AL10</f>
        <v>89.653999999999996</v>
      </c>
      <c r="AL10" s="703">
        <v>89.653999999999996</v>
      </c>
      <c r="AM10" s="703">
        <v>21.504999999999999</v>
      </c>
      <c r="AN10" s="703">
        <v>44.113</v>
      </c>
      <c r="AO10" s="703">
        <v>66.763999999999996</v>
      </c>
      <c r="AP10" s="720">
        <f t="shared" ref="AP10:AP17" si="7">AQ10</f>
        <v>92.38</v>
      </c>
      <c r="AQ10" s="703">
        <v>92.38</v>
      </c>
      <c r="AR10" s="703">
        <v>22.954999999999998</v>
      </c>
      <c r="AS10" s="703">
        <v>46.286999999999999</v>
      </c>
      <c r="AT10" s="703">
        <v>69.123999999999995</v>
      </c>
      <c r="AU10" s="720">
        <f t="shared" ref="AU10:AU17" si="8">AV10</f>
        <v>93.135999999999996</v>
      </c>
      <c r="AV10" s="700">
        <v>93.135999999999996</v>
      </c>
    </row>
    <row r="11" spans="2:48" x14ac:dyDescent="0.2">
      <c r="B11" s="694" t="s">
        <v>416</v>
      </c>
      <c r="C11" s="718">
        <v>0.245</v>
      </c>
      <c r="D11" s="720"/>
      <c r="E11" s="720"/>
      <c r="F11" s="703">
        <v>6.0110000000000001</v>
      </c>
      <c r="G11" s="719">
        <f t="shared" si="0"/>
        <v>6.0110000000000001</v>
      </c>
      <c r="H11" s="703">
        <v>6.0110000000000001</v>
      </c>
      <c r="I11" s="720"/>
      <c r="J11" s="720"/>
      <c r="K11" s="720"/>
      <c r="L11" s="720">
        <f t="shared" si="1"/>
        <v>0.114</v>
      </c>
      <c r="M11" s="703">
        <v>0.114</v>
      </c>
      <c r="N11" s="703">
        <v>0.78600000000000003</v>
      </c>
      <c r="O11" s="703">
        <v>1.4890000000000001</v>
      </c>
      <c r="P11" s="703">
        <v>1.4910000000000001</v>
      </c>
      <c r="Q11" s="720">
        <f t="shared" si="2"/>
        <v>10.586</v>
      </c>
      <c r="R11" s="703">
        <v>10.586</v>
      </c>
      <c r="S11" s="703">
        <v>0</v>
      </c>
      <c r="T11" s="703">
        <v>2.4929999999999999</v>
      </c>
      <c r="U11" s="703">
        <v>2.532</v>
      </c>
      <c r="V11" s="720">
        <f t="shared" si="3"/>
        <v>16.411000000000001</v>
      </c>
      <c r="W11" s="703">
        <v>16.411000000000001</v>
      </c>
      <c r="X11" s="720"/>
      <c r="Y11" s="720"/>
      <c r="Z11" s="720"/>
      <c r="AA11" s="720">
        <f t="shared" si="4"/>
        <v>16.222999999999999</v>
      </c>
      <c r="AB11" s="703">
        <v>16.222999999999999</v>
      </c>
      <c r="AC11" s="703">
        <v>191.571</v>
      </c>
      <c r="AD11" s="703">
        <v>193.88900000000001</v>
      </c>
      <c r="AE11" s="703">
        <v>195.98099999999999</v>
      </c>
      <c r="AF11" s="720">
        <f t="shared" si="5"/>
        <v>208.066</v>
      </c>
      <c r="AG11" s="703">
        <v>208.066</v>
      </c>
      <c r="AH11" s="703">
        <v>0.43099999999999999</v>
      </c>
      <c r="AI11" s="703">
        <v>0.39400000000000002</v>
      </c>
      <c r="AJ11" s="703">
        <v>0.39400000000000002</v>
      </c>
      <c r="AK11" s="720">
        <f t="shared" si="6"/>
        <v>17.937000000000001</v>
      </c>
      <c r="AL11" s="703">
        <v>17.937000000000001</v>
      </c>
      <c r="AM11" s="703">
        <v>0.14899999999999999</v>
      </c>
      <c r="AN11" s="703">
        <v>0.25</v>
      </c>
      <c r="AO11" s="703">
        <v>0.25</v>
      </c>
      <c r="AP11" s="720">
        <f t="shared" si="7"/>
        <v>31.327000000000002</v>
      </c>
      <c r="AQ11" s="703">
        <v>31.327000000000002</v>
      </c>
      <c r="AR11" s="703">
        <v>-1.4E-2</v>
      </c>
      <c r="AS11" s="703">
        <v>-0.76800000000000002</v>
      </c>
      <c r="AT11" s="703">
        <v>-0.753</v>
      </c>
      <c r="AU11" s="720">
        <f t="shared" si="8"/>
        <v>26.998000000000001</v>
      </c>
      <c r="AV11" s="700">
        <v>26.998000000000001</v>
      </c>
    </row>
    <row r="12" spans="2:48" x14ac:dyDescent="0.2">
      <c r="B12" s="694" t="s">
        <v>379</v>
      </c>
      <c r="C12" s="718">
        <v>0.20399999999999999</v>
      </c>
      <c r="D12" s="703">
        <v>1.2150000000000001</v>
      </c>
      <c r="E12" s="703">
        <v>1.1459999999999999</v>
      </c>
      <c r="F12" s="703">
        <v>0.67500000000000004</v>
      </c>
      <c r="G12" s="719">
        <f t="shared" si="0"/>
        <v>1.1839999999999999</v>
      </c>
      <c r="H12" s="703">
        <v>1.1839999999999999</v>
      </c>
      <c r="I12" s="703">
        <v>3.161</v>
      </c>
      <c r="J12" s="703">
        <v>1.2130000000000001</v>
      </c>
      <c r="K12" s="703">
        <v>0.56399999999999995</v>
      </c>
      <c r="L12" s="720">
        <f t="shared" si="1"/>
        <v>-1.0049999999999999</v>
      </c>
      <c r="M12" s="703">
        <v>-1.0049999999999999</v>
      </c>
      <c r="N12" s="703">
        <v>3.1859999999999999</v>
      </c>
      <c r="O12" s="703">
        <v>2.2639999999999998</v>
      </c>
      <c r="P12" s="703">
        <v>1.139</v>
      </c>
      <c r="Q12" s="720">
        <f t="shared" si="2"/>
        <v>-25.18</v>
      </c>
      <c r="R12" s="703">
        <v>-25.18</v>
      </c>
      <c r="S12" s="703">
        <v>1.157</v>
      </c>
      <c r="T12" s="703">
        <v>0.80500000000000005</v>
      </c>
      <c r="U12" s="703">
        <v>0.91600000000000004</v>
      </c>
      <c r="V12" s="720">
        <f t="shared" si="3"/>
        <v>-5.51</v>
      </c>
      <c r="W12" s="703">
        <v>-5.51</v>
      </c>
      <c r="X12" s="703">
        <v>1.792</v>
      </c>
      <c r="Y12" s="703">
        <v>-2.2890000000000001</v>
      </c>
      <c r="Z12" s="703">
        <v>-2.64</v>
      </c>
      <c r="AA12" s="720">
        <f t="shared" si="4"/>
        <v>-2.1970000000000001</v>
      </c>
      <c r="AB12" s="703">
        <v>-2.1970000000000001</v>
      </c>
      <c r="AC12" s="703">
        <v>-11.231</v>
      </c>
      <c r="AD12" s="703">
        <v>-11.173</v>
      </c>
      <c r="AE12" s="703">
        <v>-52.978999999999999</v>
      </c>
      <c r="AF12" s="720">
        <f t="shared" si="5"/>
        <v>-67.227999999999994</v>
      </c>
      <c r="AG12" s="703">
        <v>-67.227999999999994</v>
      </c>
      <c r="AH12" s="703">
        <v>-1.508</v>
      </c>
      <c r="AI12" s="703">
        <v>-2.895</v>
      </c>
      <c r="AJ12" s="703">
        <v>-5.2270000000000003</v>
      </c>
      <c r="AK12" s="720">
        <f t="shared" si="6"/>
        <v>-20.849</v>
      </c>
      <c r="AL12" s="703">
        <v>-20.849</v>
      </c>
      <c r="AM12" s="703">
        <v>3.8690000000000002</v>
      </c>
      <c r="AN12" s="703">
        <v>0.27900000000000003</v>
      </c>
      <c r="AO12" s="703">
        <v>-2.633</v>
      </c>
      <c r="AP12" s="720">
        <f t="shared" si="7"/>
        <v>-18.646000000000001</v>
      </c>
      <c r="AQ12" s="703">
        <v>-18.646000000000001</v>
      </c>
      <c r="AR12" s="703">
        <v>3.1920000000000002</v>
      </c>
      <c r="AS12" s="703">
        <v>2.4689999999999999</v>
      </c>
      <c r="AT12" s="703">
        <v>1.613</v>
      </c>
      <c r="AU12" s="720">
        <f t="shared" si="8"/>
        <v>-15.715</v>
      </c>
      <c r="AV12" s="700">
        <v>-15.715</v>
      </c>
    </row>
    <row r="13" spans="2:48" x14ac:dyDescent="0.2">
      <c r="B13" s="694" t="s">
        <v>417</v>
      </c>
      <c r="C13" s="718">
        <v>16.817</v>
      </c>
      <c r="D13" s="703">
        <v>4.7309999999999999</v>
      </c>
      <c r="E13" s="703">
        <v>9.6769999999999996</v>
      </c>
      <c r="F13" s="703">
        <v>14.548999999999999</v>
      </c>
      <c r="G13" s="719">
        <f t="shared" si="0"/>
        <v>20.053000000000001</v>
      </c>
      <c r="H13" s="703">
        <v>20.053000000000001</v>
      </c>
      <c r="I13" s="703">
        <v>5.1849999999999996</v>
      </c>
      <c r="J13" s="703">
        <v>11.304</v>
      </c>
      <c r="K13" s="703">
        <v>16.177</v>
      </c>
      <c r="L13" s="720">
        <f t="shared" si="1"/>
        <v>21.472999999999999</v>
      </c>
      <c r="M13" s="703">
        <v>21.472999999999999</v>
      </c>
      <c r="N13" s="703">
        <v>4.6150000000000002</v>
      </c>
      <c r="O13" s="703">
        <v>9.7880000000000003</v>
      </c>
      <c r="P13" s="703">
        <v>15.067</v>
      </c>
      <c r="Q13" s="720">
        <f t="shared" si="2"/>
        <v>16.457000000000001</v>
      </c>
      <c r="R13" s="703">
        <v>16.457000000000001</v>
      </c>
      <c r="S13" s="703">
        <v>6.0129999999999999</v>
      </c>
      <c r="T13" s="703">
        <v>11.074999999999999</v>
      </c>
      <c r="U13" s="703">
        <v>15.807</v>
      </c>
      <c r="V13" s="720">
        <f t="shared" si="3"/>
        <v>19.988</v>
      </c>
      <c r="W13" s="703">
        <v>19.988</v>
      </c>
      <c r="X13" s="703">
        <v>5.8470000000000004</v>
      </c>
      <c r="Y13" s="703">
        <v>10.488</v>
      </c>
      <c r="Z13" s="703">
        <v>15.135</v>
      </c>
      <c r="AA13" s="720">
        <f t="shared" si="4"/>
        <v>19.373000000000001</v>
      </c>
      <c r="AB13" s="703">
        <v>19.373000000000001</v>
      </c>
      <c r="AC13" s="703">
        <v>5.5069999999999997</v>
      </c>
      <c r="AD13" s="703">
        <v>10.617000000000001</v>
      </c>
      <c r="AE13" s="703">
        <v>15.532999999999999</v>
      </c>
      <c r="AF13" s="720">
        <f t="shared" si="5"/>
        <v>21.35</v>
      </c>
      <c r="AG13" s="703">
        <v>21.35</v>
      </c>
      <c r="AH13" s="703">
        <v>5.444</v>
      </c>
      <c r="AI13" s="703">
        <v>10.935</v>
      </c>
      <c r="AJ13" s="703">
        <v>16.329000000000001</v>
      </c>
      <c r="AK13" s="720">
        <f t="shared" si="6"/>
        <v>22.988</v>
      </c>
      <c r="AL13" s="703">
        <v>22.988</v>
      </c>
      <c r="AM13" s="703">
        <v>5.5179999999999998</v>
      </c>
      <c r="AN13" s="703">
        <v>11.606999999999999</v>
      </c>
      <c r="AO13" s="703">
        <v>17.22</v>
      </c>
      <c r="AP13" s="720">
        <f t="shared" si="7"/>
        <v>24.425999999999998</v>
      </c>
      <c r="AQ13" s="703">
        <v>24.425999999999998</v>
      </c>
      <c r="AR13" s="703">
        <v>5.9020000000000001</v>
      </c>
      <c r="AS13" s="703">
        <v>12.227</v>
      </c>
      <c r="AT13" s="703">
        <v>18.850000000000001</v>
      </c>
      <c r="AU13" s="720">
        <f t="shared" si="8"/>
        <v>25.780999999999999</v>
      </c>
      <c r="AV13" s="700">
        <v>25.780999999999999</v>
      </c>
    </row>
    <row r="14" spans="2:48" x14ac:dyDescent="0.2">
      <c r="B14" s="694" t="s">
        <v>418</v>
      </c>
      <c r="C14" s="721"/>
      <c r="D14" s="720"/>
      <c r="E14" s="720"/>
      <c r="F14" s="720"/>
      <c r="G14" s="720"/>
      <c r="H14" s="720"/>
      <c r="I14" s="720"/>
      <c r="J14" s="720"/>
      <c r="K14" s="720"/>
      <c r="L14" s="720"/>
      <c r="M14" s="720"/>
      <c r="N14" s="720"/>
      <c r="O14" s="720"/>
      <c r="P14" s="720"/>
      <c r="Q14" s="720"/>
      <c r="R14" s="720"/>
      <c r="S14" s="720"/>
      <c r="T14" s="720"/>
      <c r="U14" s="720"/>
      <c r="V14" s="720">
        <f t="shared" si="3"/>
        <v>4.7539999999999996</v>
      </c>
      <c r="W14" s="703">
        <v>4.7539999999999996</v>
      </c>
      <c r="X14" s="703">
        <v>1.45</v>
      </c>
      <c r="Y14" s="703">
        <v>3.0939999999999999</v>
      </c>
      <c r="Z14" s="703">
        <v>13.439</v>
      </c>
      <c r="AA14" s="720">
        <f t="shared" si="4"/>
        <v>-39.233000000000004</v>
      </c>
      <c r="AB14" s="703">
        <v>-39.233000000000004</v>
      </c>
      <c r="AC14" s="720"/>
      <c r="AD14" s="720"/>
      <c r="AE14" s="720"/>
      <c r="AF14" s="720">
        <f t="shared" si="5"/>
        <v>0</v>
      </c>
      <c r="AG14" s="720"/>
      <c r="AH14" s="720"/>
      <c r="AI14" s="720"/>
      <c r="AJ14" s="720"/>
      <c r="AK14" s="720">
        <f t="shared" si="6"/>
        <v>0</v>
      </c>
      <c r="AL14" s="720"/>
      <c r="AM14" s="720"/>
      <c r="AN14" s="720"/>
      <c r="AO14" s="720"/>
      <c r="AP14" s="720">
        <f t="shared" si="7"/>
        <v>0</v>
      </c>
      <c r="AQ14" s="720"/>
      <c r="AR14" s="720"/>
      <c r="AS14" s="720"/>
      <c r="AT14" s="720"/>
      <c r="AU14" s="720">
        <f t="shared" si="8"/>
        <v>0</v>
      </c>
      <c r="AV14" s="701"/>
    </row>
    <row r="15" spans="2:48" x14ac:dyDescent="0.2">
      <c r="B15" s="694" t="s">
        <v>419</v>
      </c>
      <c r="C15" s="718">
        <v>8.9060000000000006</v>
      </c>
      <c r="D15" s="703">
        <v>4.34</v>
      </c>
      <c r="E15" s="703">
        <v>7.8380000000000001</v>
      </c>
      <c r="F15" s="703">
        <v>11.647</v>
      </c>
      <c r="G15" s="719">
        <f t="shared" ref="G15:G17" si="9">H15</f>
        <v>12.500999999999999</v>
      </c>
      <c r="H15" s="703">
        <v>12.500999999999999</v>
      </c>
      <c r="I15" s="703">
        <v>5.9399999999999995</v>
      </c>
      <c r="J15" s="703">
        <v>6.5590000000000002</v>
      </c>
      <c r="K15" s="703">
        <v>8.4499999999999993</v>
      </c>
      <c r="L15" s="720">
        <f t="shared" ref="L15:L17" si="10">M15</f>
        <v>13.722</v>
      </c>
      <c r="M15" s="703">
        <v>13.722</v>
      </c>
      <c r="N15" s="720"/>
      <c r="O15" s="720"/>
      <c r="P15" s="720"/>
      <c r="Q15" s="720">
        <f t="shared" ref="Q15:Q17" si="11">R15</f>
        <v>0</v>
      </c>
      <c r="R15" s="703">
        <v>0</v>
      </c>
      <c r="S15" s="720"/>
      <c r="T15" s="720"/>
      <c r="U15" s="720"/>
      <c r="V15" s="720">
        <f t="shared" si="3"/>
        <v>0</v>
      </c>
      <c r="W15" s="720"/>
      <c r="X15" s="720"/>
      <c r="Y15" s="720"/>
      <c r="Z15" s="720"/>
      <c r="AA15" s="720">
        <f t="shared" si="4"/>
        <v>0</v>
      </c>
      <c r="AB15" s="720"/>
      <c r="AC15" s="720"/>
      <c r="AD15" s="720"/>
      <c r="AE15" s="720"/>
      <c r="AF15" s="720">
        <f t="shared" si="5"/>
        <v>0</v>
      </c>
      <c r="AG15" s="720"/>
      <c r="AH15" s="720"/>
      <c r="AI15" s="720"/>
      <c r="AJ15" s="720"/>
      <c r="AK15" s="720">
        <f t="shared" si="6"/>
        <v>0</v>
      </c>
      <c r="AL15" s="720"/>
      <c r="AM15" s="720"/>
      <c r="AN15" s="720"/>
      <c r="AO15" s="720"/>
      <c r="AP15" s="720">
        <f t="shared" si="7"/>
        <v>0</v>
      </c>
      <c r="AQ15" s="720"/>
      <c r="AR15" s="720"/>
      <c r="AS15" s="720"/>
      <c r="AT15" s="720"/>
      <c r="AU15" s="720">
        <f t="shared" si="8"/>
        <v>0</v>
      </c>
      <c r="AV15" s="701"/>
    </row>
    <row r="16" spans="2:48" x14ac:dyDescent="0.2">
      <c r="B16" s="694" t="s">
        <v>420</v>
      </c>
      <c r="C16" s="718">
        <v>-8.8610000000000007</v>
      </c>
      <c r="D16" s="703">
        <v>-4.3170000000000002</v>
      </c>
      <c r="E16" s="703">
        <v>-7.8259999999999996</v>
      </c>
      <c r="F16" s="703">
        <v>-11.66</v>
      </c>
      <c r="G16" s="719">
        <f t="shared" si="9"/>
        <v>-12.308999999999999</v>
      </c>
      <c r="H16" s="703">
        <v>-12.308999999999999</v>
      </c>
      <c r="I16" s="703">
        <v>-6.0339999999999998</v>
      </c>
      <c r="J16" s="703">
        <v>-6.6349999999999998</v>
      </c>
      <c r="K16" s="703">
        <v>-8.5210000000000008</v>
      </c>
      <c r="L16" s="720">
        <f t="shared" si="10"/>
        <v>-13.861000000000001</v>
      </c>
      <c r="M16" s="703">
        <v>-13.861000000000001</v>
      </c>
      <c r="N16" s="720"/>
      <c r="O16" s="720"/>
      <c r="P16" s="720"/>
      <c r="Q16" s="720">
        <f t="shared" si="11"/>
        <v>0</v>
      </c>
      <c r="R16" s="703">
        <v>0</v>
      </c>
      <c r="S16" s="720"/>
      <c r="T16" s="720"/>
      <c r="U16" s="720"/>
      <c r="V16" s="720">
        <f t="shared" si="3"/>
        <v>0</v>
      </c>
      <c r="W16" s="720"/>
      <c r="X16" s="720"/>
      <c r="Y16" s="720"/>
      <c r="Z16" s="720"/>
      <c r="AA16" s="720">
        <f t="shared" si="4"/>
        <v>0</v>
      </c>
      <c r="AB16" s="720"/>
      <c r="AC16" s="720"/>
      <c r="AD16" s="720"/>
      <c r="AE16" s="720"/>
      <c r="AF16" s="720">
        <f t="shared" si="5"/>
        <v>0</v>
      </c>
      <c r="AG16" s="720"/>
      <c r="AH16" s="720"/>
      <c r="AI16" s="720"/>
      <c r="AJ16" s="720"/>
      <c r="AK16" s="720">
        <f t="shared" si="6"/>
        <v>0</v>
      </c>
      <c r="AL16" s="720"/>
      <c r="AM16" s="720"/>
      <c r="AN16" s="720"/>
      <c r="AO16" s="720"/>
      <c r="AP16" s="720">
        <f t="shared" si="7"/>
        <v>0</v>
      </c>
      <c r="AQ16" s="720"/>
      <c r="AR16" s="720"/>
      <c r="AS16" s="720"/>
      <c r="AT16" s="720"/>
      <c r="AU16" s="720">
        <f t="shared" si="8"/>
        <v>0</v>
      </c>
      <c r="AV16" s="701"/>
    </row>
    <row r="17" spans="2:48" x14ac:dyDescent="0.2">
      <c r="B17" s="695" t="s">
        <v>387</v>
      </c>
      <c r="C17" s="718">
        <v>2.0590000000000002</v>
      </c>
      <c r="D17" s="703">
        <v>0.81399999999999995</v>
      </c>
      <c r="E17" s="703">
        <v>1.3460000000000001</v>
      </c>
      <c r="F17" s="703">
        <v>2.0720000000000001</v>
      </c>
      <c r="G17" s="719">
        <f t="shared" si="9"/>
        <v>2.6150000000000002</v>
      </c>
      <c r="H17" s="703">
        <v>2.6150000000000002</v>
      </c>
      <c r="I17" s="703">
        <v>0.83399999999999996</v>
      </c>
      <c r="J17" s="703">
        <v>1.3420000000000001</v>
      </c>
      <c r="K17" s="703">
        <v>2.9449999999999998</v>
      </c>
      <c r="L17" s="720">
        <f t="shared" si="10"/>
        <v>3.5920000000000001</v>
      </c>
      <c r="M17" s="703">
        <v>3.5920000000000001</v>
      </c>
      <c r="N17" s="720"/>
      <c r="O17" s="720"/>
      <c r="P17" s="720"/>
      <c r="Q17" s="720">
        <f t="shared" si="11"/>
        <v>0</v>
      </c>
      <c r="R17" s="703">
        <v>0</v>
      </c>
      <c r="S17" s="720"/>
      <c r="T17" s="720"/>
      <c r="U17" s="720"/>
      <c r="V17" s="720">
        <f t="shared" si="3"/>
        <v>0</v>
      </c>
      <c r="W17" s="720"/>
      <c r="X17" s="720"/>
      <c r="Y17" s="720"/>
      <c r="Z17" s="720"/>
      <c r="AA17" s="720">
        <f t="shared" si="4"/>
        <v>0</v>
      </c>
      <c r="AB17" s="720"/>
      <c r="AC17" s="720"/>
      <c r="AD17" s="720"/>
      <c r="AE17" s="720"/>
      <c r="AF17" s="720">
        <f t="shared" si="5"/>
        <v>0</v>
      </c>
      <c r="AG17" s="720"/>
      <c r="AH17" s="720"/>
      <c r="AI17" s="720"/>
      <c r="AJ17" s="720"/>
      <c r="AK17" s="720">
        <f t="shared" si="6"/>
        <v>0</v>
      </c>
      <c r="AL17" s="720"/>
      <c r="AM17" s="720"/>
      <c r="AN17" s="720"/>
      <c r="AO17" s="720"/>
      <c r="AP17" s="720">
        <f t="shared" si="7"/>
        <v>0</v>
      </c>
      <c r="AQ17" s="720"/>
      <c r="AR17" s="720"/>
      <c r="AS17" s="720"/>
      <c r="AT17" s="720"/>
      <c r="AU17" s="720">
        <f t="shared" si="8"/>
        <v>0</v>
      </c>
      <c r="AV17" s="701"/>
    </row>
    <row r="18" spans="2:48" x14ac:dyDescent="0.2">
      <c r="B18" s="1536" t="s">
        <v>421</v>
      </c>
      <c r="C18" s="1537">
        <f t="shared" ref="C18:AV18" si="12">SUM(C9:C17)</f>
        <v>203.48100000000002</v>
      </c>
      <c r="D18" s="1538">
        <f t="shared" si="12"/>
        <v>56.382999999999996</v>
      </c>
      <c r="E18" s="1538">
        <f t="shared" si="12"/>
        <v>117.66300000000001</v>
      </c>
      <c r="F18" s="1538">
        <f t="shared" si="12"/>
        <v>176.26900000000001</v>
      </c>
      <c r="G18" s="1538">
        <f t="shared" si="12"/>
        <v>232.14100000000002</v>
      </c>
      <c r="H18" s="1538">
        <f t="shared" si="12"/>
        <v>232.14100000000002</v>
      </c>
      <c r="I18" s="1538">
        <f t="shared" si="12"/>
        <v>64.504000000000005</v>
      </c>
      <c r="J18" s="1538">
        <f t="shared" si="12"/>
        <v>129.24699999999999</v>
      </c>
      <c r="K18" s="1538">
        <f t="shared" si="12"/>
        <v>191.28699999999998</v>
      </c>
      <c r="L18" s="708">
        <f t="shared" si="12"/>
        <v>251.53900000000002</v>
      </c>
      <c r="M18" s="708">
        <f t="shared" si="12"/>
        <v>251.53900000000002</v>
      </c>
      <c r="N18" s="1538">
        <f t="shared" si="12"/>
        <v>66.826000000000008</v>
      </c>
      <c r="O18" s="1538">
        <f t="shared" si="12"/>
        <v>133.24299999999999</v>
      </c>
      <c r="P18" s="1538">
        <f t="shared" si="12"/>
        <v>186.84300000000005</v>
      </c>
      <c r="Q18" s="708">
        <f t="shared" si="12"/>
        <v>251.98399999999998</v>
      </c>
      <c r="R18" s="708">
        <f t="shared" si="12"/>
        <v>251.98399999999998</v>
      </c>
      <c r="S18" s="1538">
        <f t="shared" si="12"/>
        <v>57.201000000000001</v>
      </c>
      <c r="T18" s="1538">
        <f t="shared" si="12"/>
        <v>116.48399999999999</v>
      </c>
      <c r="U18" s="1538">
        <f t="shared" si="12"/>
        <v>173.93099999999998</v>
      </c>
      <c r="V18" s="708">
        <f t="shared" si="12"/>
        <v>230.654</v>
      </c>
      <c r="W18" s="708">
        <f t="shared" si="12"/>
        <v>230.654</v>
      </c>
      <c r="X18" s="708">
        <f t="shared" si="12"/>
        <v>57.435000000000009</v>
      </c>
      <c r="Y18" s="708">
        <f t="shared" si="12"/>
        <v>116.80799999999999</v>
      </c>
      <c r="Z18" s="708">
        <f t="shared" si="12"/>
        <v>168.881</v>
      </c>
      <c r="AA18" s="708">
        <f t="shared" si="12"/>
        <v>209.59199999999998</v>
      </c>
      <c r="AB18" s="708">
        <f t="shared" si="12"/>
        <v>209.59199999999998</v>
      </c>
      <c r="AC18" s="708">
        <f t="shared" si="12"/>
        <v>73.245999999999995</v>
      </c>
      <c r="AD18" s="708">
        <f t="shared" si="12"/>
        <v>46.783000000000001</v>
      </c>
      <c r="AE18" s="708">
        <f t="shared" si="12"/>
        <v>6.2899999999999903</v>
      </c>
      <c r="AF18" s="708">
        <f t="shared" si="12"/>
        <v>0.23800000000002086</v>
      </c>
      <c r="AG18" s="708">
        <f t="shared" si="12"/>
        <v>0.23800000000002086</v>
      </c>
      <c r="AH18" s="708">
        <f t="shared" si="12"/>
        <v>30.241</v>
      </c>
      <c r="AI18" s="708">
        <f t="shared" si="12"/>
        <v>90.246000000000009</v>
      </c>
      <c r="AJ18" s="708">
        <f t="shared" si="12"/>
        <v>148.56400000000002</v>
      </c>
      <c r="AK18" s="708">
        <f t="shared" si="12"/>
        <v>182.10300000000001</v>
      </c>
      <c r="AL18" s="708">
        <f t="shared" si="12"/>
        <v>182.10300000000001</v>
      </c>
      <c r="AM18" s="708">
        <f t="shared" si="12"/>
        <v>54.204000000000001</v>
      </c>
      <c r="AN18" s="708">
        <f t="shared" si="12"/>
        <v>105.068</v>
      </c>
      <c r="AO18" s="708">
        <f t="shared" si="12"/>
        <v>128.02199999999999</v>
      </c>
      <c r="AP18" s="708">
        <f t="shared" si="12"/>
        <v>172.60999999999996</v>
      </c>
      <c r="AQ18" s="708">
        <f t="shared" si="12"/>
        <v>172.60999999999996</v>
      </c>
      <c r="AR18" s="708">
        <f t="shared" si="12"/>
        <v>60.084999999999994</v>
      </c>
      <c r="AS18" s="708">
        <f t="shared" si="12"/>
        <v>130.94</v>
      </c>
      <c r="AT18" s="708">
        <f t="shared" si="12"/>
        <v>177.50399999999999</v>
      </c>
      <c r="AU18" s="708">
        <f t="shared" si="12"/>
        <v>231.55099999999999</v>
      </c>
      <c r="AV18" s="709">
        <f t="shared" si="12"/>
        <v>231.55099999999999</v>
      </c>
    </row>
    <row r="19" spans="2:48" x14ac:dyDescent="0.2">
      <c r="B19" s="694" t="s">
        <v>422</v>
      </c>
      <c r="C19" s="718">
        <v>-11.946</v>
      </c>
      <c r="D19" s="703">
        <v>35.161999999999999</v>
      </c>
      <c r="E19" s="703">
        <v>35.273000000000003</v>
      </c>
      <c r="F19" s="703">
        <v>31.627000000000002</v>
      </c>
      <c r="G19" s="703">
        <v>-9.32</v>
      </c>
      <c r="H19" s="703">
        <v>-9.32</v>
      </c>
      <c r="I19" s="703">
        <v>43.15</v>
      </c>
      <c r="J19" s="703">
        <v>45.199000000000005</v>
      </c>
      <c r="K19" s="703">
        <v>42.102000000000004</v>
      </c>
      <c r="L19" s="703">
        <v>6.5930000000000009</v>
      </c>
      <c r="M19" s="703">
        <v>6.5930000000000009</v>
      </c>
      <c r="N19" s="703">
        <v>35.436</v>
      </c>
      <c r="O19" s="703">
        <v>31.455000000000002</v>
      </c>
      <c r="P19" s="703">
        <v>33.131999999999998</v>
      </c>
      <c r="Q19" s="703">
        <v>-7.1879999999999997</v>
      </c>
      <c r="R19" s="703">
        <v>-7.1879999999999997</v>
      </c>
      <c r="S19" s="703">
        <v>44.594000000000001</v>
      </c>
      <c r="T19" s="703">
        <v>37.75</v>
      </c>
      <c r="U19" s="703">
        <v>35.747</v>
      </c>
      <c r="V19" s="703">
        <v>3.6800000000000006</v>
      </c>
      <c r="W19" s="703">
        <v>3.6800000000000006</v>
      </c>
      <c r="X19" s="703">
        <v>43.295000000000002</v>
      </c>
      <c r="Y19" s="703">
        <v>43.122999999999998</v>
      </c>
      <c r="Z19" s="703">
        <v>40.634</v>
      </c>
      <c r="AA19" s="720">
        <f t="shared" ref="AA19:AA29" si="13">AB19</f>
        <v>3.7770000000000001</v>
      </c>
      <c r="AB19" s="703">
        <v>3.7770000000000001</v>
      </c>
      <c r="AC19" s="703">
        <v>38.311999999999998</v>
      </c>
      <c r="AD19" s="703">
        <v>41.404000000000003</v>
      </c>
      <c r="AE19" s="703">
        <v>40.46</v>
      </c>
      <c r="AF19" s="720">
        <f t="shared" ref="AF19:AF29" si="14">AG19</f>
        <v>15.148</v>
      </c>
      <c r="AG19" s="703">
        <v>15.148</v>
      </c>
      <c r="AH19" s="703">
        <v>15.516999999999999</v>
      </c>
      <c r="AI19" s="703">
        <v>17.047999999999998</v>
      </c>
      <c r="AJ19" s="703">
        <v>8.1210000000000004</v>
      </c>
      <c r="AK19" s="720">
        <f t="shared" ref="AK19:AK29" si="15">AL19</f>
        <v>-24.815999999999999</v>
      </c>
      <c r="AL19" s="703">
        <v>-24.815999999999999</v>
      </c>
      <c r="AM19" s="703">
        <v>34.286999999999999</v>
      </c>
      <c r="AN19" s="703">
        <v>23.780999999999999</v>
      </c>
      <c r="AO19" s="703">
        <v>23.835000000000001</v>
      </c>
      <c r="AP19" s="720">
        <f t="shared" ref="AP19:AP29" si="16">AQ19</f>
        <v>-12.266</v>
      </c>
      <c r="AQ19" s="703">
        <v>-12.266</v>
      </c>
      <c r="AR19" s="703">
        <v>38.012999999999998</v>
      </c>
      <c r="AS19" s="703">
        <v>31.74</v>
      </c>
      <c r="AT19" s="703">
        <v>32.106999999999999</v>
      </c>
      <c r="AU19" s="720">
        <f t="shared" ref="AU19:AU29" si="17">AV19</f>
        <v>-9.8000000000000004E-2</v>
      </c>
      <c r="AV19" s="700">
        <v>-9.8000000000000004E-2</v>
      </c>
    </row>
    <row r="20" spans="2:48" x14ac:dyDescent="0.2">
      <c r="B20" s="694" t="s">
        <v>423</v>
      </c>
      <c r="C20" s="718">
        <v>-12.853999999999999</v>
      </c>
      <c r="D20" s="703">
        <v>4.5999999999999996</v>
      </c>
      <c r="E20" s="703">
        <v>11.465999999999999</v>
      </c>
      <c r="F20" s="703">
        <v>1.3520000000000001</v>
      </c>
      <c r="G20" s="719">
        <f t="shared" ref="G20:G22" si="18">H20</f>
        <v>-1.3560000000000001</v>
      </c>
      <c r="H20" s="703">
        <v>-1.3560000000000001</v>
      </c>
      <c r="I20" s="703">
        <v>2.718</v>
      </c>
      <c r="J20" s="703">
        <v>14.398</v>
      </c>
      <c r="K20" s="703">
        <v>18.28</v>
      </c>
      <c r="L20" s="720">
        <f t="shared" ref="L20:L22" si="19">M20</f>
        <v>21.837</v>
      </c>
      <c r="M20" s="703">
        <v>21.837</v>
      </c>
      <c r="N20" s="703">
        <v>3.1640000000000001</v>
      </c>
      <c r="O20" s="703">
        <v>-6.4969999999999999</v>
      </c>
      <c r="P20" s="703">
        <v>-7.3369999999999997</v>
      </c>
      <c r="Q20" s="720">
        <f t="shared" ref="Q20:Q22" si="20">R20</f>
        <v>-17.315000000000001</v>
      </c>
      <c r="R20" s="703">
        <v>-17.315000000000001</v>
      </c>
      <c r="S20" s="703">
        <v>13.667999999999999</v>
      </c>
      <c r="T20" s="703">
        <v>12.583</v>
      </c>
      <c r="U20" s="703">
        <v>11.832000000000001</v>
      </c>
      <c r="V20" s="720">
        <f t="shared" ref="V20:V22" si="21">W20</f>
        <v>15.728999999999999</v>
      </c>
      <c r="W20" s="703">
        <v>15.728999999999999</v>
      </c>
      <c r="X20" s="703">
        <v>-0.68100000000000005</v>
      </c>
      <c r="Y20" s="703">
        <v>-3.0950000000000002</v>
      </c>
      <c r="Z20" s="703">
        <v>-9.1270000000000007</v>
      </c>
      <c r="AA20" s="720">
        <f t="shared" si="13"/>
        <v>-5.3380000000000001</v>
      </c>
      <c r="AB20" s="703">
        <v>-5.3380000000000001</v>
      </c>
      <c r="AC20" s="703">
        <v>-44.553000000000004</v>
      </c>
      <c r="AD20" s="703">
        <v>-74.387</v>
      </c>
      <c r="AE20" s="703">
        <v>-40.976999999999997</v>
      </c>
      <c r="AF20" s="720">
        <f t="shared" si="14"/>
        <v>-32.262999999999998</v>
      </c>
      <c r="AG20" s="703">
        <v>-32.262999999999998</v>
      </c>
      <c r="AH20" s="703">
        <v>1.9159999999999999</v>
      </c>
      <c r="AI20" s="703">
        <v>1.1060000000000001</v>
      </c>
      <c r="AJ20" s="703">
        <v>-3.7490000000000001</v>
      </c>
      <c r="AK20" s="720">
        <f t="shared" si="15"/>
        <v>0.71499999999999997</v>
      </c>
      <c r="AL20" s="703">
        <v>0.71499999999999997</v>
      </c>
      <c r="AM20" s="703">
        <v>-0.72</v>
      </c>
      <c r="AN20" s="703">
        <v>-3.6179999999999999</v>
      </c>
      <c r="AO20" s="703">
        <v>12.481</v>
      </c>
      <c r="AP20" s="720">
        <f t="shared" si="16"/>
        <v>14.651</v>
      </c>
      <c r="AQ20" s="703">
        <v>14.651</v>
      </c>
      <c r="AR20" s="703">
        <v>-0.11799999999999999</v>
      </c>
      <c r="AS20" s="703">
        <v>-1.216</v>
      </c>
      <c r="AT20" s="703">
        <v>-2.4009999999999998</v>
      </c>
      <c r="AU20" s="720">
        <f t="shared" si="17"/>
        <v>0.85199999999999998</v>
      </c>
      <c r="AV20" s="700">
        <v>0.85199999999999998</v>
      </c>
    </row>
    <row r="21" spans="2:48" x14ac:dyDescent="0.2">
      <c r="B21" s="694" t="s">
        <v>377</v>
      </c>
      <c r="C21" s="718">
        <v>2.2229999999999999</v>
      </c>
      <c r="D21" s="703">
        <v>0.73</v>
      </c>
      <c r="E21" s="703">
        <v>-3.2109999999999999</v>
      </c>
      <c r="F21" s="703">
        <v>-3.4870000000000001</v>
      </c>
      <c r="G21" s="719">
        <f t="shared" si="18"/>
        <v>-0.755</v>
      </c>
      <c r="H21" s="703">
        <v>-0.755</v>
      </c>
      <c r="I21" s="703">
        <v>-1.5329999999999999</v>
      </c>
      <c r="J21" s="703">
        <v>-0.56100000000000005</v>
      </c>
      <c r="K21" s="703">
        <v>-1.5309999999999999</v>
      </c>
      <c r="L21" s="720">
        <f t="shared" si="19"/>
        <v>-0.91600000000000004</v>
      </c>
      <c r="M21" s="703">
        <v>-0.91600000000000004</v>
      </c>
      <c r="N21" s="703">
        <v>-3.6150000000000002</v>
      </c>
      <c r="O21" s="703">
        <v>-5.32</v>
      </c>
      <c r="P21" s="703">
        <v>-9.2690000000000001</v>
      </c>
      <c r="Q21" s="720">
        <f t="shared" si="20"/>
        <v>-7.6340000000000003</v>
      </c>
      <c r="R21" s="703">
        <v>-7.6340000000000003</v>
      </c>
      <c r="S21" s="703">
        <v>1.601</v>
      </c>
      <c r="T21" s="703">
        <v>7.8650000000000002</v>
      </c>
      <c r="U21" s="703">
        <v>2.7890000000000001</v>
      </c>
      <c r="V21" s="720">
        <f t="shared" si="21"/>
        <v>3.6669999999999998</v>
      </c>
      <c r="W21" s="703">
        <v>3.6669999999999998</v>
      </c>
      <c r="X21" s="703">
        <v>-3.1419999999999999</v>
      </c>
      <c r="Y21" s="703">
        <v>-7.1219999999999999</v>
      </c>
      <c r="Z21" s="703">
        <v>-8.89</v>
      </c>
      <c r="AA21" s="720">
        <f t="shared" si="13"/>
        <v>-5.766</v>
      </c>
      <c r="AB21" s="703">
        <v>-5.766</v>
      </c>
      <c r="AC21" s="703">
        <v>-0.60499999999999998</v>
      </c>
      <c r="AD21" s="703">
        <v>6.7089999999999996</v>
      </c>
      <c r="AE21" s="703">
        <v>9.4949999999999992</v>
      </c>
      <c r="AF21" s="720">
        <f t="shared" si="14"/>
        <v>7.9210000000000003</v>
      </c>
      <c r="AG21" s="703">
        <v>7.9210000000000003</v>
      </c>
      <c r="AH21" s="703">
        <v>0.40799999999999997</v>
      </c>
      <c r="AI21" s="703">
        <v>-2.504</v>
      </c>
      <c r="AJ21" s="703">
        <v>-3.907</v>
      </c>
      <c r="AK21" s="720">
        <f t="shared" si="15"/>
        <v>-3.4780000000000002</v>
      </c>
      <c r="AL21" s="703">
        <v>-3.4780000000000002</v>
      </c>
      <c r="AM21" s="703">
        <v>-3.839</v>
      </c>
      <c r="AN21" s="703">
        <v>-9.4469999999999992</v>
      </c>
      <c r="AO21" s="703">
        <v>-19.442</v>
      </c>
      <c r="AP21" s="720">
        <f t="shared" si="16"/>
        <v>-12.725</v>
      </c>
      <c r="AQ21" s="703">
        <v>-12.725</v>
      </c>
      <c r="AR21" s="703">
        <v>-3.4279999999999999</v>
      </c>
      <c r="AS21" s="703">
        <v>-5.306</v>
      </c>
      <c r="AT21" s="703">
        <v>-3.113</v>
      </c>
      <c r="AU21" s="720">
        <f t="shared" si="17"/>
        <v>-2.0920000000000001</v>
      </c>
      <c r="AV21" s="700">
        <v>-2.0920000000000001</v>
      </c>
    </row>
    <row r="22" spans="2:48" x14ac:dyDescent="0.2">
      <c r="B22" s="694" t="s">
        <v>378</v>
      </c>
      <c r="C22" s="718">
        <v>4.3620000000000001</v>
      </c>
      <c r="D22" s="703">
        <v>-8.3460000000000001</v>
      </c>
      <c r="E22" s="703">
        <v>-8.3889999999999993</v>
      </c>
      <c r="F22" s="703">
        <v>-5.8470000000000004</v>
      </c>
      <c r="G22" s="719">
        <f t="shared" si="18"/>
        <v>-3.7429999999999999</v>
      </c>
      <c r="H22" s="703">
        <v>-3.7429999999999999</v>
      </c>
      <c r="I22" s="703">
        <v>1.339</v>
      </c>
      <c r="J22" s="703">
        <v>4.1520000000000001</v>
      </c>
      <c r="K22" s="703">
        <v>5.6390000000000002</v>
      </c>
      <c r="L22" s="720">
        <f t="shared" si="19"/>
        <v>-10.462</v>
      </c>
      <c r="M22" s="703">
        <v>-10.462</v>
      </c>
      <c r="N22" s="703">
        <v>-0.14699999999999999</v>
      </c>
      <c r="O22" s="703">
        <v>1.5189999999999999</v>
      </c>
      <c r="P22" s="703">
        <v>3.9169999999999998</v>
      </c>
      <c r="Q22" s="720">
        <f t="shared" si="20"/>
        <v>-5.2270000000000003</v>
      </c>
      <c r="R22" s="703">
        <v>-5.2270000000000003</v>
      </c>
      <c r="S22" s="703">
        <v>3.63</v>
      </c>
      <c r="T22" s="703">
        <v>4.7169999999999996</v>
      </c>
      <c r="U22" s="703">
        <v>10.163</v>
      </c>
      <c r="V22" s="720">
        <f t="shared" si="21"/>
        <v>6.2619999999999996</v>
      </c>
      <c r="W22" s="703">
        <v>6.2619999999999996</v>
      </c>
      <c r="X22" s="703">
        <v>-10.621</v>
      </c>
      <c r="Y22" s="703">
        <v>-3.3719999999999999</v>
      </c>
      <c r="Z22" s="703">
        <v>-2.746</v>
      </c>
      <c r="AA22" s="720">
        <f t="shared" si="13"/>
        <v>-4.133</v>
      </c>
      <c r="AB22" s="703">
        <v>-4.133</v>
      </c>
      <c r="AC22" s="703">
        <v>1.452</v>
      </c>
      <c r="AD22" s="703">
        <v>7.6</v>
      </c>
      <c r="AE22" s="703">
        <v>11.695</v>
      </c>
      <c r="AF22" s="720">
        <f t="shared" si="14"/>
        <v>8.5630000000000006</v>
      </c>
      <c r="AG22" s="703">
        <v>8.5630000000000006</v>
      </c>
      <c r="AH22" s="703">
        <v>4.5839999999999996</v>
      </c>
      <c r="AI22" s="703">
        <v>3.274</v>
      </c>
      <c r="AJ22" s="703">
        <v>5.5960000000000001</v>
      </c>
      <c r="AK22" s="720">
        <f t="shared" si="15"/>
        <v>-1.137</v>
      </c>
      <c r="AL22" s="703">
        <v>-1.137</v>
      </c>
      <c r="AM22" s="703">
        <v>2.7069999999999999</v>
      </c>
      <c r="AN22" s="703">
        <v>3.0710000000000002</v>
      </c>
      <c r="AO22" s="703">
        <v>5.4870000000000001</v>
      </c>
      <c r="AP22" s="720">
        <f t="shared" si="16"/>
        <v>-11.96</v>
      </c>
      <c r="AQ22" s="703">
        <v>-11.96</v>
      </c>
      <c r="AR22" s="703">
        <v>1.4E-2</v>
      </c>
      <c r="AS22" s="703">
        <v>-4.24</v>
      </c>
      <c r="AT22" s="703">
        <v>-7.1589999999999998</v>
      </c>
      <c r="AU22" s="720">
        <f t="shared" si="17"/>
        <v>-14.694000000000001</v>
      </c>
      <c r="AV22" s="700">
        <v>-14.694000000000001</v>
      </c>
    </row>
    <row r="23" spans="2:48" x14ac:dyDescent="0.2">
      <c r="B23" s="694" t="s">
        <v>424</v>
      </c>
      <c r="C23" s="721"/>
      <c r="D23" s="720"/>
      <c r="E23" s="720"/>
      <c r="F23" s="720"/>
      <c r="G23" s="720"/>
      <c r="H23" s="720"/>
      <c r="I23" s="720"/>
      <c r="J23" s="720"/>
      <c r="K23" s="720"/>
      <c r="L23" s="720"/>
      <c r="M23" s="720"/>
      <c r="N23" s="720"/>
      <c r="O23" s="720"/>
      <c r="P23" s="720"/>
      <c r="Q23" s="720"/>
      <c r="R23" s="720"/>
      <c r="S23" s="720"/>
      <c r="T23" s="720"/>
      <c r="U23" s="720"/>
      <c r="V23" s="720"/>
      <c r="W23" s="720"/>
      <c r="X23" s="703">
        <v>1.1299999999999999</v>
      </c>
      <c r="Y23" s="703">
        <v>-5.5039999999999996</v>
      </c>
      <c r="Z23" s="703">
        <v>-5.234</v>
      </c>
      <c r="AA23" s="720">
        <f t="shared" si="13"/>
        <v>5.0190000000000001</v>
      </c>
      <c r="AB23" s="703">
        <v>5.0190000000000001</v>
      </c>
      <c r="AC23" s="703">
        <v>1.851</v>
      </c>
      <c r="AD23" s="703">
        <v>12.895</v>
      </c>
      <c r="AE23" s="703">
        <v>17.465</v>
      </c>
      <c r="AF23" s="720">
        <f t="shared" si="14"/>
        <v>22.957999999999998</v>
      </c>
      <c r="AG23" s="703">
        <v>22.957999999999998</v>
      </c>
      <c r="AH23" s="703">
        <v>-2.6840000000000002</v>
      </c>
      <c r="AI23" s="703">
        <v>-3.883</v>
      </c>
      <c r="AJ23" s="703">
        <v>-4.3860000000000001</v>
      </c>
      <c r="AK23" s="720">
        <f t="shared" si="15"/>
        <v>-4.1059999999999999</v>
      </c>
      <c r="AL23" s="703">
        <v>-4.1059999999999999</v>
      </c>
      <c r="AM23" s="703">
        <v>-2.8519999999999999</v>
      </c>
      <c r="AN23" s="703">
        <v>-9.8130000000000006</v>
      </c>
      <c r="AO23" s="703">
        <v>-13.757999999999999</v>
      </c>
      <c r="AP23" s="720">
        <f t="shared" si="16"/>
        <v>-18.404</v>
      </c>
      <c r="AQ23" s="703">
        <v>-18.404</v>
      </c>
      <c r="AR23" s="703">
        <v>-3.7770000000000001</v>
      </c>
      <c r="AS23" s="703">
        <v>-12.218</v>
      </c>
      <c r="AT23" s="703">
        <v>-18.571999999999999</v>
      </c>
      <c r="AU23" s="720">
        <f t="shared" si="17"/>
        <v>-27.113</v>
      </c>
      <c r="AV23" s="700">
        <v>-27.113</v>
      </c>
    </row>
    <row r="24" spans="2:48" x14ac:dyDescent="0.2">
      <c r="B24" s="694" t="s">
        <v>425</v>
      </c>
      <c r="C24" s="718">
        <v>-3.645</v>
      </c>
      <c r="D24" s="703">
        <v>-1.847</v>
      </c>
      <c r="E24" s="703">
        <v>-6.01</v>
      </c>
      <c r="F24" s="703">
        <v>-4.5369999999999999</v>
      </c>
      <c r="G24" s="719">
        <f t="shared" ref="G24:G25" si="22">H24</f>
        <v>-5.7990000000000004</v>
      </c>
      <c r="H24" s="703">
        <v>-5.7990000000000004</v>
      </c>
      <c r="I24" s="703">
        <v>-0.61899999999999999</v>
      </c>
      <c r="J24" s="703">
        <v>-1.071</v>
      </c>
      <c r="K24" s="703">
        <v>-2.2010000000000001</v>
      </c>
      <c r="L24" s="720">
        <f t="shared" ref="L24:L25" si="23">M24</f>
        <v>-2.8180000000000001</v>
      </c>
      <c r="M24" s="703">
        <v>-2.8180000000000001</v>
      </c>
      <c r="N24" s="703">
        <v>-2.65</v>
      </c>
      <c r="O24" s="703">
        <v>-4.28</v>
      </c>
      <c r="P24" s="703">
        <v>-6.0449999999999999</v>
      </c>
      <c r="Q24" s="720">
        <f t="shared" ref="Q24:Q25" si="24">R24</f>
        <v>-9.0340000000000007</v>
      </c>
      <c r="R24" s="703">
        <v>-9.0340000000000007</v>
      </c>
      <c r="S24" s="703">
        <v>1.276</v>
      </c>
      <c r="T24" s="703">
        <v>1.089</v>
      </c>
      <c r="U24" s="703">
        <v>2.9649999999999999</v>
      </c>
      <c r="V24" s="720">
        <f t="shared" ref="V24:V25" si="25">W24</f>
        <v>7.4059999999999997</v>
      </c>
      <c r="W24" s="703">
        <v>7.4059999999999997</v>
      </c>
      <c r="X24" s="703">
        <v>-5.8959999999999999</v>
      </c>
      <c r="Y24" s="703">
        <v>-7.984</v>
      </c>
      <c r="Z24" s="703">
        <v>-8.9849999999999994</v>
      </c>
      <c r="AA24" s="720">
        <f t="shared" si="13"/>
        <v>-11.989000000000001</v>
      </c>
      <c r="AB24" s="703">
        <v>-11.989000000000001</v>
      </c>
      <c r="AC24" s="703">
        <v>13.279</v>
      </c>
      <c r="AD24" s="703">
        <v>4.2939999999999996</v>
      </c>
      <c r="AE24" s="703">
        <v>0.54</v>
      </c>
      <c r="AF24" s="720">
        <f t="shared" si="14"/>
        <v>-6.0190000000000001</v>
      </c>
      <c r="AG24" s="703">
        <v>-6.0190000000000001</v>
      </c>
      <c r="AH24" s="703">
        <v>-2.113</v>
      </c>
      <c r="AI24" s="703">
        <v>-6.6120000000000001</v>
      </c>
      <c r="AJ24" s="703">
        <v>-5.6820000000000004</v>
      </c>
      <c r="AK24" s="720">
        <f t="shared" si="15"/>
        <v>-9.2270000000000003</v>
      </c>
      <c r="AL24" s="703">
        <v>-9.2270000000000003</v>
      </c>
      <c r="AM24" s="703">
        <v>4.0490000000000004</v>
      </c>
      <c r="AN24" s="703">
        <v>14.992000000000001</v>
      </c>
      <c r="AO24" s="703">
        <v>18.446999999999999</v>
      </c>
      <c r="AP24" s="720">
        <f t="shared" si="16"/>
        <v>13.739000000000001</v>
      </c>
      <c r="AQ24" s="703">
        <v>13.739000000000001</v>
      </c>
      <c r="AR24" s="703">
        <v>-3.5920000000000001</v>
      </c>
      <c r="AS24" s="703">
        <v>-7.1070000000000002</v>
      </c>
      <c r="AT24" s="703">
        <v>-6.0860000000000003</v>
      </c>
      <c r="AU24" s="720">
        <f t="shared" si="17"/>
        <v>-14.504</v>
      </c>
      <c r="AV24" s="700">
        <v>-14.504</v>
      </c>
    </row>
    <row r="25" spans="2:48" x14ac:dyDescent="0.2">
      <c r="B25" s="694" t="s">
        <v>391</v>
      </c>
      <c r="C25" s="718">
        <v>18.18</v>
      </c>
      <c r="D25" s="703">
        <v>-1.3340000000000001</v>
      </c>
      <c r="E25" s="703">
        <v>-8.5619999999999994</v>
      </c>
      <c r="F25" s="703">
        <v>-14.858000000000001</v>
      </c>
      <c r="G25" s="719">
        <f t="shared" si="22"/>
        <v>-12.930999999999999</v>
      </c>
      <c r="H25" s="703">
        <v>-12.930999999999999</v>
      </c>
      <c r="I25" s="703">
        <v>-0.50900000000000001</v>
      </c>
      <c r="J25" s="703">
        <v>-5.992</v>
      </c>
      <c r="K25" s="703">
        <v>-4.5259999999999998</v>
      </c>
      <c r="L25" s="720">
        <f t="shared" si="23"/>
        <v>0.752</v>
      </c>
      <c r="M25" s="703">
        <v>0.752</v>
      </c>
      <c r="N25" s="703">
        <v>-3.56</v>
      </c>
      <c r="O25" s="703">
        <v>3.7669999999999999</v>
      </c>
      <c r="P25" s="703">
        <v>-2.0419999999999998</v>
      </c>
      <c r="Q25" s="720">
        <f t="shared" si="24"/>
        <v>3.7709999999999999</v>
      </c>
      <c r="R25" s="703">
        <v>3.7709999999999999</v>
      </c>
      <c r="S25" s="703">
        <v>-3.645</v>
      </c>
      <c r="T25" s="703">
        <v>-4.8390000000000004</v>
      </c>
      <c r="U25" s="703">
        <v>-8.3919999999999995</v>
      </c>
      <c r="V25" s="720">
        <f t="shared" si="25"/>
        <v>5.601</v>
      </c>
      <c r="W25" s="703">
        <v>5.601</v>
      </c>
      <c r="X25" s="703">
        <v>-11.622999999999999</v>
      </c>
      <c r="Y25" s="703">
        <v>-13.417</v>
      </c>
      <c r="Z25" s="703">
        <v>-15.654</v>
      </c>
      <c r="AA25" s="720">
        <f t="shared" si="13"/>
        <v>2.3260000000000001</v>
      </c>
      <c r="AB25" s="703">
        <v>2.3260000000000001</v>
      </c>
      <c r="AC25" s="703">
        <v>-3.464</v>
      </c>
      <c r="AD25" s="703">
        <v>0.22600000000000001</v>
      </c>
      <c r="AE25" s="703">
        <v>3.101</v>
      </c>
      <c r="AF25" s="720">
        <f t="shared" si="14"/>
        <v>-2.0049999999999999</v>
      </c>
      <c r="AG25" s="703">
        <v>-2.0049999999999999</v>
      </c>
      <c r="AH25" s="703">
        <v>-1.5880000000000001</v>
      </c>
      <c r="AI25" s="703">
        <v>-3.0720000000000001</v>
      </c>
      <c r="AJ25" s="703">
        <v>-3.7709999999999999</v>
      </c>
      <c r="AK25" s="720">
        <f t="shared" si="15"/>
        <v>-3.6779999999999999</v>
      </c>
      <c r="AL25" s="703">
        <v>-3.6779999999999999</v>
      </c>
      <c r="AM25" s="703">
        <v>12.106</v>
      </c>
      <c r="AN25" s="703">
        <v>8.9369999999999994</v>
      </c>
      <c r="AO25" s="703">
        <v>11.177</v>
      </c>
      <c r="AP25" s="720">
        <f t="shared" si="16"/>
        <v>17.585999999999999</v>
      </c>
      <c r="AQ25" s="703">
        <v>17.585999999999999</v>
      </c>
      <c r="AR25" s="703">
        <v>-4.5430000000000001</v>
      </c>
      <c r="AS25" s="703">
        <v>0.627</v>
      </c>
      <c r="AT25" s="703">
        <v>-10.984999999999999</v>
      </c>
      <c r="AU25" s="720">
        <f t="shared" si="17"/>
        <v>3.9710000000000001</v>
      </c>
      <c r="AV25" s="700">
        <v>3.9710000000000001</v>
      </c>
    </row>
    <row r="26" spans="2:48" x14ac:dyDescent="0.2">
      <c r="B26" s="694" t="s">
        <v>393</v>
      </c>
      <c r="C26" s="721"/>
      <c r="D26" s="720"/>
      <c r="E26" s="720"/>
      <c r="F26" s="720"/>
      <c r="G26" s="720"/>
      <c r="H26" s="720"/>
      <c r="I26" s="720"/>
      <c r="J26" s="720"/>
      <c r="K26" s="720"/>
      <c r="L26" s="720"/>
      <c r="M26" s="720"/>
      <c r="N26" s="720"/>
      <c r="O26" s="720"/>
      <c r="P26" s="720"/>
      <c r="Q26" s="720"/>
      <c r="R26" s="720"/>
      <c r="S26" s="720"/>
      <c r="T26" s="720"/>
      <c r="U26" s="720"/>
      <c r="V26" s="720"/>
      <c r="W26" s="720"/>
      <c r="X26" s="703">
        <v>-26.594000000000001</v>
      </c>
      <c r="Y26" s="703">
        <v>-29.98</v>
      </c>
      <c r="Z26" s="703">
        <v>-36.774000000000001</v>
      </c>
      <c r="AA26" s="720">
        <f t="shared" si="13"/>
        <v>9.6950000000000003</v>
      </c>
      <c r="AB26" s="703">
        <v>9.6950000000000003</v>
      </c>
      <c r="AC26" s="703">
        <v>-26.753</v>
      </c>
      <c r="AD26" s="703">
        <v>-25.731000000000002</v>
      </c>
      <c r="AE26" s="703">
        <v>-32.488</v>
      </c>
      <c r="AF26" s="720">
        <f t="shared" si="14"/>
        <v>-3.3239999999999998</v>
      </c>
      <c r="AG26" s="703">
        <v>-3.3239999999999998</v>
      </c>
      <c r="AH26" s="703">
        <v>-18.48</v>
      </c>
      <c r="AI26" s="703">
        <v>-15.561999999999999</v>
      </c>
      <c r="AJ26" s="703">
        <v>-23.143000000000001</v>
      </c>
      <c r="AK26" s="720">
        <f t="shared" si="15"/>
        <v>26.527000000000001</v>
      </c>
      <c r="AL26" s="703">
        <v>26.527000000000001</v>
      </c>
      <c r="AM26" s="703">
        <v>-25.673999999999999</v>
      </c>
      <c r="AN26" s="703">
        <v>-28.887</v>
      </c>
      <c r="AO26" s="703">
        <v>-36.448</v>
      </c>
      <c r="AP26" s="720">
        <f t="shared" si="16"/>
        <v>8.6340000000000003</v>
      </c>
      <c r="AQ26" s="703">
        <v>8.6340000000000003</v>
      </c>
      <c r="AR26" s="703">
        <v>-27.902000000000001</v>
      </c>
      <c r="AS26" s="703">
        <v>-32.328000000000003</v>
      </c>
      <c r="AT26" s="703">
        <v>-39.607999999999997</v>
      </c>
      <c r="AU26" s="720">
        <f t="shared" si="17"/>
        <v>3.1040000000000001</v>
      </c>
      <c r="AV26" s="700">
        <v>3.1040000000000001</v>
      </c>
    </row>
    <row r="27" spans="2:48" x14ac:dyDescent="0.2">
      <c r="B27" s="694" t="s">
        <v>395</v>
      </c>
      <c r="C27" s="718">
        <v>39.847999999999999</v>
      </c>
      <c r="D27" s="703">
        <v>-20</v>
      </c>
      <c r="E27" s="703">
        <v>-17.263999999999999</v>
      </c>
      <c r="F27" s="703">
        <v>-19.433</v>
      </c>
      <c r="G27" s="719">
        <f t="shared" ref="G27:G29" si="26">H27</f>
        <v>37.186</v>
      </c>
      <c r="H27" s="703">
        <v>37.186</v>
      </c>
      <c r="I27" s="703">
        <v>-32.741999999999997</v>
      </c>
      <c r="J27" s="703">
        <v>-33.585999999999999</v>
      </c>
      <c r="K27" s="703">
        <v>-32.520000000000003</v>
      </c>
      <c r="L27" s="720">
        <f t="shared" ref="L27:L29" si="27">M27</f>
        <v>35.994999999999997</v>
      </c>
      <c r="M27" s="703">
        <v>35.994999999999997</v>
      </c>
      <c r="N27" s="703">
        <v>-47.35</v>
      </c>
      <c r="O27" s="703">
        <v>-39.948</v>
      </c>
      <c r="P27" s="703">
        <v>-44.988999999999997</v>
      </c>
      <c r="Q27" s="720">
        <f t="shared" ref="Q27:Q29" si="28">R27</f>
        <v>29.439</v>
      </c>
      <c r="R27" s="703">
        <v>29.439</v>
      </c>
      <c r="S27" s="703">
        <v>-43.381999999999998</v>
      </c>
      <c r="T27" s="703">
        <v>-35.100999999999999</v>
      </c>
      <c r="U27" s="703">
        <v>-46.929000000000002</v>
      </c>
      <c r="V27" s="720">
        <f t="shared" ref="V27:V29" si="29">W27</f>
        <v>18.315999999999999</v>
      </c>
      <c r="W27" s="703">
        <v>18.315999999999999</v>
      </c>
      <c r="X27" s="703">
        <v>-9.7870000000000008</v>
      </c>
      <c r="Y27" s="703">
        <v>-5.6879999999999997</v>
      </c>
      <c r="Z27" s="703">
        <v>-5.8979999999999997</v>
      </c>
      <c r="AA27" s="720">
        <f t="shared" si="13"/>
        <v>15.578000000000001</v>
      </c>
      <c r="AB27" s="703">
        <v>15.578000000000001</v>
      </c>
      <c r="AC27" s="703">
        <v>-85.745000000000005</v>
      </c>
      <c r="AD27" s="703">
        <v>-55.476999999999997</v>
      </c>
      <c r="AE27" s="703">
        <v>-48.317</v>
      </c>
      <c r="AF27" s="720">
        <f t="shared" si="14"/>
        <v>-8.3089999999999993</v>
      </c>
      <c r="AG27" s="703">
        <v>-8.3089999999999993</v>
      </c>
      <c r="AH27" s="703">
        <v>-6.1589999999999998</v>
      </c>
      <c r="AI27" s="703">
        <v>50.396999999999998</v>
      </c>
      <c r="AJ27" s="703">
        <v>1.5169999999999999</v>
      </c>
      <c r="AK27" s="720">
        <f t="shared" si="15"/>
        <v>50.103000000000002</v>
      </c>
      <c r="AL27" s="703">
        <v>50.103000000000002</v>
      </c>
      <c r="AM27" s="703">
        <v>-40.756</v>
      </c>
      <c r="AN27" s="703">
        <v>-16.567</v>
      </c>
      <c r="AO27" s="703">
        <v>-30.904</v>
      </c>
      <c r="AP27" s="720">
        <f t="shared" si="16"/>
        <v>-9.9390000000000001</v>
      </c>
      <c r="AQ27" s="703">
        <v>-9.9390000000000001</v>
      </c>
      <c r="AR27" s="703">
        <v>10.282999999999999</v>
      </c>
      <c r="AS27" s="703">
        <v>0.624</v>
      </c>
      <c r="AT27" s="703">
        <v>28.859000000000002</v>
      </c>
      <c r="AU27" s="720">
        <f t="shared" si="17"/>
        <v>37.423999999999999</v>
      </c>
      <c r="AV27" s="700">
        <v>37.423999999999999</v>
      </c>
    </row>
    <row r="28" spans="2:48" x14ac:dyDescent="0.2">
      <c r="B28" s="694" t="s">
        <v>426</v>
      </c>
      <c r="C28" s="721"/>
      <c r="D28" s="720"/>
      <c r="E28" s="720"/>
      <c r="F28" s="720"/>
      <c r="G28" s="719">
        <f t="shared" si="26"/>
        <v>0</v>
      </c>
      <c r="H28" s="720"/>
      <c r="I28" s="720"/>
      <c r="J28" s="720"/>
      <c r="K28" s="720"/>
      <c r="L28" s="720">
        <f t="shared" si="27"/>
        <v>0</v>
      </c>
      <c r="M28" s="720"/>
      <c r="N28" s="720"/>
      <c r="O28" s="720"/>
      <c r="P28" s="720"/>
      <c r="Q28" s="720">
        <f t="shared" si="28"/>
        <v>0</v>
      </c>
      <c r="R28" s="720"/>
      <c r="S28" s="720"/>
      <c r="T28" s="720"/>
      <c r="U28" s="720"/>
      <c r="V28" s="720">
        <f t="shared" si="29"/>
        <v>0</v>
      </c>
      <c r="W28" s="720"/>
      <c r="X28" s="720"/>
      <c r="Y28" s="720"/>
      <c r="Z28" s="720"/>
      <c r="AA28" s="720">
        <f t="shared" si="13"/>
        <v>0</v>
      </c>
      <c r="AB28" s="720"/>
      <c r="AC28" s="720"/>
      <c r="AD28" s="720"/>
      <c r="AE28" s="720"/>
      <c r="AF28" s="720">
        <f t="shared" si="14"/>
        <v>0</v>
      </c>
      <c r="AG28" s="720"/>
      <c r="AH28" s="720"/>
      <c r="AI28" s="720"/>
      <c r="AJ28" s="720"/>
      <c r="AK28" s="720">
        <f t="shared" si="15"/>
        <v>0</v>
      </c>
      <c r="AL28" s="720"/>
      <c r="AM28" s="720"/>
      <c r="AN28" s="720"/>
      <c r="AO28" s="720"/>
      <c r="AP28" s="720">
        <f t="shared" si="16"/>
        <v>0</v>
      </c>
      <c r="AQ28" s="720"/>
      <c r="AR28" s="720"/>
      <c r="AS28" s="720"/>
      <c r="AT28" s="720"/>
      <c r="AU28" s="720">
        <f t="shared" si="17"/>
        <v>0</v>
      </c>
      <c r="AV28" s="701"/>
    </row>
    <row r="29" spans="2:48" x14ac:dyDescent="0.2">
      <c r="B29" s="694" t="s">
        <v>427</v>
      </c>
      <c r="C29" s="721"/>
      <c r="D29" s="720"/>
      <c r="E29" s="720"/>
      <c r="F29" s="720"/>
      <c r="G29" s="719">
        <f t="shared" si="26"/>
        <v>0</v>
      </c>
      <c r="H29" s="720"/>
      <c r="I29" s="720"/>
      <c r="J29" s="720"/>
      <c r="K29" s="720"/>
      <c r="L29" s="720">
        <f t="shared" si="27"/>
        <v>0</v>
      </c>
      <c r="M29" s="720"/>
      <c r="N29" s="720"/>
      <c r="O29" s="720"/>
      <c r="P29" s="720"/>
      <c r="Q29" s="720">
        <f t="shared" si="28"/>
        <v>0</v>
      </c>
      <c r="R29" s="720"/>
      <c r="S29" s="720"/>
      <c r="T29" s="720"/>
      <c r="U29" s="720"/>
      <c r="V29" s="720">
        <f t="shared" si="29"/>
        <v>0</v>
      </c>
      <c r="W29" s="720"/>
      <c r="X29" s="720"/>
      <c r="Y29" s="720"/>
      <c r="Z29" s="720"/>
      <c r="AA29" s="720">
        <f t="shared" si="13"/>
        <v>0</v>
      </c>
      <c r="AB29" s="720"/>
      <c r="AC29" s="720"/>
      <c r="AD29" s="720"/>
      <c r="AE29" s="720"/>
      <c r="AF29" s="720">
        <f t="shared" si="14"/>
        <v>0</v>
      </c>
      <c r="AG29" s="720"/>
      <c r="AH29" s="720"/>
      <c r="AI29" s="720"/>
      <c r="AJ29" s="720"/>
      <c r="AK29" s="720">
        <f t="shared" si="15"/>
        <v>0</v>
      </c>
      <c r="AL29" s="720"/>
      <c r="AM29" s="720"/>
      <c r="AN29" s="720"/>
      <c r="AO29" s="720"/>
      <c r="AP29" s="720">
        <f t="shared" si="16"/>
        <v>0</v>
      </c>
      <c r="AQ29" s="720"/>
      <c r="AR29" s="720"/>
      <c r="AS29" s="720"/>
      <c r="AT29" s="720"/>
      <c r="AU29" s="720">
        <f t="shared" si="17"/>
        <v>0</v>
      </c>
      <c r="AV29" s="701"/>
    </row>
    <row r="30" spans="2:48" x14ac:dyDescent="0.2">
      <c r="B30" s="1539" t="s">
        <v>428</v>
      </c>
      <c r="C30" s="1537">
        <f t="shared" ref="C30:AV30" si="30">SUM(C18:C29)</f>
        <v>239.64900000000006</v>
      </c>
      <c r="D30" s="1538">
        <f t="shared" si="30"/>
        <v>65.347999999999985</v>
      </c>
      <c r="E30" s="1538">
        <f t="shared" si="30"/>
        <v>120.96599999999999</v>
      </c>
      <c r="F30" s="1538">
        <f t="shared" si="30"/>
        <v>161.08600000000001</v>
      </c>
      <c r="G30" s="1538">
        <f t="shared" si="30"/>
        <v>235.42300000000003</v>
      </c>
      <c r="H30" s="1538">
        <f t="shared" si="30"/>
        <v>235.42300000000003</v>
      </c>
      <c r="I30" s="1538">
        <f t="shared" si="30"/>
        <v>76.307999999999993</v>
      </c>
      <c r="J30" s="1538">
        <f t="shared" si="30"/>
        <v>151.786</v>
      </c>
      <c r="K30" s="1538">
        <f t="shared" si="30"/>
        <v>216.52999999999997</v>
      </c>
      <c r="L30" s="708">
        <f t="shared" si="30"/>
        <v>302.52000000000004</v>
      </c>
      <c r="M30" s="708">
        <f t="shared" si="30"/>
        <v>302.52000000000004</v>
      </c>
      <c r="N30" s="1538">
        <f t="shared" si="30"/>
        <v>48.103999999999992</v>
      </c>
      <c r="O30" s="1538">
        <f t="shared" si="30"/>
        <v>113.93900000000002</v>
      </c>
      <c r="P30" s="1538">
        <f t="shared" si="30"/>
        <v>154.21000000000006</v>
      </c>
      <c r="Q30" s="708">
        <f t="shared" si="30"/>
        <v>238.79599999999996</v>
      </c>
      <c r="R30" s="708">
        <f t="shared" si="30"/>
        <v>238.79599999999996</v>
      </c>
      <c r="S30" s="1538">
        <f t="shared" si="30"/>
        <v>74.942999999999984</v>
      </c>
      <c r="T30" s="1538">
        <f t="shared" si="30"/>
        <v>140.548</v>
      </c>
      <c r="U30" s="1538">
        <f t="shared" si="30"/>
        <v>182.10599999999999</v>
      </c>
      <c r="V30" s="708">
        <f t="shared" si="30"/>
        <v>291.31499999999994</v>
      </c>
      <c r="W30" s="708">
        <f t="shared" si="30"/>
        <v>291.31499999999994</v>
      </c>
      <c r="X30" s="708">
        <f t="shared" si="30"/>
        <v>33.51600000000002</v>
      </c>
      <c r="Y30" s="708">
        <f t="shared" si="30"/>
        <v>83.768999999999977</v>
      </c>
      <c r="Z30" s="708">
        <f t="shared" si="30"/>
        <v>116.20699999999997</v>
      </c>
      <c r="AA30" s="708">
        <f t="shared" si="30"/>
        <v>218.76099999999997</v>
      </c>
      <c r="AB30" s="708">
        <f t="shared" si="30"/>
        <v>218.76099999999997</v>
      </c>
      <c r="AC30" s="708">
        <f t="shared" si="30"/>
        <v>-32.980000000000018</v>
      </c>
      <c r="AD30" s="708">
        <f t="shared" si="30"/>
        <v>-35.683999999999997</v>
      </c>
      <c r="AE30" s="708">
        <f t="shared" si="30"/>
        <v>-32.736000000000004</v>
      </c>
      <c r="AF30" s="708">
        <f t="shared" si="30"/>
        <v>2.9080000000000226</v>
      </c>
      <c r="AG30" s="708">
        <f t="shared" si="30"/>
        <v>2.9080000000000226</v>
      </c>
      <c r="AH30" s="708">
        <f t="shared" si="30"/>
        <v>21.641999999999999</v>
      </c>
      <c r="AI30" s="708">
        <f t="shared" si="30"/>
        <v>130.43800000000002</v>
      </c>
      <c r="AJ30" s="708">
        <f t="shared" si="30"/>
        <v>119.16000000000005</v>
      </c>
      <c r="AK30" s="708">
        <f t="shared" si="30"/>
        <v>213.00600000000003</v>
      </c>
      <c r="AL30" s="708">
        <f t="shared" si="30"/>
        <v>213.00600000000003</v>
      </c>
      <c r="AM30" s="708">
        <f t="shared" si="30"/>
        <v>33.512</v>
      </c>
      <c r="AN30" s="708">
        <f t="shared" si="30"/>
        <v>87.516999999999996</v>
      </c>
      <c r="AO30" s="708">
        <f t="shared" si="30"/>
        <v>98.896999999999963</v>
      </c>
      <c r="AP30" s="708">
        <f t="shared" si="30"/>
        <v>161.92600000000002</v>
      </c>
      <c r="AQ30" s="708">
        <f t="shared" si="30"/>
        <v>161.92600000000002</v>
      </c>
      <c r="AR30" s="708">
        <f t="shared" si="30"/>
        <v>65.034999999999982</v>
      </c>
      <c r="AS30" s="708">
        <f t="shared" si="30"/>
        <v>101.51599999999999</v>
      </c>
      <c r="AT30" s="708">
        <f t="shared" si="30"/>
        <v>150.54599999999996</v>
      </c>
      <c r="AU30" s="708">
        <f t="shared" si="30"/>
        <v>218.40100000000001</v>
      </c>
      <c r="AV30" s="709">
        <f t="shared" si="30"/>
        <v>218.40100000000001</v>
      </c>
    </row>
    <row r="31" spans="2:48" x14ac:dyDescent="0.2">
      <c r="B31" s="696"/>
      <c r="C31" s="722"/>
      <c r="D31" s="723"/>
      <c r="E31" s="723"/>
      <c r="F31" s="723"/>
      <c r="G31" s="723"/>
      <c r="H31" s="723"/>
      <c r="I31" s="723"/>
      <c r="J31" s="723"/>
      <c r="K31" s="723"/>
      <c r="L31" s="723"/>
      <c r="M31" s="723"/>
      <c r="N31" s="723"/>
      <c r="O31" s="723"/>
      <c r="P31" s="723"/>
      <c r="Q31" s="723"/>
      <c r="R31" s="723"/>
      <c r="S31" s="723"/>
      <c r="T31" s="723"/>
      <c r="U31" s="723"/>
      <c r="V31" s="723"/>
      <c r="W31" s="723"/>
      <c r="X31" s="723"/>
      <c r="Y31" s="723"/>
      <c r="Z31" s="723"/>
      <c r="AA31" s="723"/>
      <c r="AB31" s="723"/>
      <c r="AC31" s="723"/>
      <c r="AD31" s="723"/>
      <c r="AE31" s="723"/>
      <c r="AF31" s="723"/>
      <c r="AG31" s="723"/>
      <c r="AH31" s="723"/>
      <c r="AI31" s="723"/>
      <c r="AJ31" s="723"/>
      <c r="AK31" s="723"/>
      <c r="AL31" s="723"/>
      <c r="AM31" s="723"/>
      <c r="AN31" s="723"/>
      <c r="AO31" s="723"/>
      <c r="AP31" s="723"/>
      <c r="AQ31" s="723"/>
      <c r="AR31" s="723"/>
      <c r="AS31" s="723"/>
      <c r="AT31" s="723"/>
      <c r="AU31" s="723"/>
      <c r="AV31" s="702"/>
    </row>
    <row r="32" spans="2:48" x14ac:dyDescent="0.2">
      <c r="B32" s="1535" t="s">
        <v>104</v>
      </c>
      <c r="C32" s="722"/>
      <c r="D32" s="723"/>
      <c r="E32" s="723"/>
      <c r="F32" s="723"/>
      <c r="G32" s="723"/>
      <c r="H32" s="723"/>
      <c r="I32" s="723"/>
      <c r="J32" s="723"/>
      <c r="K32" s="723"/>
      <c r="L32" s="723"/>
      <c r="M32" s="723"/>
      <c r="N32" s="723"/>
      <c r="O32" s="723"/>
      <c r="P32" s="723"/>
      <c r="Q32" s="723"/>
      <c r="R32" s="723"/>
      <c r="S32" s="723"/>
      <c r="T32" s="723"/>
      <c r="U32" s="723"/>
      <c r="V32" s="723"/>
      <c r="W32" s="723"/>
      <c r="X32" s="723"/>
      <c r="Y32" s="723"/>
      <c r="Z32" s="723"/>
      <c r="AA32" s="723"/>
      <c r="AB32" s="723"/>
      <c r="AC32" s="723"/>
      <c r="AD32" s="723"/>
      <c r="AE32" s="723"/>
      <c r="AF32" s="723"/>
      <c r="AG32" s="723"/>
      <c r="AH32" s="723"/>
      <c r="AI32" s="723"/>
      <c r="AJ32" s="723"/>
      <c r="AK32" s="723"/>
      <c r="AL32" s="723"/>
      <c r="AM32" s="723"/>
      <c r="AN32" s="723"/>
      <c r="AO32" s="723"/>
      <c r="AP32" s="723"/>
      <c r="AQ32" s="723"/>
      <c r="AR32" s="723"/>
      <c r="AS32" s="723"/>
      <c r="AT32" s="723"/>
      <c r="AU32" s="723"/>
      <c r="AV32" s="702"/>
    </row>
    <row r="33" spans="2:48" x14ac:dyDescent="0.2">
      <c r="B33" s="694" t="s">
        <v>429</v>
      </c>
      <c r="C33" s="718">
        <v>-113.982</v>
      </c>
      <c r="D33" s="703">
        <v>-24.151</v>
      </c>
      <c r="E33" s="703">
        <v>-59.472999999999999</v>
      </c>
      <c r="F33" s="703">
        <v>-108.593</v>
      </c>
      <c r="G33" s="719">
        <f t="shared" ref="G33:G35" si="31">H33</f>
        <v>-153.941</v>
      </c>
      <c r="H33" s="703">
        <v>-153.941</v>
      </c>
      <c r="I33" s="703">
        <v>-22.440999999999999</v>
      </c>
      <c r="J33" s="703">
        <v>-40.207999999999998</v>
      </c>
      <c r="K33" s="703">
        <v>-70.606999999999999</v>
      </c>
      <c r="L33" s="720">
        <f t="shared" ref="L33:L35" si="32">M33</f>
        <v>-115.821</v>
      </c>
      <c r="M33" s="703">
        <v>-115.821</v>
      </c>
      <c r="N33" s="703">
        <v>-19.222999999999999</v>
      </c>
      <c r="O33" s="703">
        <v>-43.698999999999998</v>
      </c>
      <c r="P33" s="703">
        <v>-73.417000000000002</v>
      </c>
      <c r="Q33" s="720">
        <f t="shared" ref="Q33:Q35" si="33">R33</f>
        <v>-120.779</v>
      </c>
      <c r="R33" s="703">
        <v>-120.779</v>
      </c>
      <c r="S33" s="703">
        <v>-30.687999999999999</v>
      </c>
      <c r="T33" s="703">
        <v>-51.87</v>
      </c>
      <c r="U33" s="703">
        <v>-78.715999999999994</v>
      </c>
      <c r="V33" s="720">
        <f t="shared" ref="V33:V35" si="34">W33</f>
        <v>-102.90900000000001</v>
      </c>
      <c r="W33" s="703">
        <v>-102.90900000000001</v>
      </c>
      <c r="X33" s="703">
        <v>-13.351000000000001</v>
      </c>
      <c r="Y33" s="703">
        <v>-29.370999999999999</v>
      </c>
      <c r="Z33" s="703">
        <v>-46.701999999999998</v>
      </c>
      <c r="AA33" s="720">
        <f t="shared" ref="AA33:AA34" si="35">AB33</f>
        <v>-73.765000000000001</v>
      </c>
      <c r="AB33" s="703">
        <v>-73.765000000000001</v>
      </c>
      <c r="AC33" s="703">
        <v>-15.775</v>
      </c>
      <c r="AD33" s="703">
        <v>-29.423999999999999</v>
      </c>
      <c r="AE33" s="703">
        <v>-38.270000000000003</v>
      </c>
      <c r="AF33" s="720">
        <f t="shared" ref="AF33:AF40" si="36">AG33</f>
        <v>-50.329000000000001</v>
      </c>
      <c r="AG33" s="703">
        <v>-50.329000000000001</v>
      </c>
      <c r="AH33" s="703">
        <v>-7.2270000000000003</v>
      </c>
      <c r="AI33" s="703">
        <v>-30.902000000000001</v>
      </c>
      <c r="AJ33" s="703">
        <v>-49.158000000000001</v>
      </c>
      <c r="AK33" s="720">
        <f t="shared" ref="AK33:AK41" si="37">AL33</f>
        <v>-66.942999999999998</v>
      </c>
      <c r="AL33" s="703">
        <v>-66.942999999999998</v>
      </c>
      <c r="AM33" s="703">
        <v>-29.093</v>
      </c>
      <c r="AN33" s="703">
        <v>-46.381999999999998</v>
      </c>
      <c r="AO33" s="703">
        <v>-78.052999999999997</v>
      </c>
      <c r="AP33" s="720">
        <f t="shared" ref="AP33:AP41" si="38">AQ33</f>
        <v>-112.464</v>
      </c>
      <c r="AQ33" s="703">
        <v>-112.464</v>
      </c>
      <c r="AR33" s="703">
        <v>-37.962000000000003</v>
      </c>
      <c r="AS33" s="703">
        <v>-62.66</v>
      </c>
      <c r="AT33" s="703">
        <v>-99.923000000000002</v>
      </c>
      <c r="AU33" s="720">
        <f t="shared" ref="AU33:AU41" si="39">AV33</f>
        <v>-151.565</v>
      </c>
      <c r="AV33" s="700">
        <v>-151.565</v>
      </c>
    </row>
    <row r="34" spans="2:48" x14ac:dyDescent="0.2">
      <c r="B34" s="694" t="s">
        <v>430</v>
      </c>
      <c r="C34" s="718">
        <v>-1.879</v>
      </c>
      <c r="D34" s="703">
        <v>-0.54700000000000004</v>
      </c>
      <c r="E34" s="703">
        <v>-0.94799999999999995</v>
      </c>
      <c r="F34" s="703">
        <v>-1.276</v>
      </c>
      <c r="G34" s="719">
        <f t="shared" si="31"/>
        <v>-1.76</v>
      </c>
      <c r="H34" s="703">
        <v>-1.76</v>
      </c>
      <c r="I34" s="703">
        <v>-0.62</v>
      </c>
      <c r="J34" s="703">
        <v>-0.92400000000000004</v>
      </c>
      <c r="K34" s="703">
        <v>-1.294</v>
      </c>
      <c r="L34" s="720">
        <f t="shared" si="32"/>
        <v>-1.6400000000000001</v>
      </c>
      <c r="M34" s="703">
        <v>-1.6400000000000001</v>
      </c>
      <c r="N34" s="703">
        <v>-0.30199999999999999</v>
      </c>
      <c r="O34" s="703">
        <v>-0.61899999999999999</v>
      </c>
      <c r="P34" s="703">
        <v>-0.90300000000000002</v>
      </c>
      <c r="Q34" s="720">
        <f t="shared" si="33"/>
        <v>-1.6539999999999999</v>
      </c>
      <c r="R34" s="703">
        <v>-1.6539999999999999</v>
      </c>
      <c r="S34" s="703">
        <v>-0.307</v>
      </c>
      <c r="T34" s="703">
        <v>-0.73499999999999999</v>
      </c>
      <c r="U34" s="703">
        <v>-2.677</v>
      </c>
      <c r="V34" s="720">
        <f t="shared" si="34"/>
        <v>-3.02</v>
      </c>
      <c r="W34" s="703">
        <v>-3.02</v>
      </c>
      <c r="X34" s="703">
        <v>-9.6000000000000002E-2</v>
      </c>
      <c r="Y34" s="703">
        <v>-0.19800000000000001</v>
      </c>
      <c r="Z34" s="703">
        <v>-0.35299999999999998</v>
      </c>
      <c r="AA34" s="720">
        <f t="shared" si="35"/>
        <v>-2.1</v>
      </c>
      <c r="AB34" s="703">
        <v>-2.1</v>
      </c>
      <c r="AC34" s="703">
        <v>-0.128</v>
      </c>
      <c r="AD34" s="703">
        <v>-0.22700000000000001</v>
      </c>
      <c r="AE34" s="703">
        <v>-0.36499999999999999</v>
      </c>
      <c r="AF34" s="720">
        <f t="shared" si="36"/>
        <v>-0.58499999999999996</v>
      </c>
      <c r="AG34" s="703">
        <v>-0.58499999999999996</v>
      </c>
      <c r="AH34" s="703">
        <v>-0.48</v>
      </c>
      <c r="AI34" s="703">
        <v>-0.312</v>
      </c>
      <c r="AJ34" s="703">
        <v>-0.48199999999999998</v>
      </c>
      <c r="AK34" s="720">
        <f t="shared" si="37"/>
        <v>-0.60599999999999998</v>
      </c>
      <c r="AL34" s="703">
        <v>-0.60599999999999998</v>
      </c>
      <c r="AM34" s="703">
        <v>-0.13900000000000001</v>
      </c>
      <c r="AN34" s="703">
        <v>-0.28199999999999997</v>
      </c>
      <c r="AO34" s="703">
        <v>-0.48899999999999999</v>
      </c>
      <c r="AP34" s="720">
        <f t="shared" si="38"/>
        <v>-0.68</v>
      </c>
      <c r="AQ34" s="703">
        <v>-0.68</v>
      </c>
      <c r="AR34" s="703">
        <v>-0.182</v>
      </c>
      <c r="AS34" s="703">
        <v>-0.39200000000000002</v>
      </c>
      <c r="AT34" s="703">
        <v>-0.56699999999999995</v>
      </c>
      <c r="AU34" s="720">
        <f t="shared" si="39"/>
        <v>-1.6579999999999999</v>
      </c>
      <c r="AV34" s="700">
        <v>-1.6579999999999999</v>
      </c>
    </row>
    <row r="35" spans="2:48" x14ac:dyDescent="0.2">
      <c r="B35" s="694" t="s">
        <v>386</v>
      </c>
      <c r="C35" s="721"/>
      <c r="D35" s="720"/>
      <c r="E35" s="720"/>
      <c r="F35" s="720"/>
      <c r="G35" s="719">
        <f t="shared" si="31"/>
        <v>0</v>
      </c>
      <c r="H35" s="720"/>
      <c r="I35" s="720"/>
      <c r="J35" s="720"/>
      <c r="K35" s="720"/>
      <c r="L35" s="720">
        <f t="shared" si="32"/>
        <v>-42</v>
      </c>
      <c r="M35" s="703">
        <v>-42</v>
      </c>
      <c r="N35" s="703">
        <v>-8.7999999999999995E-2</v>
      </c>
      <c r="O35" s="703">
        <v>-9</v>
      </c>
      <c r="P35" s="703">
        <v>-9</v>
      </c>
      <c r="Q35" s="720">
        <f t="shared" si="33"/>
        <v>-18</v>
      </c>
      <c r="R35" s="703">
        <v>-18</v>
      </c>
      <c r="S35" s="703">
        <v>0</v>
      </c>
      <c r="T35" s="703">
        <v>-14</v>
      </c>
      <c r="U35" s="703">
        <v>-25</v>
      </c>
      <c r="V35" s="720">
        <f t="shared" si="34"/>
        <v>-25</v>
      </c>
      <c r="W35" s="703">
        <v>-25</v>
      </c>
      <c r="X35" s="703">
        <v>-3</v>
      </c>
      <c r="Y35" s="703">
        <v>-3</v>
      </c>
      <c r="Z35" s="703">
        <v>-3</v>
      </c>
      <c r="AA35" s="720">
        <f t="shared" ref="AA35:AA36" si="40">0+(AB35)</f>
        <v>-3</v>
      </c>
      <c r="AB35" s="703">
        <v>-3</v>
      </c>
      <c r="AC35" s="720"/>
      <c r="AD35" s="720"/>
      <c r="AE35" s="720"/>
      <c r="AF35" s="720">
        <f t="shared" si="36"/>
        <v>0</v>
      </c>
      <c r="AG35" s="720"/>
      <c r="AH35" s="720"/>
      <c r="AI35" s="720"/>
      <c r="AJ35" s="720"/>
      <c r="AK35" s="720">
        <f t="shared" si="37"/>
        <v>0</v>
      </c>
      <c r="AL35" s="720"/>
      <c r="AM35" s="720"/>
      <c r="AN35" s="720"/>
      <c r="AO35" s="720"/>
      <c r="AP35" s="720">
        <f t="shared" si="38"/>
        <v>0</v>
      </c>
      <c r="AQ35" s="720"/>
      <c r="AR35" s="720"/>
      <c r="AS35" s="720"/>
      <c r="AT35" s="720"/>
      <c r="AU35" s="720">
        <f t="shared" si="39"/>
        <v>0</v>
      </c>
      <c r="AV35" s="701"/>
    </row>
    <row r="36" spans="2:48" x14ac:dyDescent="0.2">
      <c r="B36" s="694" t="s">
        <v>431</v>
      </c>
      <c r="C36" s="721"/>
      <c r="D36" s="720"/>
      <c r="E36" s="720"/>
      <c r="F36" s="720"/>
      <c r="G36" s="720"/>
      <c r="H36" s="720"/>
      <c r="I36" s="720"/>
      <c r="J36" s="720"/>
      <c r="K36" s="720"/>
      <c r="L36" s="720"/>
      <c r="M36" s="720"/>
      <c r="N36" s="720"/>
      <c r="O36" s="720"/>
      <c r="P36" s="720"/>
      <c r="Q36" s="720"/>
      <c r="R36" s="720"/>
      <c r="S36" s="720"/>
      <c r="T36" s="720"/>
      <c r="U36" s="720"/>
      <c r="V36" s="720"/>
      <c r="W36" s="720"/>
      <c r="X36" s="703">
        <v>-11</v>
      </c>
      <c r="Y36" s="703">
        <v>-18</v>
      </c>
      <c r="Z36" s="703">
        <v>-22.5</v>
      </c>
      <c r="AA36" s="720">
        <f t="shared" si="40"/>
        <v>-22.5</v>
      </c>
      <c r="AB36" s="703">
        <v>-22.5</v>
      </c>
      <c r="AC36" s="720"/>
      <c r="AD36" s="720"/>
      <c r="AE36" s="720"/>
      <c r="AF36" s="720">
        <f t="shared" si="36"/>
        <v>0</v>
      </c>
      <c r="AG36" s="720"/>
      <c r="AH36" s="720"/>
      <c r="AI36" s="720"/>
      <c r="AJ36" s="720"/>
      <c r="AK36" s="720">
        <f t="shared" si="37"/>
        <v>0</v>
      </c>
      <c r="AL36" s="720"/>
      <c r="AM36" s="720"/>
      <c r="AN36" s="720"/>
      <c r="AO36" s="720"/>
      <c r="AP36" s="720">
        <f t="shared" si="38"/>
        <v>0</v>
      </c>
      <c r="AQ36" s="720"/>
      <c r="AR36" s="720"/>
      <c r="AS36" s="720"/>
      <c r="AT36" s="720"/>
      <c r="AU36" s="720">
        <f t="shared" si="39"/>
        <v>0</v>
      </c>
      <c r="AV36" s="701"/>
    </row>
    <row r="37" spans="2:48" x14ac:dyDescent="0.2">
      <c r="B37" s="694" t="s">
        <v>432</v>
      </c>
      <c r="C37" s="721"/>
      <c r="D37" s="720"/>
      <c r="E37" s="720"/>
      <c r="F37" s="720"/>
      <c r="G37" s="719">
        <f>H37</f>
        <v>0</v>
      </c>
      <c r="H37" s="720"/>
      <c r="I37" s="720"/>
      <c r="J37" s="720"/>
      <c r="K37" s="720"/>
      <c r="L37" s="720">
        <f>M37</f>
        <v>0</v>
      </c>
      <c r="M37" s="720"/>
      <c r="N37" s="720"/>
      <c r="O37" s="720"/>
      <c r="P37" s="720"/>
      <c r="Q37" s="720">
        <f>R37</f>
        <v>0</v>
      </c>
      <c r="R37" s="720"/>
      <c r="S37" s="720"/>
      <c r="T37" s="720"/>
      <c r="U37" s="720"/>
      <c r="V37" s="720">
        <f t="shared" ref="V37:V40" si="41">W37</f>
        <v>0</v>
      </c>
      <c r="W37" s="720"/>
      <c r="X37" s="720"/>
      <c r="Y37" s="720"/>
      <c r="Z37" s="720"/>
      <c r="AA37" s="720">
        <f>AB37</f>
        <v>0</v>
      </c>
      <c r="AB37" s="720"/>
      <c r="AC37" s="720"/>
      <c r="AD37" s="720"/>
      <c r="AE37" s="720"/>
      <c r="AF37" s="720">
        <f t="shared" si="36"/>
        <v>0</v>
      </c>
      <c r="AG37" s="720"/>
      <c r="AH37" s="720"/>
      <c r="AI37" s="720"/>
      <c r="AJ37" s="720"/>
      <c r="AK37" s="720">
        <f t="shared" si="37"/>
        <v>0</v>
      </c>
      <c r="AL37" s="720"/>
      <c r="AM37" s="720"/>
      <c r="AN37" s="720"/>
      <c r="AO37" s="720"/>
      <c r="AP37" s="720">
        <f t="shared" si="38"/>
        <v>0</v>
      </c>
      <c r="AQ37" s="720"/>
      <c r="AR37" s="720"/>
      <c r="AS37" s="720"/>
      <c r="AT37" s="720"/>
      <c r="AU37" s="720">
        <f t="shared" si="39"/>
        <v>0</v>
      </c>
      <c r="AV37" s="701"/>
    </row>
    <row r="38" spans="2:48" x14ac:dyDescent="0.2">
      <c r="B38" s="694" t="s">
        <v>433</v>
      </c>
      <c r="C38" s="721"/>
      <c r="D38" s="720"/>
      <c r="E38" s="720"/>
      <c r="F38" s="720"/>
      <c r="G38" s="720"/>
      <c r="H38" s="720"/>
      <c r="I38" s="720"/>
      <c r="J38" s="720"/>
      <c r="K38" s="720"/>
      <c r="L38" s="720"/>
      <c r="M38" s="720"/>
      <c r="N38" s="720"/>
      <c r="O38" s="720"/>
      <c r="P38" s="720"/>
      <c r="Q38" s="720"/>
      <c r="R38" s="720"/>
      <c r="S38" s="720"/>
      <c r="T38" s="703">
        <v>0.54</v>
      </c>
      <c r="U38" s="703">
        <v>0.54</v>
      </c>
      <c r="V38" s="720">
        <f t="shared" si="41"/>
        <v>0.54</v>
      </c>
      <c r="W38" s="703">
        <v>0.54</v>
      </c>
      <c r="X38" s="720"/>
      <c r="Y38" s="720"/>
      <c r="Z38" s="720"/>
      <c r="AA38" s="720"/>
      <c r="AB38" s="720"/>
      <c r="AC38" s="720"/>
      <c r="AD38" s="720"/>
      <c r="AE38" s="720"/>
      <c r="AF38" s="720">
        <f t="shared" si="36"/>
        <v>0</v>
      </c>
      <c r="AG38" s="720"/>
      <c r="AH38" s="720"/>
      <c r="AI38" s="720"/>
      <c r="AJ38" s="720"/>
      <c r="AK38" s="720">
        <f t="shared" si="37"/>
        <v>0</v>
      </c>
      <c r="AL38" s="720"/>
      <c r="AM38" s="720"/>
      <c r="AN38" s="720"/>
      <c r="AO38" s="720"/>
      <c r="AP38" s="720">
        <f t="shared" si="38"/>
        <v>0</v>
      </c>
      <c r="AQ38" s="720"/>
      <c r="AR38" s="720"/>
      <c r="AS38" s="720"/>
      <c r="AT38" s="720"/>
      <c r="AU38" s="720">
        <f t="shared" si="39"/>
        <v>0</v>
      </c>
      <c r="AV38" s="701"/>
    </row>
    <row r="39" spans="2:48" x14ac:dyDescent="0.2">
      <c r="B39" s="694" t="s">
        <v>434</v>
      </c>
      <c r="C39" s="721"/>
      <c r="D39" s="720"/>
      <c r="E39" s="720"/>
      <c r="F39" s="720"/>
      <c r="G39" s="719">
        <f t="shared" ref="G39:G40" si="42">H39</f>
        <v>0</v>
      </c>
      <c r="H39" s="720"/>
      <c r="I39" s="720"/>
      <c r="J39" s="720"/>
      <c r="K39" s="720"/>
      <c r="L39" s="720">
        <f t="shared" ref="L39:L40" si="43">M39</f>
        <v>0</v>
      </c>
      <c r="M39" s="720"/>
      <c r="N39" s="720"/>
      <c r="O39" s="720"/>
      <c r="P39" s="720"/>
      <c r="Q39" s="720">
        <f t="shared" ref="Q39:Q40" si="44">R39</f>
        <v>0</v>
      </c>
      <c r="R39" s="720"/>
      <c r="S39" s="720"/>
      <c r="T39" s="720"/>
      <c r="U39" s="720"/>
      <c r="V39" s="720">
        <f t="shared" si="41"/>
        <v>0</v>
      </c>
      <c r="W39" s="720"/>
      <c r="X39" s="720"/>
      <c r="Y39" s="720"/>
      <c r="Z39" s="720"/>
      <c r="AA39" s="720">
        <f t="shared" ref="AA39:AA40" si="45">AB39</f>
        <v>-261.69499999999999</v>
      </c>
      <c r="AB39" s="703">
        <v>-261.69499999999999</v>
      </c>
      <c r="AC39" s="720"/>
      <c r="AD39" s="720"/>
      <c r="AE39" s="720"/>
      <c r="AF39" s="720">
        <f t="shared" si="36"/>
        <v>0</v>
      </c>
      <c r="AG39" s="720"/>
      <c r="AH39" s="720"/>
      <c r="AI39" s="720"/>
      <c r="AJ39" s="720"/>
      <c r="AK39" s="720">
        <f t="shared" si="37"/>
        <v>0</v>
      </c>
      <c r="AL39" s="720"/>
      <c r="AM39" s="720"/>
      <c r="AN39" s="720"/>
      <c r="AO39" s="720"/>
      <c r="AP39" s="720">
        <f t="shared" si="38"/>
        <v>0</v>
      </c>
      <c r="AQ39" s="720"/>
      <c r="AR39" s="720"/>
      <c r="AS39" s="720"/>
      <c r="AT39" s="720"/>
      <c r="AU39" s="720">
        <f t="shared" si="39"/>
        <v>0</v>
      </c>
      <c r="AV39" s="701"/>
    </row>
    <row r="40" spans="2:48" x14ac:dyDescent="0.2">
      <c r="B40" s="694" t="s">
        <v>435</v>
      </c>
      <c r="C40" s="721"/>
      <c r="D40" s="720"/>
      <c r="E40" s="720"/>
      <c r="F40" s="720"/>
      <c r="G40" s="719">
        <f t="shared" si="42"/>
        <v>0</v>
      </c>
      <c r="H40" s="720"/>
      <c r="I40" s="720"/>
      <c r="J40" s="720"/>
      <c r="K40" s="720"/>
      <c r="L40" s="720">
        <f t="shared" si="43"/>
        <v>0</v>
      </c>
      <c r="M40" s="720"/>
      <c r="N40" s="720"/>
      <c r="O40" s="720"/>
      <c r="P40" s="720"/>
      <c r="Q40" s="720">
        <f t="shared" si="44"/>
        <v>0</v>
      </c>
      <c r="R40" s="720"/>
      <c r="S40" s="720"/>
      <c r="T40" s="720"/>
      <c r="U40" s="720"/>
      <c r="V40" s="720">
        <f t="shared" si="41"/>
        <v>0</v>
      </c>
      <c r="W40" s="720"/>
      <c r="X40" s="720"/>
      <c r="Y40" s="720"/>
      <c r="Z40" s="720"/>
      <c r="AA40" s="720">
        <f t="shared" si="45"/>
        <v>0</v>
      </c>
      <c r="AB40" s="720"/>
      <c r="AC40" s="720"/>
      <c r="AD40" s="720"/>
      <c r="AE40" s="720"/>
      <c r="AF40" s="720">
        <f t="shared" si="36"/>
        <v>0</v>
      </c>
      <c r="AG40" s="720"/>
      <c r="AH40" s="720"/>
      <c r="AI40" s="720"/>
      <c r="AJ40" s="720"/>
      <c r="AK40" s="720">
        <f t="shared" si="37"/>
        <v>0</v>
      </c>
      <c r="AL40" s="720"/>
      <c r="AM40" s="720"/>
      <c r="AN40" s="720"/>
      <c r="AO40" s="720"/>
      <c r="AP40" s="720">
        <f t="shared" si="38"/>
        <v>0</v>
      </c>
      <c r="AQ40" s="720"/>
      <c r="AR40" s="720"/>
      <c r="AS40" s="720"/>
      <c r="AT40" s="720"/>
      <c r="AU40" s="720">
        <f t="shared" si="39"/>
        <v>0</v>
      </c>
      <c r="AV40" s="701"/>
    </row>
    <row r="41" spans="2:48" x14ac:dyDescent="0.2">
      <c r="B41" s="694" t="s">
        <v>387</v>
      </c>
      <c r="C41" s="721"/>
      <c r="D41" s="720"/>
      <c r="E41" s="720"/>
      <c r="F41" s="720"/>
      <c r="G41" s="720"/>
      <c r="H41" s="720"/>
      <c r="I41" s="720"/>
      <c r="J41" s="720"/>
      <c r="K41" s="720"/>
      <c r="L41" s="720"/>
      <c r="M41" s="720"/>
      <c r="N41" s="720"/>
      <c r="O41" s="720"/>
      <c r="P41" s="720"/>
      <c r="Q41" s="720"/>
      <c r="R41" s="720"/>
      <c r="S41" s="720"/>
      <c r="T41" s="720"/>
      <c r="U41" s="720"/>
      <c r="V41" s="720"/>
      <c r="W41" s="720"/>
      <c r="X41" s="720"/>
      <c r="Y41" s="720"/>
      <c r="Z41" s="720"/>
      <c r="AA41" s="720"/>
      <c r="AB41" s="720"/>
      <c r="AC41" s="720"/>
      <c r="AD41" s="720"/>
      <c r="AE41" s="720"/>
      <c r="AF41" s="720"/>
      <c r="AG41" s="720"/>
      <c r="AH41" s="703">
        <v>-1</v>
      </c>
      <c r="AI41" s="703">
        <v>-1</v>
      </c>
      <c r="AJ41" s="703">
        <v>-1.2829999999999999</v>
      </c>
      <c r="AK41" s="720">
        <f t="shared" si="37"/>
        <v>-1.0609999999999999</v>
      </c>
      <c r="AL41" s="703">
        <v>-1.0609999999999999</v>
      </c>
      <c r="AM41" s="703">
        <v>0.6</v>
      </c>
      <c r="AN41" s="703">
        <v>0.64600000000000002</v>
      </c>
      <c r="AO41" s="703">
        <v>0.48499999999999999</v>
      </c>
      <c r="AP41" s="720">
        <f t="shared" si="38"/>
        <v>0.32900000000000001</v>
      </c>
      <c r="AQ41" s="703">
        <v>0.32900000000000001</v>
      </c>
      <c r="AR41" s="703">
        <v>-1.7999999999999999E-2</v>
      </c>
      <c r="AS41" s="703">
        <v>-0.156</v>
      </c>
      <c r="AT41" s="703">
        <v>-0.158</v>
      </c>
      <c r="AU41" s="720">
        <f t="shared" si="39"/>
        <v>-0.27400000000000002</v>
      </c>
      <c r="AV41" s="700">
        <v>-0.27400000000000002</v>
      </c>
    </row>
    <row r="42" spans="2:48" x14ac:dyDescent="0.2">
      <c r="B42" s="1540" t="s">
        <v>436</v>
      </c>
      <c r="C42" s="1541">
        <f t="shared" ref="C42:AV42" si="46">SUM(C33:C41)</f>
        <v>-115.861</v>
      </c>
      <c r="D42" s="1542">
        <f t="shared" si="46"/>
        <v>-24.698</v>
      </c>
      <c r="E42" s="1542">
        <f t="shared" si="46"/>
        <v>-60.420999999999999</v>
      </c>
      <c r="F42" s="1542">
        <f t="shared" si="46"/>
        <v>-109.869</v>
      </c>
      <c r="G42" s="1542">
        <f t="shared" si="46"/>
        <v>-155.70099999999999</v>
      </c>
      <c r="H42" s="1542">
        <f t="shared" si="46"/>
        <v>-155.70099999999999</v>
      </c>
      <c r="I42" s="1542">
        <f t="shared" si="46"/>
        <v>-23.061</v>
      </c>
      <c r="J42" s="1542">
        <f t="shared" si="46"/>
        <v>-41.131999999999998</v>
      </c>
      <c r="K42" s="1542">
        <f t="shared" si="46"/>
        <v>-71.900999999999996</v>
      </c>
      <c r="L42" s="710">
        <f t="shared" si="46"/>
        <v>-159.46100000000001</v>
      </c>
      <c r="M42" s="710">
        <f t="shared" si="46"/>
        <v>-159.46100000000001</v>
      </c>
      <c r="N42" s="1542">
        <f t="shared" si="46"/>
        <v>-19.613</v>
      </c>
      <c r="O42" s="1542">
        <f t="shared" si="46"/>
        <v>-53.317999999999998</v>
      </c>
      <c r="P42" s="1542">
        <f t="shared" si="46"/>
        <v>-83.320000000000007</v>
      </c>
      <c r="Q42" s="710">
        <f t="shared" si="46"/>
        <v>-140.43299999999999</v>
      </c>
      <c r="R42" s="710">
        <f t="shared" si="46"/>
        <v>-140.43299999999999</v>
      </c>
      <c r="S42" s="1542">
        <f t="shared" si="46"/>
        <v>-30.994999999999997</v>
      </c>
      <c r="T42" s="1542">
        <f t="shared" si="46"/>
        <v>-66.064999999999984</v>
      </c>
      <c r="U42" s="1542">
        <f t="shared" si="46"/>
        <v>-105.85299999999999</v>
      </c>
      <c r="V42" s="710">
        <f t="shared" si="46"/>
        <v>-130.38900000000001</v>
      </c>
      <c r="W42" s="710">
        <f t="shared" si="46"/>
        <v>-130.38900000000001</v>
      </c>
      <c r="X42" s="710">
        <f t="shared" si="46"/>
        <v>-27.447000000000003</v>
      </c>
      <c r="Y42" s="710">
        <f t="shared" si="46"/>
        <v>-50.569000000000003</v>
      </c>
      <c r="Z42" s="710">
        <f t="shared" si="46"/>
        <v>-72.555000000000007</v>
      </c>
      <c r="AA42" s="710">
        <f t="shared" si="46"/>
        <v>-363.06</v>
      </c>
      <c r="AB42" s="710">
        <f t="shared" si="46"/>
        <v>-363.06</v>
      </c>
      <c r="AC42" s="710">
        <f t="shared" si="46"/>
        <v>-15.903</v>
      </c>
      <c r="AD42" s="710">
        <f t="shared" si="46"/>
        <v>-29.651</v>
      </c>
      <c r="AE42" s="710">
        <f t="shared" si="46"/>
        <v>-38.635000000000005</v>
      </c>
      <c r="AF42" s="710">
        <f t="shared" si="46"/>
        <v>-50.914000000000001</v>
      </c>
      <c r="AG42" s="710">
        <f t="shared" si="46"/>
        <v>-50.914000000000001</v>
      </c>
      <c r="AH42" s="710">
        <f t="shared" si="46"/>
        <v>-8.7070000000000007</v>
      </c>
      <c r="AI42" s="710">
        <f t="shared" si="46"/>
        <v>-32.213999999999999</v>
      </c>
      <c r="AJ42" s="710">
        <f t="shared" si="46"/>
        <v>-50.923000000000002</v>
      </c>
      <c r="AK42" s="710">
        <f t="shared" si="46"/>
        <v>-68.609999999999985</v>
      </c>
      <c r="AL42" s="710">
        <f t="shared" si="46"/>
        <v>-68.609999999999985</v>
      </c>
      <c r="AM42" s="710">
        <f t="shared" si="46"/>
        <v>-28.631999999999998</v>
      </c>
      <c r="AN42" s="710">
        <f t="shared" si="46"/>
        <v>-46.017999999999994</v>
      </c>
      <c r="AO42" s="710">
        <f t="shared" si="46"/>
        <v>-78.057000000000002</v>
      </c>
      <c r="AP42" s="710">
        <f t="shared" si="46"/>
        <v>-112.81500000000001</v>
      </c>
      <c r="AQ42" s="710">
        <f t="shared" si="46"/>
        <v>-112.81500000000001</v>
      </c>
      <c r="AR42" s="710">
        <f t="shared" si="46"/>
        <v>-38.162000000000006</v>
      </c>
      <c r="AS42" s="710">
        <f t="shared" si="46"/>
        <v>-63.207999999999998</v>
      </c>
      <c r="AT42" s="710">
        <f t="shared" si="46"/>
        <v>-100.648</v>
      </c>
      <c r="AU42" s="710">
        <f t="shared" si="46"/>
        <v>-153.49699999999999</v>
      </c>
      <c r="AV42" s="711">
        <f t="shared" si="46"/>
        <v>-153.49699999999999</v>
      </c>
    </row>
    <row r="43" spans="2:48" x14ac:dyDescent="0.2">
      <c r="B43" s="696"/>
      <c r="C43" s="722"/>
      <c r="D43" s="723"/>
      <c r="E43" s="723"/>
      <c r="F43" s="723"/>
      <c r="G43" s="723"/>
      <c r="H43" s="723"/>
      <c r="I43" s="723"/>
      <c r="J43" s="723"/>
      <c r="K43" s="723"/>
      <c r="L43" s="723"/>
      <c r="M43" s="723"/>
      <c r="N43" s="723"/>
      <c r="O43" s="723"/>
      <c r="P43" s="723"/>
      <c r="Q43" s="723"/>
      <c r="R43" s="723"/>
      <c r="S43" s="723"/>
      <c r="T43" s="723"/>
      <c r="U43" s="723"/>
      <c r="V43" s="723"/>
      <c r="W43" s="723"/>
      <c r="X43" s="723"/>
      <c r="Y43" s="723"/>
      <c r="Z43" s="723"/>
      <c r="AA43" s="723"/>
      <c r="AB43" s="723"/>
      <c r="AC43" s="723"/>
      <c r="AD43" s="723"/>
      <c r="AE43" s="723"/>
      <c r="AF43" s="723"/>
      <c r="AG43" s="723"/>
      <c r="AH43" s="723"/>
      <c r="AI43" s="723"/>
      <c r="AJ43" s="723"/>
      <c r="AK43" s="723"/>
      <c r="AL43" s="723"/>
      <c r="AM43" s="723"/>
      <c r="AN43" s="723"/>
      <c r="AO43" s="723"/>
      <c r="AP43" s="723"/>
      <c r="AQ43" s="723"/>
      <c r="AR43" s="723"/>
      <c r="AS43" s="723"/>
      <c r="AT43" s="723"/>
      <c r="AU43" s="723"/>
      <c r="AV43" s="702"/>
    </row>
    <row r="44" spans="2:48" x14ac:dyDescent="0.2">
      <c r="B44" s="1535" t="s">
        <v>111</v>
      </c>
      <c r="C44" s="722"/>
      <c r="D44" s="723"/>
      <c r="E44" s="723"/>
      <c r="F44" s="723"/>
      <c r="G44" s="723"/>
      <c r="H44" s="723"/>
      <c r="I44" s="723"/>
      <c r="J44" s="723"/>
      <c r="K44" s="723"/>
      <c r="L44" s="723"/>
      <c r="M44" s="723"/>
      <c r="N44" s="723"/>
      <c r="O44" s="723"/>
      <c r="P44" s="723"/>
      <c r="Q44" s="723"/>
      <c r="R44" s="723"/>
      <c r="S44" s="723"/>
      <c r="T44" s="723"/>
      <c r="U44" s="723"/>
      <c r="V44" s="723"/>
      <c r="W44" s="723"/>
      <c r="X44" s="723"/>
      <c r="Y44" s="723"/>
      <c r="Z44" s="723"/>
      <c r="AA44" s="723"/>
      <c r="AB44" s="723"/>
      <c r="AC44" s="723"/>
      <c r="AD44" s="723"/>
      <c r="AE44" s="723"/>
      <c r="AF44" s="723"/>
      <c r="AG44" s="723"/>
      <c r="AH44" s="723"/>
      <c r="AI44" s="723"/>
      <c r="AJ44" s="723"/>
      <c r="AK44" s="723"/>
      <c r="AL44" s="723"/>
      <c r="AM44" s="723"/>
      <c r="AN44" s="723"/>
      <c r="AO44" s="723"/>
      <c r="AP44" s="723"/>
      <c r="AQ44" s="723"/>
      <c r="AR44" s="723"/>
      <c r="AS44" s="723"/>
      <c r="AT44" s="723"/>
      <c r="AU44" s="723"/>
      <c r="AV44" s="702"/>
    </row>
    <row r="45" spans="2:48" x14ac:dyDescent="0.2">
      <c r="B45" s="694" t="s">
        <v>437</v>
      </c>
      <c r="C45" s="721"/>
      <c r="D45" s="720"/>
      <c r="E45" s="720"/>
      <c r="F45" s="720"/>
      <c r="G45" s="720"/>
      <c r="H45" s="720"/>
      <c r="I45" s="720"/>
      <c r="J45" s="720"/>
      <c r="K45" s="720"/>
      <c r="L45" s="720"/>
      <c r="M45" s="720"/>
      <c r="N45" s="720"/>
      <c r="O45" s="720"/>
      <c r="P45" s="720"/>
      <c r="Q45" s="720"/>
      <c r="R45" s="720"/>
      <c r="S45" s="720"/>
      <c r="T45" s="720"/>
      <c r="U45" s="720"/>
      <c r="V45" s="720"/>
      <c r="W45" s="720"/>
      <c r="X45" s="720"/>
      <c r="Y45" s="720"/>
      <c r="Z45" s="720"/>
      <c r="AA45" s="720"/>
      <c r="AB45" s="720"/>
      <c r="AC45" s="720"/>
      <c r="AD45" s="720"/>
      <c r="AE45" s="720"/>
      <c r="AF45" s="720">
        <f t="shared" ref="AF45:AF49" si="47">AG45</f>
        <v>-17.25</v>
      </c>
      <c r="AG45" s="703">
        <v>-17.25</v>
      </c>
      <c r="AH45" s="720"/>
      <c r="AI45" s="720"/>
      <c r="AJ45" s="720"/>
      <c r="AK45" s="720">
        <f t="shared" ref="AK45:AK64" si="48">AL45</f>
        <v>-17</v>
      </c>
      <c r="AL45" s="703">
        <v>-17</v>
      </c>
      <c r="AM45" s="703">
        <v>-7.1870000000000003</v>
      </c>
      <c r="AN45" s="703">
        <v>-7.1870000000000003</v>
      </c>
      <c r="AO45" s="703">
        <v>-7.1870000000000003</v>
      </c>
      <c r="AP45" s="720">
        <f t="shared" ref="AP45:AP64" si="49">AQ45</f>
        <v>-18.315999999999999</v>
      </c>
      <c r="AQ45" s="703">
        <v>-18.315999999999999</v>
      </c>
      <c r="AR45" s="720"/>
      <c r="AS45" s="703">
        <v>-12.994</v>
      </c>
      <c r="AT45" s="703">
        <v>-24.242999999999999</v>
      </c>
      <c r="AU45" s="720">
        <f t="shared" ref="AU45:AU64" si="50">AV45</f>
        <v>-24.242999999999999</v>
      </c>
      <c r="AV45" s="700">
        <v>-24.242999999999999</v>
      </c>
    </row>
    <row r="46" spans="2:48" x14ac:dyDescent="0.2">
      <c r="B46" s="694" t="s">
        <v>438</v>
      </c>
      <c r="C46" s="718">
        <v>14.143000000000001</v>
      </c>
      <c r="D46" s="720"/>
      <c r="E46" s="720"/>
      <c r="F46" s="703">
        <v>3.774</v>
      </c>
      <c r="G46" s="719">
        <f t="shared" ref="G46:G49" si="51">H46</f>
        <v>14.266</v>
      </c>
      <c r="H46" s="703">
        <v>14.266</v>
      </c>
      <c r="I46" s="720"/>
      <c r="J46" s="703">
        <v>2.673</v>
      </c>
      <c r="K46" s="703">
        <v>2.673</v>
      </c>
      <c r="L46" s="720">
        <f t="shared" ref="L46:L49" si="52">M46</f>
        <v>17.245999999999999</v>
      </c>
      <c r="M46" s="703">
        <v>17.245999999999999</v>
      </c>
      <c r="N46" s="720"/>
      <c r="O46" s="720"/>
      <c r="P46" s="703">
        <v>3.2160000000000002</v>
      </c>
      <c r="Q46" s="720">
        <f t="shared" ref="Q46:Q49" si="53">R46</f>
        <v>12.128</v>
      </c>
      <c r="R46" s="703">
        <v>12.128</v>
      </c>
      <c r="S46" s="703">
        <v>3.61</v>
      </c>
      <c r="T46" s="703">
        <v>3.6309999999999998</v>
      </c>
      <c r="U46" s="703">
        <v>19.155999999999999</v>
      </c>
      <c r="V46" s="720">
        <f t="shared" ref="V46:V49" si="54">W46</f>
        <v>21.788</v>
      </c>
      <c r="W46" s="703">
        <v>21.788</v>
      </c>
      <c r="X46" s="720"/>
      <c r="Y46" s="720"/>
      <c r="Z46" s="720"/>
      <c r="AA46" s="720">
        <f t="shared" ref="AA46:AA49" si="55">AB46</f>
        <v>0</v>
      </c>
      <c r="AB46" s="720"/>
      <c r="AC46" s="720"/>
      <c r="AD46" s="720"/>
      <c r="AE46" s="720"/>
      <c r="AF46" s="720">
        <f t="shared" si="47"/>
        <v>0</v>
      </c>
      <c r="AG46" s="720"/>
      <c r="AH46" s="720"/>
      <c r="AI46" s="720"/>
      <c r="AJ46" s="720"/>
      <c r="AK46" s="720">
        <f t="shared" si="48"/>
        <v>0</v>
      </c>
      <c r="AL46" s="720"/>
      <c r="AM46" s="720"/>
      <c r="AN46" s="720"/>
      <c r="AO46" s="720"/>
      <c r="AP46" s="720">
        <f t="shared" si="49"/>
        <v>0</v>
      </c>
      <c r="AQ46" s="720"/>
      <c r="AR46" s="720"/>
      <c r="AS46" s="720"/>
      <c r="AT46" s="720"/>
      <c r="AU46" s="720">
        <f t="shared" si="50"/>
        <v>0</v>
      </c>
      <c r="AV46" s="701"/>
    </row>
    <row r="47" spans="2:48" x14ac:dyDescent="0.2">
      <c r="B47" s="694" t="s">
        <v>439</v>
      </c>
      <c r="C47" s="718">
        <v>-2.65</v>
      </c>
      <c r="D47" s="703">
        <v>-0.74299999999999999</v>
      </c>
      <c r="E47" s="703">
        <v>-1.4970000000000001</v>
      </c>
      <c r="F47" s="703">
        <v>-2.278</v>
      </c>
      <c r="G47" s="719">
        <f t="shared" si="51"/>
        <v>-3.1179999999999999</v>
      </c>
      <c r="H47" s="703">
        <v>-3.1179999999999999</v>
      </c>
      <c r="I47" s="703">
        <v>-0.873</v>
      </c>
      <c r="J47" s="703">
        <v>-1.78</v>
      </c>
      <c r="K47" s="703">
        <v>-2.7050000000000001</v>
      </c>
      <c r="L47" s="720">
        <f t="shared" si="52"/>
        <v>-3.7210000000000001</v>
      </c>
      <c r="M47" s="703">
        <v>-3.7210000000000001</v>
      </c>
      <c r="N47" s="703">
        <v>-1.056</v>
      </c>
      <c r="O47" s="703">
        <v>-2.1240000000000001</v>
      </c>
      <c r="P47" s="703">
        <v>-3.214</v>
      </c>
      <c r="Q47" s="720">
        <f t="shared" si="53"/>
        <v>-4.391</v>
      </c>
      <c r="R47" s="703">
        <v>-4.391</v>
      </c>
      <c r="S47" s="703">
        <v>-1.2509999999999999</v>
      </c>
      <c r="T47" s="703">
        <v>-2.5089999999999999</v>
      </c>
      <c r="U47" s="703">
        <v>-3.7989999999999999</v>
      </c>
      <c r="V47" s="720">
        <f t="shared" si="54"/>
        <v>-5.1280000000000001</v>
      </c>
      <c r="W47" s="703">
        <v>-5.1280000000000001</v>
      </c>
      <c r="X47" s="720"/>
      <c r="Y47" s="720"/>
      <c r="Z47" s="720"/>
      <c r="AA47" s="720">
        <f t="shared" si="55"/>
        <v>0</v>
      </c>
      <c r="AB47" s="720"/>
      <c r="AC47" s="720"/>
      <c r="AD47" s="720"/>
      <c r="AE47" s="720"/>
      <c r="AF47" s="720">
        <f t="shared" si="47"/>
        <v>0</v>
      </c>
      <c r="AG47" s="720"/>
      <c r="AH47" s="720"/>
      <c r="AI47" s="720"/>
      <c r="AJ47" s="720"/>
      <c r="AK47" s="720">
        <f t="shared" si="48"/>
        <v>0</v>
      </c>
      <c r="AL47" s="720"/>
      <c r="AM47" s="720"/>
      <c r="AN47" s="720"/>
      <c r="AO47" s="720"/>
      <c r="AP47" s="720">
        <f t="shared" si="49"/>
        <v>0</v>
      </c>
      <c r="AQ47" s="720"/>
      <c r="AR47" s="720"/>
      <c r="AS47" s="720"/>
      <c r="AT47" s="720"/>
      <c r="AU47" s="720">
        <f t="shared" si="50"/>
        <v>0</v>
      </c>
      <c r="AV47" s="701"/>
    </row>
    <row r="48" spans="2:48" x14ac:dyDescent="0.2">
      <c r="B48" s="694" t="s">
        <v>440</v>
      </c>
      <c r="C48" s="718">
        <v>25</v>
      </c>
      <c r="D48" s="703">
        <v>25</v>
      </c>
      <c r="E48" s="703">
        <v>25</v>
      </c>
      <c r="F48" s="703">
        <v>25</v>
      </c>
      <c r="G48" s="719">
        <f t="shared" si="51"/>
        <v>60</v>
      </c>
      <c r="H48" s="703">
        <v>60</v>
      </c>
      <c r="I48" s="720"/>
      <c r="J48" s="720"/>
      <c r="K48" s="720"/>
      <c r="L48" s="720">
        <f t="shared" si="52"/>
        <v>35</v>
      </c>
      <c r="M48" s="703">
        <v>35</v>
      </c>
      <c r="N48" s="720"/>
      <c r="O48" s="720"/>
      <c r="P48" s="703">
        <v>30</v>
      </c>
      <c r="Q48" s="720">
        <f t="shared" si="53"/>
        <v>85</v>
      </c>
      <c r="R48" s="703">
        <v>85</v>
      </c>
      <c r="S48" s="703">
        <v>30</v>
      </c>
      <c r="T48" s="703">
        <v>30</v>
      </c>
      <c r="U48" s="703">
        <v>45</v>
      </c>
      <c r="V48" s="720">
        <f t="shared" si="54"/>
        <v>70</v>
      </c>
      <c r="W48" s="703">
        <v>70</v>
      </c>
      <c r="X48" s="703">
        <v>20</v>
      </c>
      <c r="Y48" s="703">
        <v>35</v>
      </c>
      <c r="Z48" s="703">
        <v>335</v>
      </c>
      <c r="AA48" s="720">
        <f t="shared" si="55"/>
        <v>335</v>
      </c>
      <c r="AB48" s="703">
        <v>335</v>
      </c>
      <c r="AC48" s="703">
        <v>90</v>
      </c>
      <c r="AD48" s="703">
        <v>90</v>
      </c>
      <c r="AE48" s="703">
        <v>90</v>
      </c>
      <c r="AF48" s="720">
        <f t="shared" si="47"/>
        <v>90</v>
      </c>
      <c r="AG48" s="703">
        <v>90</v>
      </c>
      <c r="AH48" s="720"/>
      <c r="AI48" s="720"/>
      <c r="AJ48" s="720"/>
      <c r="AK48" s="720">
        <f t="shared" si="48"/>
        <v>0</v>
      </c>
      <c r="AL48" s="720"/>
      <c r="AM48" s="720"/>
      <c r="AN48" s="720"/>
      <c r="AO48" s="720"/>
      <c r="AP48" s="720">
        <f t="shared" si="49"/>
        <v>130</v>
      </c>
      <c r="AQ48" s="703">
        <v>130</v>
      </c>
      <c r="AR48" s="720"/>
      <c r="AS48" s="720"/>
      <c r="AT48" s="720"/>
      <c r="AU48" s="720">
        <f t="shared" si="50"/>
        <v>15</v>
      </c>
      <c r="AV48" s="700">
        <v>15</v>
      </c>
    </row>
    <row r="49" spans="2:48" x14ac:dyDescent="0.2">
      <c r="B49" s="694" t="s">
        <v>441</v>
      </c>
      <c r="C49" s="718">
        <v>-25</v>
      </c>
      <c r="D49" s="720"/>
      <c r="E49" s="720"/>
      <c r="F49" s="703">
        <v>-25</v>
      </c>
      <c r="G49" s="719">
        <f t="shared" si="51"/>
        <v>-60</v>
      </c>
      <c r="H49" s="703">
        <v>-60</v>
      </c>
      <c r="I49" s="720"/>
      <c r="J49" s="720"/>
      <c r="K49" s="720"/>
      <c r="L49" s="720">
        <f t="shared" si="52"/>
        <v>-35</v>
      </c>
      <c r="M49" s="703">
        <v>-35</v>
      </c>
      <c r="N49" s="720"/>
      <c r="O49" s="720"/>
      <c r="P49" s="720"/>
      <c r="Q49" s="720">
        <f t="shared" si="53"/>
        <v>-75</v>
      </c>
      <c r="R49" s="703">
        <v>-75</v>
      </c>
      <c r="S49" s="703">
        <v>-10</v>
      </c>
      <c r="T49" s="703">
        <v>-20</v>
      </c>
      <c r="U49" s="703">
        <v>-35</v>
      </c>
      <c r="V49" s="720">
        <f t="shared" si="54"/>
        <v>-70</v>
      </c>
      <c r="W49" s="703">
        <v>-70</v>
      </c>
      <c r="X49" s="703">
        <v>-10</v>
      </c>
      <c r="Y49" s="703">
        <v>-10</v>
      </c>
      <c r="Z49" s="703">
        <v>-10</v>
      </c>
      <c r="AA49" s="720">
        <f t="shared" si="55"/>
        <v>-55</v>
      </c>
      <c r="AB49" s="703">
        <v>-55</v>
      </c>
      <c r="AC49" s="720"/>
      <c r="AD49" s="703">
        <v>-4</v>
      </c>
      <c r="AE49" s="703">
        <v>-4</v>
      </c>
      <c r="AF49" s="720">
        <f t="shared" si="47"/>
        <v>-100</v>
      </c>
      <c r="AG49" s="703">
        <v>-100</v>
      </c>
      <c r="AH49" s="720"/>
      <c r="AI49" s="703">
        <v>-150</v>
      </c>
      <c r="AJ49" s="703">
        <v>-150</v>
      </c>
      <c r="AK49" s="720">
        <f t="shared" si="48"/>
        <v>-150</v>
      </c>
      <c r="AL49" s="703">
        <v>-150</v>
      </c>
      <c r="AM49" s="720"/>
      <c r="AN49" s="720"/>
      <c r="AO49" s="720"/>
      <c r="AP49" s="720">
        <f t="shared" si="49"/>
        <v>-130</v>
      </c>
      <c r="AQ49" s="703">
        <v>-130</v>
      </c>
      <c r="AR49" s="720"/>
      <c r="AS49" s="720"/>
      <c r="AT49" s="720"/>
      <c r="AU49" s="720">
        <f t="shared" si="50"/>
        <v>-15</v>
      </c>
      <c r="AV49" s="700">
        <v>-15</v>
      </c>
    </row>
    <row r="50" spans="2:48" x14ac:dyDescent="0.2">
      <c r="B50" s="694" t="s">
        <v>442</v>
      </c>
      <c r="C50" s="721"/>
      <c r="D50" s="720"/>
      <c r="E50" s="720"/>
      <c r="F50" s="720"/>
      <c r="G50" s="720"/>
      <c r="H50" s="720"/>
      <c r="I50" s="720"/>
      <c r="J50" s="720"/>
      <c r="K50" s="720"/>
      <c r="L50" s="720"/>
      <c r="M50" s="720"/>
      <c r="N50" s="720"/>
      <c r="O50" s="720"/>
      <c r="P50" s="720"/>
      <c r="Q50" s="720"/>
      <c r="R50" s="720"/>
      <c r="S50" s="720"/>
      <c r="T50" s="720"/>
      <c r="U50" s="720"/>
      <c r="V50" s="720"/>
      <c r="W50" s="720"/>
      <c r="X50" s="720"/>
      <c r="Y50" s="720"/>
      <c r="Z50" s="720"/>
      <c r="AA50" s="720"/>
      <c r="AB50" s="720"/>
      <c r="AC50" s="720"/>
      <c r="AD50" s="720"/>
      <c r="AE50" s="720"/>
      <c r="AF50" s="720"/>
      <c r="AG50" s="720"/>
      <c r="AH50" s="720"/>
      <c r="AI50" s="703">
        <v>345</v>
      </c>
      <c r="AJ50" s="703">
        <v>345</v>
      </c>
      <c r="AK50" s="720">
        <f t="shared" si="48"/>
        <v>345</v>
      </c>
      <c r="AL50" s="703">
        <v>345</v>
      </c>
      <c r="AM50" s="720"/>
      <c r="AN50" s="720"/>
      <c r="AO50" s="720"/>
      <c r="AP50" s="720">
        <f t="shared" si="49"/>
        <v>0</v>
      </c>
      <c r="AQ50" s="720"/>
      <c r="AR50" s="720"/>
      <c r="AS50" s="720"/>
      <c r="AT50" s="720"/>
      <c r="AU50" s="720">
        <f t="shared" si="50"/>
        <v>0</v>
      </c>
      <c r="AV50" s="701"/>
    </row>
    <row r="51" spans="2:48" x14ac:dyDescent="0.2">
      <c r="B51" s="694" t="s">
        <v>443</v>
      </c>
      <c r="C51" s="721"/>
      <c r="D51" s="720"/>
      <c r="E51" s="720"/>
      <c r="F51" s="720"/>
      <c r="G51" s="720"/>
      <c r="H51" s="720"/>
      <c r="I51" s="720"/>
      <c r="J51" s="720"/>
      <c r="K51" s="720"/>
      <c r="L51" s="720"/>
      <c r="M51" s="720"/>
      <c r="N51" s="720"/>
      <c r="O51" s="720"/>
      <c r="P51" s="720"/>
      <c r="Q51" s="720"/>
      <c r="R51" s="720"/>
      <c r="S51" s="720"/>
      <c r="T51" s="720"/>
      <c r="U51" s="720"/>
      <c r="V51" s="720"/>
      <c r="W51" s="720"/>
      <c r="X51" s="720"/>
      <c r="Y51" s="720"/>
      <c r="Z51" s="720"/>
      <c r="AA51" s="720"/>
      <c r="AB51" s="720"/>
      <c r="AC51" s="720"/>
      <c r="AD51" s="720"/>
      <c r="AE51" s="720"/>
      <c r="AF51" s="720"/>
      <c r="AG51" s="720"/>
      <c r="AH51" s="720"/>
      <c r="AI51" s="703">
        <v>-10.074</v>
      </c>
      <c r="AJ51" s="703">
        <v>-10.074</v>
      </c>
      <c r="AK51" s="720">
        <f t="shared" si="48"/>
        <v>-10.074</v>
      </c>
      <c r="AL51" s="703">
        <v>-10.074</v>
      </c>
      <c r="AM51" s="720"/>
      <c r="AN51" s="720"/>
      <c r="AO51" s="720"/>
      <c r="AP51" s="720">
        <f t="shared" si="49"/>
        <v>0</v>
      </c>
      <c r="AQ51" s="720"/>
      <c r="AR51" s="720"/>
      <c r="AS51" s="720"/>
      <c r="AT51" s="720"/>
      <c r="AU51" s="720">
        <f t="shared" si="50"/>
        <v>0</v>
      </c>
      <c r="AV51" s="701"/>
    </row>
    <row r="52" spans="2:48" x14ac:dyDescent="0.2">
      <c r="B52" s="694" t="s">
        <v>444</v>
      </c>
      <c r="C52" s="718">
        <v>22.94</v>
      </c>
      <c r="D52" s="703">
        <v>5.6689999999999996</v>
      </c>
      <c r="E52" s="703">
        <v>16.891999999999999</v>
      </c>
      <c r="F52" s="703">
        <v>25.448</v>
      </c>
      <c r="G52" s="719">
        <f t="shared" ref="G52:G55" si="56">H52</f>
        <v>27.997</v>
      </c>
      <c r="H52" s="703">
        <v>27.997</v>
      </c>
      <c r="I52" s="703">
        <v>11.645</v>
      </c>
      <c r="J52" s="703">
        <v>13.795</v>
      </c>
      <c r="K52" s="703">
        <v>18.922999999999998</v>
      </c>
      <c r="L52" s="720">
        <f t="shared" ref="L52:L55" si="57">M52</f>
        <v>28.378</v>
      </c>
      <c r="M52" s="703">
        <v>28.378</v>
      </c>
      <c r="N52" s="703">
        <v>5.3680000000000003</v>
      </c>
      <c r="O52" s="703">
        <v>7.7089999999999996</v>
      </c>
      <c r="P52" s="703">
        <v>8.1</v>
      </c>
      <c r="Q52" s="720">
        <f t="shared" ref="Q52:Q55" si="58">R52</f>
        <v>9.0359999999999996</v>
      </c>
      <c r="R52" s="703">
        <v>9.0359999999999996</v>
      </c>
      <c r="S52" s="703">
        <v>0.54</v>
      </c>
      <c r="T52" s="703">
        <v>6.3170000000000002</v>
      </c>
      <c r="U52" s="703">
        <v>7.3369999999999997</v>
      </c>
      <c r="V52" s="720">
        <f t="shared" ref="V52:V55" si="59">W52</f>
        <v>8.5760000000000005</v>
      </c>
      <c r="W52" s="703">
        <v>8.5760000000000005</v>
      </c>
      <c r="X52" s="703">
        <v>5.5410000000000004</v>
      </c>
      <c r="Y52" s="703">
        <v>6.1909999999999998</v>
      </c>
      <c r="Z52" s="703">
        <v>6.516</v>
      </c>
      <c r="AA52" s="720">
        <f t="shared" ref="AA52:AA55" si="60">AB52</f>
        <v>7.7240000000000002</v>
      </c>
      <c r="AB52" s="703">
        <v>7.7240000000000002</v>
      </c>
      <c r="AC52" s="703">
        <v>0.113</v>
      </c>
      <c r="AD52" s="703">
        <v>0.113</v>
      </c>
      <c r="AE52" s="703">
        <v>0.113</v>
      </c>
      <c r="AF52" s="720">
        <f t="shared" ref="AF52:AF57" si="61">AG52</f>
        <v>0.61099999999999999</v>
      </c>
      <c r="AG52" s="703">
        <v>0.61099999999999999</v>
      </c>
      <c r="AH52" s="703">
        <v>20.422999999999998</v>
      </c>
      <c r="AI52" s="703">
        <v>24.785</v>
      </c>
      <c r="AJ52" s="703">
        <v>24.785</v>
      </c>
      <c r="AK52" s="720">
        <f t="shared" si="48"/>
        <v>24.786000000000001</v>
      </c>
      <c r="AL52" s="703">
        <v>24.786000000000001</v>
      </c>
      <c r="AM52" s="703">
        <v>8.3000000000000004E-2</v>
      </c>
      <c r="AN52" s="703">
        <v>8.3000000000000004E-2</v>
      </c>
      <c r="AO52" s="703">
        <v>8.4000000000000005E-2</v>
      </c>
      <c r="AP52" s="720">
        <f t="shared" si="49"/>
        <v>8.4000000000000005E-2</v>
      </c>
      <c r="AQ52" s="703">
        <v>8.4000000000000005E-2</v>
      </c>
      <c r="AR52" s="720"/>
      <c r="AS52" s="720"/>
      <c r="AT52" s="720"/>
      <c r="AU52" s="720">
        <f t="shared" si="50"/>
        <v>0</v>
      </c>
      <c r="AV52" s="701"/>
    </row>
    <row r="53" spans="2:48" x14ac:dyDescent="0.2">
      <c r="B53" s="694" t="s">
        <v>420</v>
      </c>
      <c r="C53" s="718">
        <v>8.8610000000000007</v>
      </c>
      <c r="D53" s="703">
        <v>4.3170000000000002</v>
      </c>
      <c r="E53" s="703">
        <v>7.8259999999999996</v>
      </c>
      <c r="F53" s="703">
        <v>11.66</v>
      </c>
      <c r="G53" s="719">
        <f t="shared" si="56"/>
        <v>12.308999999999999</v>
      </c>
      <c r="H53" s="703">
        <v>12.308999999999999</v>
      </c>
      <c r="I53" s="703">
        <v>6.0339999999999998</v>
      </c>
      <c r="J53" s="703">
        <v>6.6349999999999998</v>
      </c>
      <c r="K53" s="703">
        <v>8.5210000000000008</v>
      </c>
      <c r="L53" s="720">
        <f t="shared" si="57"/>
        <v>13.861000000000001</v>
      </c>
      <c r="M53" s="703">
        <v>13.861000000000001</v>
      </c>
      <c r="N53" s="720"/>
      <c r="O53" s="720"/>
      <c r="P53" s="720"/>
      <c r="Q53" s="720">
        <f t="shared" si="58"/>
        <v>0</v>
      </c>
      <c r="R53" s="703">
        <v>0</v>
      </c>
      <c r="S53" s="720"/>
      <c r="T53" s="720"/>
      <c r="U53" s="720"/>
      <c r="V53" s="720">
        <f t="shared" si="59"/>
        <v>0</v>
      </c>
      <c r="W53" s="720"/>
      <c r="X53" s="720"/>
      <c r="Y53" s="720"/>
      <c r="Z53" s="720"/>
      <c r="AA53" s="720">
        <f t="shared" si="60"/>
        <v>0</v>
      </c>
      <c r="AB53" s="720"/>
      <c r="AC53" s="720"/>
      <c r="AD53" s="720"/>
      <c r="AE53" s="720"/>
      <c r="AF53" s="720">
        <f t="shared" si="61"/>
        <v>0</v>
      </c>
      <c r="AG53" s="720"/>
      <c r="AH53" s="720"/>
      <c r="AI53" s="720"/>
      <c r="AJ53" s="720"/>
      <c r="AK53" s="720">
        <f t="shared" si="48"/>
        <v>0</v>
      </c>
      <c r="AL53" s="720"/>
      <c r="AM53" s="720"/>
      <c r="AN53" s="720"/>
      <c r="AO53" s="720"/>
      <c r="AP53" s="720">
        <f t="shared" si="49"/>
        <v>0</v>
      </c>
      <c r="AQ53" s="720"/>
      <c r="AR53" s="720"/>
      <c r="AS53" s="720"/>
      <c r="AT53" s="720"/>
      <c r="AU53" s="720">
        <f t="shared" si="50"/>
        <v>0</v>
      </c>
      <c r="AV53" s="701"/>
    </row>
    <row r="54" spans="2:48" x14ac:dyDescent="0.2">
      <c r="B54" s="694" t="s">
        <v>445</v>
      </c>
      <c r="C54" s="721"/>
      <c r="D54" s="720"/>
      <c r="E54" s="720"/>
      <c r="F54" s="720"/>
      <c r="G54" s="719">
        <f t="shared" si="56"/>
        <v>0</v>
      </c>
      <c r="H54" s="720"/>
      <c r="I54" s="720"/>
      <c r="J54" s="720"/>
      <c r="K54" s="720"/>
      <c r="L54" s="720">
        <f t="shared" si="57"/>
        <v>0</v>
      </c>
      <c r="M54" s="720"/>
      <c r="N54" s="720"/>
      <c r="O54" s="720"/>
      <c r="P54" s="720"/>
      <c r="Q54" s="720">
        <f t="shared" si="58"/>
        <v>0</v>
      </c>
      <c r="R54" s="720"/>
      <c r="S54" s="720"/>
      <c r="T54" s="720"/>
      <c r="U54" s="720"/>
      <c r="V54" s="720">
        <f t="shared" si="59"/>
        <v>0</v>
      </c>
      <c r="W54" s="720"/>
      <c r="X54" s="720"/>
      <c r="Y54" s="720"/>
      <c r="Z54" s="720"/>
      <c r="AA54" s="720">
        <f t="shared" si="60"/>
        <v>0</v>
      </c>
      <c r="AB54" s="720"/>
      <c r="AC54" s="720"/>
      <c r="AD54" s="720"/>
      <c r="AE54" s="720"/>
      <c r="AF54" s="720">
        <f t="shared" si="61"/>
        <v>0</v>
      </c>
      <c r="AG54" s="720"/>
      <c r="AH54" s="720"/>
      <c r="AI54" s="720"/>
      <c r="AJ54" s="720"/>
      <c r="AK54" s="720">
        <f t="shared" si="48"/>
        <v>0</v>
      </c>
      <c r="AL54" s="720"/>
      <c r="AM54" s="720"/>
      <c r="AN54" s="720"/>
      <c r="AO54" s="720"/>
      <c r="AP54" s="720">
        <f t="shared" si="49"/>
        <v>0</v>
      </c>
      <c r="AQ54" s="720"/>
      <c r="AR54" s="720"/>
      <c r="AS54" s="720"/>
      <c r="AT54" s="720"/>
      <c r="AU54" s="720">
        <f t="shared" si="50"/>
        <v>0</v>
      </c>
      <c r="AV54" s="701"/>
    </row>
    <row r="55" spans="2:48" x14ac:dyDescent="0.2">
      <c r="B55" s="694" t="s">
        <v>446</v>
      </c>
      <c r="C55" s="718">
        <v>-30.332000000000001</v>
      </c>
      <c r="D55" s="703">
        <v>-8.4429999999999996</v>
      </c>
      <c r="E55" s="703">
        <v>-16.437999999999999</v>
      </c>
      <c r="F55" s="703">
        <v>-26.207000000000001</v>
      </c>
      <c r="G55" s="719">
        <f t="shared" si="56"/>
        <v>-35.969000000000001</v>
      </c>
      <c r="H55" s="703">
        <v>-35.969000000000001</v>
      </c>
      <c r="I55" s="703">
        <v>-9.9390000000000001</v>
      </c>
      <c r="J55" s="703">
        <v>-19.582999999999998</v>
      </c>
      <c r="K55" s="703">
        <v>-31.048999999999999</v>
      </c>
      <c r="L55" s="720">
        <f t="shared" si="57"/>
        <v>-42.371000000000002</v>
      </c>
      <c r="M55" s="703">
        <v>-42.371000000000002</v>
      </c>
      <c r="N55" s="703">
        <v>-11.685</v>
      </c>
      <c r="O55" s="703">
        <v>-23.177</v>
      </c>
      <c r="P55" s="703">
        <v>-36.631999999999998</v>
      </c>
      <c r="Q55" s="720">
        <f t="shared" si="58"/>
        <v>-49.889000000000003</v>
      </c>
      <c r="R55" s="703">
        <v>-49.889000000000003</v>
      </c>
      <c r="S55" s="703">
        <v>-13.167999999999999</v>
      </c>
      <c r="T55" s="703">
        <v>-26.521000000000001</v>
      </c>
      <c r="U55" s="703">
        <v>-41.448999999999998</v>
      </c>
      <c r="V55" s="720">
        <f t="shared" si="59"/>
        <v>-56.250999999999998</v>
      </c>
      <c r="W55" s="703">
        <v>-56.250999999999998</v>
      </c>
      <c r="X55" s="703">
        <v>-14.628</v>
      </c>
      <c r="Y55" s="703">
        <v>-29.286999999999999</v>
      </c>
      <c r="Z55" s="703">
        <v>-44.99</v>
      </c>
      <c r="AA55" s="720">
        <f t="shared" si="60"/>
        <v>-60.722000000000001</v>
      </c>
      <c r="AB55" s="703">
        <v>-60.722000000000001</v>
      </c>
      <c r="AC55" s="703">
        <v>-15.791</v>
      </c>
      <c r="AD55" s="703">
        <v>-15.791</v>
      </c>
      <c r="AE55" s="703">
        <v>-15.791</v>
      </c>
      <c r="AF55" s="720">
        <f t="shared" si="61"/>
        <v>-15.791</v>
      </c>
      <c r="AG55" s="703">
        <v>-15.791</v>
      </c>
      <c r="AH55" s="703">
        <v>-2.1789999999999998</v>
      </c>
      <c r="AI55" s="703">
        <v>-0.33700000000000002</v>
      </c>
      <c r="AJ55" s="703">
        <v>-0.33700000000000002</v>
      </c>
      <c r="AK55" s="720">
        <f t="shared" si="48"/>
        <v>-0.33700000000000002</v>
      </c>
      <c r="AL55" s="703">
        <v>-0.33700000000000002</v>
      </c>
      <c r="AM55" s="720"/>
      <c r="AN55" s="703">
        <v>-14.288</v>
      </c>
      <c r="AO55" s="703">
        <v>-28.35</v>
      </c>
      <c r="AP55" s="720">
        <f t="shared" si="49"/>
        <v>-42.271999999999998</v>
      </c>
      <c r="AQ55" s="703">
        <v>-42.271999999999998</v>
      </c>
      <c r="AR55" s="703">
        <v>-13.182</v>
      </c>
      <c r="AS55" s="703">
        <v>-26.998000000000001</v>
      </c>
      <c r="AT55" s="703">
        <v>-40.125999999999998</v>
      </c>
      <c r="AU55" s="720">
        <f t="shared" si="50"/>
        <v>-53.207000000000001</v>
      </c>
      <c r="AV55" s="700">
        <v>-53.207000000000001</v>
      </c>
    </row>
    <row r="56" spans="2:48" x14ac:dyDescent="0.2">
      <c r="B56" s="694" t="s">
        <v>447</v>
      </c>
      <c r="C56" s="721"/>
      <c r="D56" s="720"/>
      <c r="E56" s="720"/>
      <c r="F56" s="720"/>
      <c r="G56" s="720"/>
      <c r="H56" s="720"/>
      <c r="I56" s="720"/>
      <c r="J56" s="720"/>
      <c r="K56" s="720"/>
      <c r="L56" s="720"/>
      <c r="M56" s="720"/>
      <c r="N56" s="720"/>
      <c r="O56" s="720"/>
      <c r="P56" s="720"/>
      <c r="Q56" s="720"/>
      <c r="R56" s="720"/>
      <c r="S56" s="720"/>
      <c r="T56" s="720"/>
      <c r="U56" s="720"/>
      <c r="V56" s="720"/>
      <c r="W56" s="720"/>
      <c r="X56" s="720"/>
      <c r="Y56" s="720"/>
      <c r="Z56" s="720"/>
      <c r="AA56" s="720"/>
      <c r="AB56" s="720"/>
      <c r="AC56" s="720"/>
      <c r="AD56" s="703">
        <v>200</v>
      </c>
      <c r="AE56" s="703">
        <v>200</v>
      </c>
      <c r="AF56" s="720">
        <f t="shared" si="61"/>
        <v>200</v>
      </c>
      <c r="AG56" s="703">
        <v>200</v>
      </c>
      <c r="AH56" s="720"/>
      <c r="AI56" s="720"/>
      <c r="AJ56" s="720"/>
      <c r="AK56" s="720">
        <f t="shared" si="48"/>
        <v>0</v>
      </c>
      <c r="AL56" s="720"/>
      <c r="AM56" s="720"/>
      <c r="AN56" s="720"/>
      <c r="AO56" s="720"/>
      <c r="AP56" s="720">
        <f t="shared" si="49"/>
        <v>0</v>
      </c>
      <c r="AQ56" s="720"/>
      <c r="AR56" s="720"/>
      <c r="AS56" s="720"/>
      <c r="AT56" s="720"/>
      <c r="AU56" s="720">
        <f t="shared" si="50"/>
        <v>0</v>
      </c>
      <c r="AV56" s="701"/>
    </row>
    <row r="57" spans="2:48" x14ac:dyDescent="0.2">
      <c r="B57" s="694" t="s">
        <v>448</v>
      </c>
      <c r="C57" s="721"/>
      <c r="D57" s="720"/>
      <c r="E57" s="720"/>
      <c r="F57" s="720"/>
      <c r="G57" s="720"/>
      <c r="H57" s="720"/>
      <c r="I57" s="720"/>
      <c r="J57" s="720"/>
      <c r="K57" s="720"/>
      <c r="L57" s="720"/>
      <c r="M57" s="720"/>
      <c r="N57" s="720"/>
      <c r="O57" s="720"/>
      <c r="P57" s="720"/>
      <c r="Q57" s="720"/>
      <c r="R57" s="720"/>
      <c r="S57" s="720"/>
      <c r="T57" s="720"/>
      <c r="U57" s="720"/>
      <c r="V57" s="720"/>
      <c r="W57" s="720"/>
      <c r="X57" s="720"/>
      <c r="Y57" s="720"/>
      <c r="Z57" s="720"/>
      <c r="AA57" s="720"/>
      <c r="AB57" s="720"/>
      <c r="AC57" s="720"/>
      <c r="AD57" s="703">
        <v>-10.257</v>
      </c>
      <c r="AE57" s="703">
        <v>-10.257</v>
      </c>
      <c r="AF57" s="720">
        <f t="shared" si="61"/>
        <v>-10.257</v>
      </c>
      <c r="AG57" s="703">
        <v>-10.257</v>
      </c>
      <c r="AH57" s="720"/>
      <c r="AI57" s="720"/>
      <c r="AJ57" s="720"/>
      <c r="AK57" s="720">
        <f t="shared" si="48"/>
        <v>0</v>
      </c>
      <c r="AL57" s="720"/>
      <c r="AM57" s="720"/>
      <c r="AN57" s="720"/>
      <c r="AO57" s="720"/>
      <c r="AP57" s="720">
        <f t="shared" si="49"/>
        <v>0</v>
      </c>
      <c r="AQ57" s="720"/>
      <c r="AR57" s="720"/>
      <c r="AS57" s="720"/>
      <c r="AT57" s="720"/>
      <c r="AU57" s="720">
        <f t="shared" si="50"/>
        <v>0</v>
      </c>
      <c r="AV57" s="701"/>
    </row>
    <row r="58" spans="2:48" x14ac:dyDescent="0.2">
      <c r="B58" s="694" t="s">
        <v>449</v>
      </c>
      <c r="C58" s="721"/>
      <c r="D58" s="720"/>
      <c r="E58" s="720"/>
      <c r="F58" s="720"/>
      <c r="G58" s="720"/>
      <c r="H58" s="720"/>
      <c r="I58" s="720"/>
      <c r="J58" s="720"/>
      <c r="K58" s="720"/>
      <c r="L58" s="720"/>
      <c r="M58" s="720"/>
      <c r="N58" s="720"/>
      <c r="O58" s="720"/>
      <c r="P58" s="720"/>
      <c r="Q58" s="720"/>
      <c r="R58" s="720"/>
      <c r="S58" s="720"/>
      <c r="T58" s="720"/>
      <c r="U58" s="720"/>
      <c r="V58" s="720"/>
      <c r="W58" s="720"/>
      <c r="X58" s="720"/>
      <c r="Y58" s="720"/>
      <c r="Z58" s="720"/>
      <c r="AA58" s="720"/>
      <c r="AB58" s="720"/>
      <c r="AC58" s="720"/>
      <c r="AD58" s="720"/>
      <c r="AE58" s="720"/>
      <c r="AF58" s="720"/>
      <c r="AG58" s="720"/>
      <c r="AH58" s="720"/>
      <c r="AI58" s="703">
        <v>-443.75099999999998</v>
      </c>
      <c r="AJ58" s="703">
        <v>-443.75099999999998</v>
      </c>
      <c r="AK58" s="720">
        <f t="shared" si="48"/>
        <v>-443.75099999999998</v>
      </c>
      <c r="AL58" s="703">
        <v>-443.75099999999998</v>
      </c>
      <c r="AM58" s="720"/>
      <c r="AN58" s="720"/>
      <c r="AO58" s="720"/>
      <c r="AP58" s="720">
        <f t="shared" si="49"/>
        <v>0</v>
      </c>
      <c r="AQ58" s="720"/>
      <c r="AR58" s="720"/>
      <c r="AS58" s="720"/>
      <c r="AT58" s="720"/>
      <c r="AU58" s="720">
        <f t="shared" si="50"/>
        <v>0</v>
      </c>
      <c r="AV58" s="701"/>
    </row>
    <row r="59" spans="2:48" x14ac:dyDescent="0.2">
      <c r="B59" s="694" t="s">
        <v>450</v>
      </c>
      <c r="C59" s="721"/>
      <c r="D59" s="720"/>
      <c r="E59" s="720"/>
      <c r="F59" s="720"/>
      <c r="G59" s="720"/>
      <c r="H59" s="720"/>
      <c r="I59" s="720"/>
      <c r="J59" s="720"/>
      <c r="K59" s="720"/>
      <c r="L59" s="720"/>
      <c r="M59" s="720"/>
      <c r="N59" s="720"/>
      <c r="O59" s="720"/>
      <c r="P59" s="720"/>
      <c r="Q59" s="720"/>
      <c r="R59" s="720"/>
      <c r="S59" s="720"/>
      <c r="T59" s="720"/>
      <c r="U59" s="720"/>
      <c r="V59" s="720"/>
      <c r="W59" s="720"/>
      <c r="X59" s="720"/>
      <c r="Y59" s="720"/>
      <c r="Z59" s="720"/>
      <c r="AA59" s="720"/>
      <c r="AB59" s="720"/>
      <c r="AC59" s="720"/>
      <c r="AD59" s="720"/>
      <c r="AE59" s="720"/>
      <c r="AF59" s="720"/>
      <c r="AG59" s="720"/>
      <c r="AH59" s="720"/>
      <c r="AI59" s="703">
        <v>-7.3999999999999996E-2</v>
      </c>
      <c r="AJ59" s="703">
        <v>-7.3999999999999996E-2</v>
      </c>
      <c r="AK59" s="720">
        <f t="shared" si="48"/>
        <v>-7.3999999999999996E-2</v>
      </c>
      <c r="AL59" s="703">
        <v>-7.3999999999999996E-2</v>
      </c>
      <c r="AM59" s="720"/>
      <c r="AN59" s="720"/>
      <c r="AO59" s="720"/>
      <c r="AP59" s="720">
        <f t="shared" si="49"/>
        <v>0</v>
      </c>
      <c r="AQ59" s="720"/>
      <c r="AR59" s="720"/>
      <c r="AS59" s="720"/>
      <c r="AT59" s="720"/>
      <c r="AU59" s="720">
        <f t="shared" si="50"/>
        <v>0</v>
      </c>
      <c r="AV59" s="701"/>
    </row>
    <row r="60" spans="2:48" x14ac:dyDescent="0.2">
      <c r="B60" s="694" t="s">
        <v>451</v>
      </c>
      <c r="C60" s="721"/>
      <c r="D60" s="720"/>
      <c r="E60" s="720"/>
      <c r="F60" s="720"/>
      <c r="G60" s="720"/>
      <c r="H60" s="720"/>
      <c r="I60" s="720"/>
      <c r="J60" s="720"/>
      <c r="K60" s="720"/>
      <c r="L60" s="720"/>
      <c r="M60" s="720"/>
      <c r="N60" s="720"/>
      <c r="O60" s="720"/>
      <c r="P60" s="720"/>
      <c r="Q60" s="720"/>
      <c r="R60" s="720"/>
      <c r="S60" s="720"/>
      <c r="T60" s="720"/>
      <c r="U60" s="720"/>
      <c r="V60" s="720"/>
      <c r="W60" s="720"/>
      <c r="X60" s="720"/>
      <c r="Y60" s="720"/>
      <c r="Z60" s="720"/>
      <c r="AA60" s="720"/>
      <c r="AB60" s="720"/>
      <c r="AC60" s="720"/>
      <c r="AD60" s="720"/>
      <c r="AE60" s="720"/>
      <c r="AF60" s="720"/>
      <c r="AG60" s="720"/>
      <c r="AH60" s="720"/>
      <c r="AI60" s="703">
        <v>-18.661000000000001</v>
      </c>
      <c r="AJ60" s="703">
        <v>-18.661000000000001</v>
      </c>
      <c r="AK60" s="720">
        <f t="shared" si="48"/>
        <v>-18.661000000000001</v>
      </c>
      <c r="AL60" s="703">
        <v>-18.661000000000001</v>
      </c>
      <c r="AM60" s="720"/>
      <c r="AN60" s="720"/>
      <c r="AO60" s="720"/>
      <c r="AP60" s="720">
        <f t="shared" si="49"/>
        <v>0</v>
      </c>
      <c r="AQ60" s="720"/>
      <c r="AR60" s="720"/>
      <c r="AS60" s="720"/>
      <c r="AT60" s="720"/>
      <c r="AU60" s="720">
        <f t="shared" si="50"/>
        <v>0</v>
      </c>
      <c r="AV60" s="701"/>
    </row>
    <row r="61" spans="2:48" x14ac:dyDescent="0.2">
      <c r="B61" s="694" t="s">
        <v>452</v>
      </c>
      <c r="C61" s="721"/>
      <c r="D61" s="720"/>
      <c r="E61" s="720"/>
      <c r="F61" s="720"/>
      <c r="G61" s="720"/>
      <c r="H61" s="720"/>
      <c r="I61" s="720"/>
      <c r="J61" s="720"/>
      <c r="K61" s="720"/>
      <c r="L61" s="720"/>
      <c r="M61" s="720"/>
      <c r="N61" s="720"/>
      <c r="O61" s="720"/>
      <c r="P61" s="720"/>
      <c r="Q61" s="720"/>
      <c r="R61" s="720"/>
      <c r="S61" s="720"/>
      <c r="T61" s="720"/>
      <c r="U61" s="720"/>
      <c r="V61" s="720"/>
      <c r="W61" s="720"/>
      <c r="X61" s="720"/>
      <c r="Y61" s="720"/>
      <c r="Z61" s="720"/>
      <c r="AA61" s="720"/>
      <c r="AB61" s="720"/>
      <c r="AC61" s="720"/>
      <c r="AD61" s="720"/>
      <c r="AE61" s="720"/>
      <c r="AF61" s="720"/>
      <c r="AG61" s="720"/>
      <c r="AH61" s="720"/>
      <c r="AI61" s="703">
        <v>175</v>
      </c>
      <c r="AJ61" s="703">
        <v>175</v>
      </c>
      <c r="AK61" s="720">
        <f t="shared" si="48"/>
        <v>175</v>
      </c>
      <c r="AL61" s="703">
        <v>175</v>
      </c>
      <c r="AM61" s="720"/>
      <c r="AN61" s="720"/>
      <c r="AO61" s="720"/>
      <c r="AP61" s="720">
        <f t="shared" si="49"/>
        <v>0</v>
      </c>
      <c r="AQ61" s="720"/>
      <c r="AR61" s="720"/>
      <c r="AS61" s="720"/>
      <c r="AT61" s="720"/>
      <c r="AU61" s="720">
        <f t="shared" si="50"/>
        <v>0</v>
      </c>
      <c r="AV61" s="701"/>
    </row>
    <row r="62" spans="2:48" x14ac:dyDescent="0.2">
      <c r="B62" s="694" t="s">
        <v>453</v>
      </c>
      <c r="C62" s="721"/>
      <c r="D62" s="720"/>
      <c r="E62" s="720"/>
      <c r="F62" s="720"/>
      <c r="G62" s="720"/>
      <c r="H62" s="720"/>
      <c r="I62" s="720"/>
      <c r="J62" s="720"/>
      <c r="K62" s="720"/>
      <c r="L62" s="720"/>
      <c r="M62" s="720"/>
      <c r="N62" s="720"/>
      <c r="O62" s="720"/>
      <c r="P62" s="720"/>
      <c r="Q62" s="720"/>
      <c r="R62" s="720"/>
      <c r="S62" s="720"/>
      <c r="T62" s="720"/>
      <c r="U62" s="720"/>
      <c r="V62" s="720"/>
      <c r="W62" s="720"/>
      <c r="X62" s="720"/>
      <c r="Y62" s="720"/>
      <c r="Z62" s="720"/>
      <c r="AA62" s="720"/>
      <c r="AB62" s="720"/>
      <c r="AC62" s="720"/>
      <c r="AD62" s="720"/>
      <c r="AE62" s="720"/>
      <c r="AF62" s="720"/>
      <c r="AG62" s="720"/>
      <c r="AH62" s="720"/>
      <c r="AI62" s="703">
        <v>-7.95</v>
      </c>
      <c r="AJ62" s="703">
        <v>-7.95</v>
      </c>
      <c r="AK62" s="720">
        <f t="shared" si="48"/>
        <v>-7.95</v>
      </c>
      <c r="AL62" s="703">
        <v>-7.95</v>
      </c>
      <c r="AM62" s="720"/>
      <c r="AN62" s="720"/>
      <c r="AO62" s="720"/>
      <c r="AP62" s="720">
        <f t="shared" si="49"/>
        <v>0</v>
      </c>
      <c r="AQ62" s="720"/>
      <c r="AR62" s="720"/>
      <c r="AS62" s="720"/>
      <c r="AT62" s="720"/>
      <c r="AU62" s="720">
        <f t="shared" si="50"/>
        <v>0</v>
      </c>
      <c r="AV62" s="701"/>
    </row>
    <row r="63" spans="2:48" x14ac:dyDescent="0.2">
      <c r="B63" s="694" t="s">
        <v>454</v>
      </c>
      <c r="C63" s="718">
        <v>-140.483</v>
      </c>
      <c r="D63" s="703">
        <v>-80.388999999999996</v>
      </c>
      <c r="E63" s="703">
        <v>-84.197000000000003</v>
      </c>
      <c r="F63" s="703">
        <v>-92.025000000000006</v>
      </c>
      <c r="G63" s="719">
        <f t="shared" ref="G63:G64" si="62">H63</f>
        <v>-109.371</v>
      </c>
      <c r="H63" s="703">
        <v>-109.371</v>
      </c>
      <c r="I63" s="703">
        <v>-50.045999999999999</v>
      </c>
      <c r="J63" s="703">
        <v>-76.63</v>
      </c>
      <c r="K63" s="703">
        <v>-119.001</v>
      </c>
      <c r="L63" s="720">
        <f t="shared" ref="L63:L64" si="63">M63</f>
        <v>-146.46700000000001</v>
      </c>
      <c r="M63" s="703">
        <v>-146.46700000000001</v>
      </c>
      <c r="N63" s="703">
        <v>-9.2910000000000004</v>
      </c>
      <c r="O63" s="703">
        <v>-30.553999999999998</v>
      </c>
      <c r="P63" s="703">
        <v>-106.38</v>
      </c>
      <c r="Q63" s="720">
        <f t="shared" ref="Q63:Q64" si="64">R63</f>
        <v>-122.97499999999999</v>
      </c>
      <c r="R63" s="703">
        <v>-122.97499999999999</v>
      </c>
      <c r="S63" s="703">
        <v>-34.902999999999999</v>
      </c>
      <c r="T63" s="703">
        <v>-42.029000000000003</v>
      </c>
      <c r="U63" s="703">
        <v>-60.893000000000001</v>
      </c>
      <c r="V63" s="720">
        <f t="shared" ref="V63:V64" si="65">W63</f>
        <v>-109.276</v>
      </c>
      <c r="W63" s="703">
        <v>-109.276</v>
      </c>
      <c r="X63" s="703">
        <v>-11.071</v>
      </c>
      <c r="Y63" s="703">
        <v>-39.164000000000001</v>
      </c>
      <c r="Z63" s="703">
        <v>-50.561</v>
      </c>
      <c r="AA63" s="720">
        <f t="shared" ref="AA63:AA64" si="66">AB63</f>
        <v>-50.981999999999999</v>
      </c>
      <c r="AB63" s="703">
        <v>-50.981999999999999</v>
      </c>
      <c r="AC63" s="703">
        <v>-2.5859999999999999</v>
      </c>
      <c r="AD63" s="703">
        <v>-2.8519999999999999</v>
      </c>
      <c r="AE63" s="703">
        <v>-3.242</v>
      </c>
      <c r="AF63" s="720">
        <f t="shared" ref="AF63:AF64" si="67">AG63</f>
        <v>-3.621</v>
      </c>
      <c r="AG63" s="703">
        <v>-3.621</v>
      </c>
      <c r="AH63" s="703">
        <v>-3.9569999999999999</v>
      </c>
      <c r="AI63" s="703">
        <v>-4.5599999999999996</v>
      </c>
      <c r="AJ63" s="703">
        <v>-5.2409999999999997</v>
      </c>
      <c r="AK63" s="720">
        <f t="shared" si="48"/>
        <v>-5.766</v>
      </c>
      <c r="AL63" s="703">
        <v>-5.766</v>
      </c>
      <c r="AM63" s="703">
        <v>-3.9380000000000002</v>
      </c>
      <c r="AN63" s="703">
        <v>-14.817</v>
      </c>
      <c r="AO63" s="703">
        <v>-41.496000000000002</v>
      </c>
      <c r="AP63" s="720">
        <f t="shared" si="49"/>
        <v>-63.131999999999998</v>
      </c>
      <c r="AQ63" s="703">
        <v>-63.131999999999998</v>
      </c>
      <c r="AR63" s="703">
        <v>-12.375999999999999</v>
      </c>
      <c r="AS63" s="703">
        <v>-21.695</v>
      </c>
      <c r="AT63" s="703">
        <v>-36.26</v>
      </c>
      <c r="AU63" s="720">
        <f t="shared" si="50"/>
        <v>-46.085000000000001</v>
      </c>
      <c r="AV63" s="700">
        <v>-46.085000000000001</v>
      </c>
    </row>
    <row r="64" spans="2:48" x14ac:dyDescent="0.2">
      <c r="B64" s="694" t="s">
        <v>455</v>
      </c>
      <c r="C64" s="721"/>
      <c r="D64" s="703">
        <v>-4.601</v>
      </c>
      <c r="E64" s="703">
        <v>-4.601</v>
      </c>
      <c r="F64" s="720"/>
      <c r="G64" s="719">
        <f t="shared" si="62"/>
        <v>0</v>
      </c>
      <c r="H64" s="720"/>
      <c r="I64" s="720"/>
      <c r="J64" s="720"/>
      <c r="K64" s="720"/>
      <c r="L64" s="720">
        <f t="shared" si="63"/>
        <v>0</v>
      </c>
      <c r="M64" s="720"/>
      <c r="N64" s="720"/>
      <c r="O64" s="720"/>
      <c r="P64" s="720"/>
      <c r="Q64" s="720">
        <f t="shared" si="64"/>
        <v>0</v>
      </c>
      <c r="R64" s="720"/>
      <c r="S64" s="720"/>
      <c r="T64" s="720"/>
      <c r="U64" s="720"/>
      <c r="V64" s="720">
        <f t="shared" si="65"/>
        <v>0</v>
      </c>
      <c r="W64" s="720"/>
      <c r="X64" s="720"/>
      <c r="Y64" s="720"/>
      <c r="Z64" s="720"/>
      <c r="AA64" s="720">
        <f t="shared" si="66"/>
        <v>0</v>
      </c>
      <c r="AB64" s="720"/>
      <c r="AC64" s="720"/>
      <c r="AD64" s="720"/>
      <c r="AE64" s="720"/>
      <c r="AF64" s="720">
        <f t="shared" si="67"/>
        <v>0</v>
      </c>
      <c r="AG64" s="720"/>
      <c r="AH64" s="720"/>
      <c r="AI64" s="720"/>
      <c r="AJ64" s="720"/>
      <c r="AK64" s="720">
        <f t="shared" si="48"/>
        <v>0</v>
      </c>
      <c r="AL64" s="720"/>
      <c r="AM64" s="720"/>
      <c r="AN64" s="720"/>
      <c r="AO64" s="720"/>
      <c r="AP64" s="720">
        <f t="shared" si="49"/>
        <v>0</v>
      </c>
      <c r="AQ64" s="720"/>
      <c r="AR64" s="720"/>
      <c r="AS64" s="720"/>
      <c r="AT64" s="720"/>
      <c r="AU64" s="720">
        <f t="shared" si="50"/>
        <v>0</v>
      </c>
      <c r="AV64" s="701"/>
    </row>
    <row r="65" spans="2:48" x14ac:dyDescent="0.2">
      <c r="B65" s="1540" t="s">
        <v>456</v>
      </c>
      <c r="C65" s="1541">
        <f t="shared" ref="C65:AV65" si="68">SUM(C45:C64)</f>
        <v>-127.52099999999999</v>
      </c>
      <c r="D65" s="1542">
        <f t="shared" si="68"/>
        <v>-59.189999999999991</v>
      </c>
      <c r="E65" s="1542">
        <f t="shared" si="68"/>
        <v>-57.015000000000001</v>
      </c>
      <c r="F65" s="1542">
        <f t="shared" si="68"/>
        <v>-79.628000000000014</v>
      </c>
      <c r="G65" s="1542">
        <f t="shared" si="68"/>
        <v>-93.885999999999996</v>
      </c>
      <c r="H65" s="1542">
        <f t="shared" si="68"/>
        <v>-93.885999999999996</v>
      </c>
      <c r="I65" s="1542">
        <f t="shared" si="68"/>
        <v>-43.179000000000002</v>
      </c>
      <c r="J65" s="1542">
        <f t="shared" si="68"/>
        <v>-74.889999999999986</v>
      </c>
      <c r="K65" s="1542">
        <f t="shared" si="68"/>
        <v>-122.63800000000001</v>
      </c>
      <c r="L65" s="710">
        <f t="shared" si="68"/>
        <v>-133.07400000000001</v>
      </c>
      <c r="M65" s="710">
        <f t="shared" si="68"/>
        <v>-133.07400000000001</v>
      </c>
      <c r="N65" s="1542">
        <f t="shared" si="68"/>
        <v>-16.664000000000001</v>
      </c>
      <c r="O65" s="1542">
        <f t="shared" si="68"/>
        <v>-48.146000000000001</v>
      </c>
      <c r="P65" s="1542">
        <f t="shared" si="68"/>
        <v>-104.91</v>
      </c>
      <c r="Q65" s="710">
        <f t="shared" si="68"/>
        <v>-146.09100000000001</v>
      </c>
      <c r="R65" s="710">
        <f t="shared" si="68"/>
        <v>-146.09100000000001</v>
      </c>
      <c r="S65" s="1542">
        <f t="shared" si="68"/>
        <v>-25.171999999999997</v>
      </c>
      <c r="T65" s="1542">
        <f t="shared" si="68"/>
        <v>-51.111000000000004</v>
      </c>
      <c r="U65" s="1542">
        <f t="shared" si="68"/>
        <v>-69.647999999999996</v>
      </c>
      <c r="V65" s="710">
        <f t="shared" si="68"/>
        <v>-140.291</v>
      </c>
      <c r="W65" s="710">
        <f t="shared" si="68"/>
        <v>-140.291</v>
      </c>
      <c r="X65" s="710">
        <f t="shared" si="68"/>
        <v>-10.157999999999999</v>
      </c>
      <c r="Y65" s="710">
        <f t="shared" si="68"/>
        <v>-37.260000000000005</v>
      </c>
      <c r="Z65" s="710">
        <f t="shared" si="68"/>
        <v>235.965</v>
      </c>
      <c r="AA65" s="710">
        <f t="shared" si="68"/>
        <v>176.01999999999998</v>
      </c>
      <c r="AB65" s="710">
        <f t="shared" si="68"/>
        <v>176.01999999999998</v>
      </c>
      <c r="AC65" s="710">
        <f t="shared" si="68"/>
        <v>71.736000000000004</v>
      </c>
      <c r="AD65" s="710">
        <f t="shared" si="68"/>
        <v>257.21300000000002</v>
      </c>
      <c r="AE65" s="710">
        <f t="shared" si="68"/>
        <v>256.82299999999998</v>
      </c>
      <c r="AF65" s="710">
        <f t="shared" si="68"/>
        <v>143.69199999999998</v>
      </c>
      <c r="AG65" s="710">
        <f t="shared" si="68"/>
        <v>143.69199999999998</v>
      </c>
      <c r="AH65" s="710">
        <f t="shared" si="68"/>
        <v>14.286999999999999</v>
      </c>
      <c r="AI65" s="710">
        <f t="shared" si="68"/>
        <v>-90.622</v>
      </c>
      <c r="AJ65" s="710">
        <f t="shared" si="68"/>
        <v>-91.302999999999997</v>
      </c>
      <c r="AK65" s="710">
        <f t="shared" si="68"/>
        <v>-108.827</v>
      </c>
      <c r="AL65" s="710">
        <f t="shared" si="68"/>
        <v>-108.827</v>
      </c>
      <c r="AM65" s="710">
        <f t="shared" si="68"/>
        <v>-11.042</v>
      </c>
      <c r="AN65" s="710">
        <f t="shared" si="68"/>
        <v>-36.209000000000003</v>
      </c>
      <c r="AO65" s="710">
        <f t="shared" si="68"/>
        <v>-76.949000000000012</v>
      </c>
      <c r="AP65" s="710">
        <f t="shared" si="68"/>
        <v>-123.636</v>
      </c>
      <c r="AQ65" s="710">
        <f t="shared" si="68"/>
        <v>-123.636</v>
      </c>
      <c r="AR65" s="710">
        <f t="shared" si="68"/>
        <v>-25.558</v>
      </c>
      <c r="AS65" s="710">
        <f t="shared" si="68"/>
        <v>-61.687000000000005</v>
      </c>
      <c r="AT65" s="710">
        <f t="shared" si="68"/>
        <v>-100.62899999999999</v>
      </c>
      <c r="AU65" s="710">
        <f t="shared" si="68"/>
        <v>-123.535</v>
      </c>
      <c r="AV65" s="711">
        <f t="shared" si="68"/>
        <v>-123.535</v>
      </c>
    </row>
    <row r="66" spans="2:48" x14ac:dyDescent="0.2">
      <c r="B66" s="696"/>
      <c r="C66" s="722"/>
      <c r="D66" s="723"/>
      <c r="E66" s="723"/>
      <c r="F66" s="723"/>
      <c r="G66" s="723"/>
      <c r="H66" s="723"/>
      <c r="I66" s="723"/>
      <c r="J66" s="723"/>
      <c r="K66" s="723"/>
      <c r="L66" s="723"/>
      <c r="M66" s="723"/>
      <c r="N66" s="723"/>
      <c r="O66" s="723"/>
      <c r="P66" s="723"/>
      <c r="Q66" s="723"/>
      <c r="R66" s="723"/>
      <c r="S66" s="723"/>
      <c r="T66" s="723"/>
      <c r="U66" s="723"/>
      <c r="V66" s="723"/>
      <c r="W66" s="723"/>
      <c r="X66" s="723"/>
      <c r="Y66" s="723"/>
      <c r="Z66" s="723"/>
      <c r="AA66" s="723"/>
      <c r="AB66" s="723"/>
      <c r="AC66" s="723"/>
      <c r="AD66" s="723"/>
      <c r="AE66" s="723"/>
      <c r="AF66" s="723"/>
      <c r="AG66" s="723"/>
      <c r="AH66" s="723"/>
      <c r="AI66" s="723"/>
      <c r="AJ66" s="723"/>
      <c r="AK66" s="723"/>
      <c r="AL66" s="723"/>
      <c r="AM66" s="723"/>
      <c r="AN66" s="723"/>
      <c r="AO66" s="723"/>
      <c r="AP66" s="723"/>
      <c r="AQ66" s="723"/>
      <c r="AR66" s="723"/>
      <c r="AS66" s="723"/>
      <c r="AT66" s="723"/>
      <c r="AU66" s="723"/>
      <c r="AV66" s="702"/>
    </row>
    <row r="67" spans="2:48" x14ac:dyDescent="0.2">
      <c r="B67" s="694" t="s">
        <v>457</v>
      </c>
      <c r="C67" s="721"/>
      <c r="D67" s="720"/>
      <c r="E67" s="720"/>
      <c r="F67" s="720"/>
      <c r="G67" s="719">
        <f>H67</f>
        <v>0</v>
      </c>
      <c r="H67" s="720"/>
      <c r="I67" s="720"/>
      <c r="J67" s="720"/>
      <c r="K67" s="720"/>
      <c r="L67" s="720">
        <f>M67</f>
        <v>0</v>
      </c>
      <c r="M67" s="720"/>
      <c r="N67" s="720"/>
      <c r="O67" s="720"/>
      <c r="P67" s="703">
        <v>-2.4E-2</v>
      </c>
      <c r="Q67" s="720">
        <f>R67</f>
        <v>-0.10299999999999999</v>
      </c>
      <c r="R67" s="703">
        <v>-0.10299999999999999</v>
      </c>
      <c r="S67" s="703">
        <v>1.7000000000000001E-2</v>
      </c>
      <c r="T67" s="703">
        <v>-1.0999999999999999E-2</v>
      </c>
      <c r="U67" s="703">
        <v>2.5999999999999999E-2</v>
      </c>
      <c r="V67" s="720">
        <f>W67</f>
        <v>-6.5000000000000002E-2</v>
      </c>
      <c r="W67" s="703">
        <v>-6.5000000000000002E-2</v>
      </c>
      <c r="X67" s="703">
        <v>0.04</v>
      </c>
      <c r="Y67" s="703">
        <v>8.5999999999999993E-2</v>
      </c>
      <c r="Z67" s="703">
        <v>5.7000000000000002E-2</v>
      </c>
      <c r="AA67" s="720">
        <f>AB67</f>
        <v>0.11700000000000001</v>
      </c>
      <c r="AB67" s="703">
        <v>0.11700000000000001</v>
      </c>
      <c r="AC67" s="703">
        <v>-0.246</v>
      </c>
      <c r="AD67" s="703">
        <v>-0.13900000000000001</v>
      </c>
      <c r="AE67" s="703">
        <v>-0.1</v>
      </c>
      <c r="AF67" s="720">
        <f>AG67</f>
        <v>-1.7000000000000001E-2</v>
      </c>
      <c r="AG67" s="703">
        <v>-1.7000000000000001E-2</v>
      </c>
      <c r="AH67" s="703">
        <v>3.7999999999999999E-2</v>
      </c>
      <c r="AI67" s="703">
        <v>8.1000000000000003E-2</v>
      </c>
      <c r="AJ67" s="703">
        <v>1.0999999999999999E-2</v>
      </c>
      <c r="AK67" s="720">
        <f>AL67</f>
        <v>-2.7E-2</v>
      </c>
      <c r="AL67" s="703">
        <v>-2.7E-2</v>
      </c>
      <c r="AM67" s="703">
        <v>9.0999999999999998E-2</v>
      </c>
      <c r="AN67" s="703">
        <v>-2.5999999999999999E-2</v>
      </c>
      <c r="AO67" s="703">
        <v>-0.36099999999999999</v>
      </c>
      <c r="AP67" s="720">
        <f>AQ67</f>
        <v>-0.32500000000000001</v>
      </c>
      <c r="AQ67" s="703">
        <v>-0.32500000000000001</v>
      </c>
      <c r="AR67" s="703">
        <v>7.1999999999999995E-2</v>
      </c>
      <c r="AS67" s="703">
        <v>0.159</v>
      </c>
      <c r="AT67" s="703">
        <v>-5.8999999999999997E-2</v>
      </c>
      <c r="AU67" s="720">
        <f>AV67</f>
        <v>0.14399999999999999</v>
      </c>
      <c r="AV67" s="700">
        <v>0.14399999999999999</v>
      </c>
    </row>
    <row r="68" spans="2:48" x14ac:dyDescent="0.2">
      <c r="B68" s="1543" t="s">
        <v>458</v>
      </c>
      <c r="C68" s="1544">
        <f t="shared" ref="C68:AE68" si="69">C65+C42+C30+C67</f>
        <v>-3.7329999999999472</v>
      </c>
      <c r="D68" s="1545">
        <f t="shared" si="69"/>
        <v>-18.540000000000006</v>
      </c>
      <c r="E68" s="1545">
        <f t="shared" si="69"/>
        <v>3.5299999999999869</v>
      </c>
      <c r="F68" s="1545">
        <f t="shared" si="69"/>
        <v>-28.411000000000001</v>
      </c>
      <c r="G68" s="1545">
        <f t="shared" si="69"/>
        <v>-14.163999999999959</v>
      </c>
      <c r="H68" s="1545">
        <f t="shared" si="69"/>
        <v>-14.163999999999959</v>
      </c>
      <c r="I68" s="1545">
        <f t="shared" si="69"/>
        <v>10.067999999999984</v>
      </c>
      <c r="J68" s="1545">
        <f t="shared" si="69"/>
        <v>35.76400000000001</v>
      </c>
      <c r="K68" s="1545">
        <f t="shared" si="69"/>
        <v>21.990999999999985</v>
      </c>
      <c r="L68" s="724">
        <f t="shared" si="69"/>
        <v>9.9850000000000136</v>
      </c>
      <c r="M68" s="724">
        <f t="shared" si="69"/>
        <v>9.9850000000000136</v>
      </c>
      <c r="N68" s="1545">
        <f t="shared" si="69"/>
        <v>11.826999999999991</v>
      </c>
      <c r="O68" s="1545">
        <f t="shared" si="69"/>
        <v>12.475000000000023</v>
      </c>
      <c r="P68" s="1545">
        <f t="shared" si="69"/>
        <v>-34.043999999999954</v>
      </c>
      <c r="Q68" s="724">
        <f t="shared" si="69"/>
        <v>-47.831000000000039</v>
      </c>
      <c r="R68" s="724">
        <f t="shared" si="69"/>
        <v>-47.831000000000039</v>
      </c>
      <c r="S68" s="1545">
        <f t="shared" si="69"/>
        <v>18.792999999999989</v>
      </c>
      <c r="T68" s="1545">
        <f t="shared" si="69"/>
        <v>23.361000000000015</v>
      </c>
      <c r="U68" s="1545">
        <f t="shared" si="69"/>
        <v>6.631000000000018</v>
      </c>
      <c r="V68" s="724">
        <f t="shared" si="69"/>
        <v>20.569999999999933</v>
      </c>
      <c r="W68" s="724">
        <f t="shared" si="69"/>
        <v>20.569999999999933</v>
      </c>
      <c r="X68" s="724">
        <f t="shared" si="69"/>
        <v>-4.0489999999999844</v>
      </c>
      <c r="Y68" s="724">
        <f t="shared" si="69"/>
        <v>-3.9740000000000308</v>
      </c>
      <c r="Z68" s="724">
        <f t="shared" si="69"/>
        <v>279.67399999999998</v>
      </c>
      <c r="AA68" s="724">
        <f t="shared" si="69"/>
        <v>31.837999999999948</v>
      </c>
      <c r="AB68" s="724">
        <f t="shared" si="69"/>
        <v>31.837999999999948</v>
      </c>
      <c r="AC68" s="724">
        <f t="shared" si="69"/>
        <v>22.606999999999989</v>
      </c>
      <c r="AD68" s="724">
        <f t="shared" si="69"/>
        <v>191.739</v>
      </c>
      <c r="AE68" s="724">
        <f t="shared" si="69"/>
        <v>185.352</v>
      </c>
      <c r="AF68" s="724">
        <f>$AS$627-$AS$626</f>
        <v>0</v>
      </c>
      <c r="AG68" s="724">
        <f>$AT$627-$AT$626</f>
        <v>0</v>
      </c>
      <c r="AH68" s="724">
        <f t="shared" ref="AH68:AJ68" si="70">AH65+AH42+AH30+AH67</f>
        <v>27.259999999999998</v>
      </c>
      <c r="AI68" s="724">
        <f t="shared" si="70"/>
        <v>7.6830000000000185</v>
      </c>
      <c r="AJ68" s="724">
        <f t="shared" si="70"/>
        <v>-23.054999999999946</v>
      </c>
      <c r="AK68" s="724">
        <f>$AS$627-$AS$626</f>
        <v>0</v>
      </c>
      <c r="AL68" s="724">
        <f>$AT$627-$AT$626</f>
        <v>0</v>
      </c>
      <c r="AM68" s="724">
        <f>$AZ$627-$AZ$626</f>
        <v>0</v>
      </c>
      <c r="AN68" s="724">
        <f t="shared" ref="AN68:AV68" si="71">AN65+AN42+AN30+AN67</f>
        <v>5.2639999999999922</v>
      </c>
      <c r="AO68" s="724">
        <f t="shared" si="71"/>
        <v>-56.470000000000063</v>
      </c>
      <c r="AP68" s="724">
        <f t="shared" si="71"/>
        <v>-74.850000000000009</v>
      </c>
      <c r="AQ68" s="724">
        <f t="shared" si="71"/>
        <v>-74.850000000000009</v>
      </c>
      <c r="AR68" s="724">
        <f t="shared" si="71"/>
        <v>1.3869999999999765</v>
      </c>
      <c r="AS68" s="724">
        <f t="shared" si="71"/>
        <v>-23.22000000000002</v>
      </c>
      <c r="AT68" s="724">
        <f t="shared" si="71"/>
        <v>-50.79000000000002</v>
      </c>
      <c r="AU68" s="724">
        <f t="shared" si="71"/>
        <v>-58.486999999999973</v>
      </c>
      <c r="AV68" s="712">
        <f t="shared" si="71"/>
        <v>-58.486999999999973</v>
      </c>
    </row>
    <row r="69" spans="2:48" x14ac:dyDescent="0.2">
      <c r="B69" s="696"/>
      <c r="C69" s="722"/>
      <c r="D69" s="723"/>
      <c r="E69" s="723"/>
      <c r="F69" s="723"/>
      <c r="G69" s="723"/>
      <c r="H69" s="723"/>
      <c r="I69" s="723"/>
      <c r="J69" s="723"/>
      <c r="K69" s="723"/>
      <c r="L69" s="723"/>
      <c r="M69" s="723"/>
      <c r="N69" s="723"/>
      <c r="O69" s="723"/>
      <c r="P69" s="723"/>
      <c r="Q69" s="723"/>
      <c r="R69" s="723"/>
      <c r="S69" s="723"/>
      <c r="T69" s="723"/>
      <c r="U69" s="723"/>
      <c r="V69" s="723"/>
      <c r="W69" s="723"/>
      <c r="X69" s="723"/>
      <c r="Y69" s="723"/>
      <c r="Z69" s="723"/>
      <c r="AA69" s="723"/>
      <c r="AB69" s="723"/>
      <c r="AC69" s="723"/>
      <c r="AD69" s="723"/>
      <c r="AE69" s="723"/>
      <c r="AF69" s="723"/>
      <c r="AG69" s="723"/>
      <c r="AH69" s="723"/>
      <c r="AI69" s="723"/>
      <c r="AJ69" s="723"/>
      <c r="AK69" s="723"/>
      <c r="AL69" s="723"/>
      <c r="AM69" s="723"/>
      <c r="AN69" s="723"/>
      <c r="AO69" s="723"/>
      <c r="AP69" s="723"/>
      <c r="AQ69" s="723"/>
      <c r="AR69" s="723"/>
      <c r="AS69" s="723"/>
      <c r="AT69" s="723"/>
      <c r="AU69" s="723"/>
      <c r="AV69" s="702"/>
    </row>
    <row r="70" spans="2:48" x14ac:dyDescent="0.2">
      <c r="B70" s="1543" t="s">
        <v>112</v>
      </c>
      <c r="C70" s="725">
        <v>61.8</v>
      </c>
      <c r="D70" s="1545">
        <f>C71</f>
        <v>58.06700000000005</v>
      </c>
      <c r="E70" s="1545">
        <f t="shared" ref="E70:H70" si="72">D70</f>
        <v>58.06700000000005</v>
      </c>
      <c r="F70" s="1545">
        <f t="shared" si="72"/>
        <v>58.06700000000005</v>
      </c>
      <c r="G70" s="1545">
        <f t="shared" si="72"/>
        <v>58.06700000000005</v>
      </c>
      <c r="H70" s="1545">
        <f t="shared" si="72"/>
        <v>58.06700000000005</v>
      </c>
      <c r="I70" s="1545">
        <f>H71</f>
        <v>43.903000000000091</v>
      </c>
      <c r="J70" s="1545">
        <f t="shared" ref="J70:M70" si="73">I70</f>
        <v>43.903000000000091</v>
      </c>
      <c r="K70" s="1545">
        <f t="shared" si="73"/>
        <v>43.903000000000091</v>
      </c>
      <c r="L70" s="1545">
        <f t="shared" si="73"/>
        <v>43.903000000000091</v>
      </c>
      <c r="M70" s="1545">
        <f t="shared" si="73"/>
        <v>43.903000000000091</v>
      </c>
      <c r="N70" s="1545">
        <f>M71</f>
        <v>53.888000000000105</v>
      </c>
      <c r="O70" s="1545">
        <f t="shared" ref="O70:R70" si="74">N70</f>
        <v>53.888000000000105</v>
      </c>
      <c r="P70" s="1545">
        <f t="shared" si="74"/>
        <v>53.888000000000105</v>
      </c>
      <c r="Q70" s="1545">
        <f t="shared" si="74"/>
        <v>53.888000000000105</v>
      </c>
      <c r="R70" s="1545">
        <f t="shared" si="74"/>
        <v>53.888000000000105</v>
      </c>
      <c r="S70" s="1545">
        <f>R71</f>
        <v>6.0570000000000661</v>
      </c>
      <c r="T70" s="1545">
        <f t="shared" ref="T70:W70" si="75">S70</f>
        <v>6.0570000000000661</v>
      </c>
      <c r="U70" s="1545">
        <f t="shared" si="75"/>
        <v>6.0570000000000661</v>
      </c>
      <c r="V70" s="1545">
        <f t="shared" si="75"/>
        <v>6.0570000000000661</v>
      </c>
      <c r="W70" s="1545">
        <f t="shared" si="75"/>
        <v>6.0570000000000661</v>
      </c>
      <c r="X70" s="1545">
        <f>W71</f>
        <v>26.626999999999999</v>
      </c>
      <c r="Y70" s="1545">
        <f t="shared" ref="Y70:AB70" si="76">X70</f>
        <v>26.626999999999999</v>
      </c>
      <c r="Z70" s="1545">
        <f t="shared" si="76"/>
        <v>26.626999999999999</v>
      </c>
      <c r="AA70" s="1545">
        <f t="shared" si="76"/>
        <v>26.626999999999999</v>
      </c>
      <c r="AB70" s="1545">
        <f t="shared" si="76"/>
        <v>26.626999999999999</v>
      </c>
      <c r="AC70" s="1545">
        <f>AB71</f>
        <v>58.464999999999947</v>
      </c>
      <c r="AD70" s="1545">
        <f t="shared" ref="AD70:AG70" si="77">AC70</f>
        <v>58.464999999999947</v>
      </c>
      <c r="AE70" s="1545">
        <f t="shared" si="77"/>
        <v>58.464999999999947</v>
      </c>
      <c r="AF70" s="1545">
        <f t="shared" si="77"/>
        <v>58.464999999999947</v>
      </c>
      <c r="AG70" s="1545">
        <f t="shared" si="77"/>
        <v>58.464999999999947</v>
      </c>
      <c r="AH70" s="1545">
        <f>AG71</f>
        <v>0</v>
      </c>
      <c r="AI70" s="724">
        <f t="shared" ref="AI70:AL70" si="78">AH70</f>
        <v>0</v>
      </c>
      <c r="AJ70" s="724">
        <f t="shared" si="78"/>
        <v>0</v>
      </c>
      <c r="AK70" s="724">
        <f t="shared" si="78"/>
        <v>0</v>
      </c>
      <c r="AL70" s="724">
        <f t="shared" si="78"/>
        <v>0</v>
      </c>
      <c r="AM70" s="724">
        <f>AL71</f>
        <v>0</v>
      </c>
      <c r="AN70" s="724">
        <f t="shared" ref="AN70:AQ70" si="79">AM70</f>
        <v>0</v>
      </c>
      <c r="AO70" s="724">
        <f t="shared" si="79"/>
        <v>0</v>
      </c>
      <c r="AP70" s="724">
        <f t="shared" si="79"/>
        <v>0</v>
      </c>
      <c r="AQ70" s="724">
        <f t="shared" si="79"/>
        <v>0</v>
      </c>
      <c r="AR70" s="724">
        <f>AQ71</f>
        <v>-74.850000000000009</v>
      </c>
      <c r="AS70" s="724">
        <f t="shared" ref="AS70:AV70" si="80">AR70</f>
        <v>-74.850000000000009</v>
      </c>
      <c r="AT70" s="724">
        <f t="shared" si="80"/>
        <v>-74.850000000000009</v>
      </c>
      <c r="AU70" s="724">
        <f t="shared" si="80"/>
        <v>-74.850000000000009</v>
      </c>
      <c r="AV70" s="712">
        <f t="shared" si="80"/>
        <v>-74.850000000000009</v>
      </c>
    </row>
    <row r="71" spans="2:48" x14ac:dyDescent="0.2">
      <c r="B71" s="1543" t="s">
        <v>114</v>
      </c>
      <c r="C71" s="1544">
        <f t="shared" ref="C71:AE71" si="81">C68+C70</f>
        <v>58.06700000000005</v>
      </c>
      <c r="D71" s="1545">
        <f t="shared" si="81"/>
        <v>39.527000000000044</v>
      </c>
      <c r="E71" s="1545">
        <f t="shared" si="81"/>
        <v>61.597000000000037</v>
      </c>
      <c r="F71" s="1545">
        <f t="shared" si="81"/>
        <v>29.656000000000049</v>
      </c>
      <c r="G71" s="1545">
        <f t="shared" si="81"/>
        <v>43.903000000000091</v>
      </c>
      <c r="H71" s="1545">
        <f t="shared" si="81"/>
        <v>43.903000000000091</v>
      </c>
      <c r="I71" s="1545">
        <f t="shared" si="81"/>
        <v>53.971000000000075</v>
      </c>
      <c r="J71" s="1545">
        <f t="shared" si="81"/>
        <v>79.667000000000101</v>
      </c>
      <c r="K71" s="1545">
        <f t="shared" si="81"/>
        <v>65.894000000000077</v>
      </c>
      <c r="L71" s="1545">
        <f t="shared" si="81"/>
        <v>53.888000000000105</v>
      </c>
      <c r="M71" s="1545">
        <f t="shared" si="81"/>
        <v>53.888000000000105</v>
      </c>
      <c r="N71" s="1545">
        <f t="shared" si="81"/>
        <v>65.715000000000089</v>
      </c>
      <c r="O71" s="1545">
        <f t="shared" si="81"/>
        <v>66.363000000000127</v>
      </c>
      <c r="P71" s="1545">
        <f t="shared" si="81"/>
        <v>19.84400000000015</v>
      </c>
      <c r="Q71" s="1545">
        <f t="shared" si="81"/>
        <v>6.0570000000000661</v>
      </c>
      <c r="R71" s="1545">
        <f t="shared" si="81"/>
        <v>6.0570000000000661</v>
      </c>
      <c r="S71" s="1545">
        <f t="shared" si="81"/>
        <v>24.850000000000055</v>
      </c>
      <c r="T71" s="1545">
        <f t="shared" si="81"/>
        <v>29.418000000000081</v>
      </c>
      <c r="U71" s="1545">
        <f t="shared" si="81"/>
        <v>12.688000000000084</v>
      </c>
      <c r="V71" s="1545">
        <f t="shared" si="81"/>
        <v>26.626999999999999</v>
      </c>
      <c r="W71" s="1545">
        <f t="shared" si="81"/>
        <v>26.626999999999999</v>
      </c>
      <c r="X71" s="1545">
        <f t="shared" si="81"/>
        <v>22.578000000000014</v>
      </c>
      <c r="Y71" s="1545">
        <f t="shared" si="81"/>
        <v>22.652999999999967</v>
      </c>
      <c r="Z71" s="1545">
        <f t="shared" si="81"/>
        <v>306.30099999999999</v>
      </c>
      <c r="AA71" s="1545">
        <f t="shared" si="81"/>
        <v>58.464999999999947</v>
      </c>
      <c r="AB71" s="1545">
        <f t="shared" si="81"/>
        <v>58.464999999999947</v>
      </c>
      <c r="AC71" s="1545">
        <f t="shared" si="81"/>
        <v>81.071999999999932</v>
      </c>
      <c r="AD71" s="1545">
        <f t="shared" si="81"/>
        <v>250.20399999999995</v>
      </c>
      <c r="AE71" s="1545">
        <f t="shared" si="81"/>
        <v>243.81699999999995</v>
      </c>
      <c r="AF71" s="1545">
        <f>AF138</f>
        <v>0</v>
      </c>
      <c r="AG71" s="1545">
        <f>AG138</f>
        <v>0</v>
      </c>
      <c r="AH71" s="1545">
        <f>AH138</f>
        <v>0</v>
      </c>
      <c r="AI71" s="724">
        <f t="shared" ref="AI71:AJ71" si="82">AI68+AI70</f>
        <v>7.6830000000000185</v>
      </c>
      <c r="AJ71" s="724">
        <f t="shared" si="82"/>
        <v>-23.054999999999946</v>
      </c>
      <c r="AK71" s="724">
        <f>AK138</f>
        <v>0</v>
      </c>
      <c r="AL71" s="724">
        <f>AL138</f>
        <v>0</v>
      </c>
      <c r="AM71" s="724">
        <f>AM138</f>
        <v>0</v>
      </c>
      <c r="AN71" s="724">
        <f t="shared" ref="AN71:AV71" si="83">AN68+AN70</f>
        <v>5.2639999999999922</v>
      </c>
      <c r="AO71" s="724">
        <f t="shared" si="83"/>
        <v>-56.470000000000063</v>
      </c>
      <c r="AP71" s="724">
        <f t="shared" si="83"/>
        <v>-74.850000000000009</v>
      </c>
      <c r="AQ71" s="724">
        <f t="shared" si="83"/>
        <v>-74.850000000000009</v>
      </c>
      <c r="AR71" s="724">
        <f t="shared" si="83"/>
        <v>-73.463000000000036</v>
      </c>
      <c r="AS71" s="724">
        <f t="shared" si="83"/>
        <v>-98.070000000000022</v>
      </c>
      <c r="AT71" s="724">
        <f t="shared" si="83"/>
        <v>-125.64000000000003</v>
      </c>
      <c r="AU71" s="724">
        <f t="shared" si="83"/>
        <v>-133.33699999999999</v>
      </c>
      <c r="AV71" s="712">
        <f t="shared" si="83"/>
        <v>-133.33699999999999</v>
      </c>
    </row>
    <row r="72" spans="2:48" x14ac:dyDescent="0.2">
      <c r="B72" s="696"/>
      <c r="C72" s="722"/>
      <c r="D72" s="723"/>
      <c r="E72" s="723"/>
      <c r="F72" s="723"/>
      <c r="G72" s="723"/>
      <c r="H72" s="723"/>
      <c r="I72" s="723"/>
      <c r="J72" s="723"/>
      <c r="K72" s="723"/>
      <c r="L72" s="723"/>
      <c r="M72" s="723"/>
      <c r="N72" s="723"/>
      <c r="O72" s="723"/>
      <c r="P72" s="723"/>
      <c r="Q72" s="723"/>
      <c r="R72" s="723"/>
      <c r="S72" s="723"/>
      <c r="T72" s="723"/>
      <c r="U72" s="723"/>
      <c r="V72" s="723"/>
      <c r="W72" s="723"/>
      <c r="X72" s="723"/>
      <c r="Y72" s="723"/>
      <c r="Z72" s="723"/>
      <c r="AA72" s="723"/>
      <c r="AB72" s="723"/>
      <c r="AC72" s="723"/>
      <c r="AD72" s="723"/>
      <c r="AE72" s="723"/>
      <c r="AF72" s="723"/>
      <c r="AG72" s="723"/>
      <c r="AH72" s="723"/>
      <c r="AI72" s="723"/>
      <c r="AJ72" s="723"/>
      <c r="AK72" s="723"/>
      <c r="AL72" s="723"/>
      <c r="AM72" s="723"/>
      <c r="AN72" s="723"/>
      <c r="AO72" s="723"/>
      <c r="AP72" s="723"/>
      <c r="AQ72" s="723"/>
      <c r="AR72" s="723"/>
      <c r="AS72" s="723"/>
      <c r="AT72" s="723"/>
      <c r="AU72" s="723"/>
      <c r="AV72" s="702"/>
    </row>
    <row r="73" spans="2:48" x14ac:dyDescent="0.2">
      <c r="B73" s="694" t="s">
        <v>459</v>
      </c>
      <c r="C73" s="718">
        <v>5.43</v>
      </c>
      <c r="D73" s="703">
        <v>1.4550000000000001</v>
      </c>
      <c r="E73" s="703">
        <v>2.988</v>
      </c>
      <c r="F73" s="703">
        <v>4.4180000000000001</v>
      </c>
      <c r="G73" s="719">
        <f t="shared" ref="G73:G74" si="84">H73</f>
        <v>6.0570000000000004</v>
      </c>
      <c r="H73" s="703">
        <v>6.0570000000000004</v>
      </c>
      <c r="I73" s="703">
        <v>1.4830000000000001</v>
      </c>
      <c r="J73" s="703">
        <v>3.0550000000000002</v>
      </c>
      <c r="K73" s="703">
        <v>4.7190000000000003</v>
      </c>
      <c r="L73" s="719">
        <f t="shared" ref="L73:L74" si="85">M73</f>
        <v>6.0380000000000003</v>
      </c>
      <c r="M73" s="703">
        <v>6.0380000000000003</v>
      </c>
      <c r="N73" s="703">
        <v>1.627</v>
      </c>
      <c r="O73" s="703">
        <v>3.375</v>
      </c>
      <c r="P73" s="703">
        <v>5.1550000000000002</v>
      </c>
      <c r="Q73" s="719">
        <f t="shared" ref="Q73:Q74" si="86">R73</f>
        <v>7.1280000000000001</v>
      </c>
      <c r="R73" s="703">
        <v>7.1280000000000001</v>
      </c>
      <c r="S73" s="703">
        <v>2.0299999999999998</v>
      </c>
      <c r="T73" s="703">
        <v>4.1449999999999996</v>
      </c>
      <c r="U73" s="703">
        <v>6.1559999999999997</v>
      </c>
      <c r="V73" s="719">
        <f t="shared" ref="V73:V74" si="87">W73</f>
        <v>8.1560000000000006</v>
      </c>
      <c r="W73" s="703">
        <v>8.1560000000000006</v>
      </c>
      <c r="X73" s="703">
        <v>0.316</v>
      </c>
      <c r="Y73" s="703">
        <v>0.63600000000000001</v>
      </c>
      <c r="Z73" s="703">
        <v>0.85399999999999998</v>
      </c>
      <c r="AA73" s="719">
        <f t="shared" ref="AA73:AA74" si="88">AB73</f>
        <v>1.6459999999999999</v>
      </c>
      <c r="AB73" s="703">
        <v>1.6459999999999999</v>
      </c>
      <c r="AC73" s="703">
        <v>0.253</v>
      </c>
      <c r="AD73" s="703">
        <v>7.2889999999999997</v>
      </c>
      <c r="AE73" s="703">
        <v>10.347</v>
      </c>
      <c r="AF73" s="719">
        <f t="shared" ref="AF73:AF74" si="89">AG73</f>
        <v>13.045</v>
      </c>
      <c r="AG73" s="703">
        <v>13.045</v>
      </c>
      <c r="AH73" s="703">
        <v>1.742</v>
      </c>
      <c r="AI73" s="703">
        <v>6.8840000000000003</v>
      </c>
      <c r="AJ73" s="703">
        <v>7.7489999999999997</v>
      </c>
      <c r="AK73" s="720">
        <f t="shared" ref="AK73:AK74" si="90">AL73</f>
        <v>9.5860000000000003</v>
      </c>
      <c r="AL73" s="703">
        <v>9.5860000000000003</v>
      </c>
      <c r="AM73" s="703">
        <v>1.1359999999999999</v>
      </c>
      <c r="AN73" s="703">
        <v>2.726</v>
      </c>
      <c r="AO73" s="703">
        <v>4.7060000000000004</v>
      </c>
      <c r="AP73" s="720">
        <f t="shared" ref="AP73:AP74" si="91">AQ73</f>
        <v>7.2329999999999997</v>
      </c>
      <c r="AQ73" s="703">
        <v>7.2329999999999997</v>
      </c>
      <c r="AR73" s="703">
        <v>2.1840000000000002</v>
      </c>
      <c r="AS73" s="703">
        <v>5.3079999999999998</v>
      </c>
      <c r="AT73" s="703">
        <v>6.3860000000000001</v>
      </c>
      <c r="AU73" s="720">
        <f t="shared" ref="AU73:AU74" si="92">AV73</f>
        <v>9.7639999999999993</v>
      </c>
      <c r="AV73" s="700">
        <v>9.7639999999999993</v>
      </c>
    </row>
    <row r="74" spans="2:48" x14ac:dyDescent="0.2">
      <c r="B74" s="697" t="s">
        <v>460</v>
      </c>
      <c r="C74" s="726">
        <v>41.073999999999998</v>
      </c>
      <c r="D74" s="704">
        <v>0.54300000000000004</v>
      </c>
      <c r="E74" s="704">
        <v>3.85</v>
      </c>
      <c r="F74" s="704">
        <v>19.215</v>
      </c>
      <c r="G74" s="705">
        <f t="shared" si="84"/>
        <v>30.41</v>
      </c>
      <c r="H74" s="704">
        <v>30.41</v>
      </c>
      <c r="I74" s="704">
        <v>0.90900000000000003</v>
      </c>
      <c r="J74" s="704">
        <v>5.0339999999999998</v>
      </c>
      <c r="K74" s="704">
        <v>12.769</v>
      </c>
      <c r="L74" s="705">
        <f t="shared" si="85"/>
        <v>17.931999999999999</v>
      </c>
      <c r="M74" s="704">
        <v>17.931999999999999</v>
      </c>
      <c r="N74" s="704">
        <v>0.89400000000000002</v>
      </c>
      <c r="O74" s="704">
        <v>21.949000000000002</v>
      </c>
      <c r="P74" s="704">
        <v>30.195</v>
      </c>
      <c r="Q74" s="705">
        <f t="shared" si="86"/>
        <v>31.582000000000001</v>
      </c>
      <c r="R74" s="704">
        <v>31.582000000000001</v>
      </c>
      <c r="S74" s="704">
        <v>0.61</v>
      </c>
      <c r="T74" s="704">
        <v>5.2910000000000004</v>
      </c>
      <c r="U74" s="704">
        <v>8.1440000000000001</v>
      </c>
      <c r="V74" s="705">
        <f t="shared" si="87"/>
        <v>10.148999999999999</v>
      </c>
      <c r="W74" s="704">
        <v>10.148999999999999</v>
      </c>
      <c r="X74" s="704">
        <v>0.56599999999999995</v>
      </c>
      <c r="Y74" s="704">
        <v>9.9390000000000001</v>
      </c>
      <c r="Z74" s="704">
        <v>16.966000000000001</v>
      </c>
      <c r="AA74" s="705">
        <f t="shared" si="88"/>
        <v>20.777999999999999</v>
      </c>
      <c r="AB74" s="704">
        <v>20.777999999999999</v>
      </c>
      <c r="AC74" s="704">
        <v>0.35199999999999998</v>
      </c>
      <c r="AD74" s="704">
        <v>0.42299999999999999</v>
      </c>
      <c r="AE74" s="704">
        <v>6.7119999999999997</v>
      </c>
      <c r="AF74" s="705">
        <f t="shared" si="89"/>
        <v>2.968</v>
      </c>
      <c r="AG74" s="704">
        <v>2.968</v>
      </c>
      <c r="AH74" s="704">
        <v>0.32700000000000001</v>
      </c>
      <c r="AI74" s="704">
        <v>4.8769999999999998</v>
      </c>
      <c r="AJ74" s="704">
        <v>9.1280000000000001</v>
      </c>
      <c r="AK74" s="706">
        <f t="shared" si="90"/>
        <v>13.031000000000001</v>
      </c>
      <c r="AL74" s="704">
        <v>13.031000000000001</v>
      </c>
      <c r="AM74" s="704">
        <v>0.46500000000000002</v>
      </c>
      <c r="AN74" s="704">
        <v>9.7200000000000006</v>
      </c>
      <c r="AO74" s="704">
        <v>13.603</v>
      </c>
      <c r="AP74" s="706">
        <f t="shared" si="91"/>
        <v>14.688000000000001</v>
      </c>
      <c r="AQ74" s="704">
        <v>14.688000000000001</v>
      </c>
      <c r="AR74" s="704">
        <v>0.69299999999999995</v>
      </c>
      <c r="AS74" s="704">
        <v>5.1749999999999998</v>
      </c>
      <c r="AT74" s="704">
        <v>7.0679999999999996</v>
      </c>
      <c r="AU74" s="706">
        <f t="shared" si="92"/>
        <v>14.473000000000001</v>
      </c>
      <c r="AV74" s="707">
        <v>14.473000000000001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4F21-1113-454F-B5D7-5A8868C567C4}">
  <dimension ref="B1:J27"/>
  <sheetViews>
    <sheetView showGridLines="0" workbookViewId="0"/>
  </sheetViews>
  <sheetFormatPr baseColWidth="10" defaultColWidth="8.5" defaultRowHeight="14" x14ac:dyDescent="0.15"/>
  <cols>
    <col min="1" max="1" width="8.5" style="782"/>
    <col min="2" max="2" width="40.5" style="782" customWidth="1"/>
    <col min="3" max="3" width="13.83203125" style="782" customWidth="1"/>
    <col min="4" max="4" width="12.5" style="782" customWidth="1"/>
    <col min="5" max="5" width="18" style="782" customWidth="1"/>
    <col min="6" max="6" width="12.5" style="782" customWidth="1"/>
    <col min="7" max="7" width="15.83203125" style="782" customWidth="1"/>
    <col min="8" max="8" width="18.5" style="782" customWidth="1"/>
    <col min="9" max="9" width="13" style="782" customWidth="1"/>
    <col min="10" max="10" width="26.5" style="782" customWidth="1"/>
    <col min="11" max="16384" width="8.5" style="782"/>
  </cols>
  <sheetData>
    <row r="1" spans="2:10" x14ac:dyDescent="0.15">
      <c r="B1" s="1420" t="s">
        <v>461</v>
      </c>
      <c r="C1" s="1208"/>
      <c r="D1" s="1208"/>
      <c r="E1" s="1208"/>
      <c r="F1" s="1208"/>
      <c r="G1" s="1208"/>
      <c r="H1" s="1208"/>
      <c r="I1" s="1208"/>
      <c r="J1" s="1209"/>
    </row>
    <row r="2" spans="2:10" ht="75" x14ac:dyDescent="0.15">
      <c r="B2" s="1421" t="s">
        <v>462</v>
      </c>
      <c r="C2" s="879" t="s">
        <v>463</v>
      </c>
      <c r="D2" s="879" t="s">
        <v>464</v>
      </c>
      <c r="E2" s="879" t="s">
        <v>219</v>
      </c>
      <c r="F2" s="879" t="s">
        <v>55</v>
      </c>
      <c r="G2" s="879" t="s">
        <v>465</v>
      </c>
      <c r="H2" s="879" t="s">
        <v>466</v>
      </c>
      <c r="I2" s="879" t="s">
        <v>467</v>
      </c>
      <c r="J2" s="1422" t="s">
        <v>468</v>
      </c>
    </row>
    <row r="3" spans="2:10" x14ac:dyDescent="0.15">
      <c r="B3" s="1423"/>
      <c r="J3" s="1207"/>
    </row>
    <row r="4" spans="2:10" x14ac:dyDescent="0.15">
      <c r="B4" s="1424" t="s">
        <v>469</v>
      </c>
      <c r="C4" s="1425">
        <v>1749.7</v>
      </c>
      <c r="D4" s="1425">
        <f>'Balance Sheet Link'!AV42</f>
        <v>470.04700000000003</v>
      </c>
      <c r="E4" s="1425">
        <v>3439.5</v>
      </c>
      <c r="F4" s="1425">
        <v>243.3</v>
      </c>
      <c r="G4" s="1426">
        <f>D4/F4</f>
        <v>1.9319646526921497</v>
      </c>
      <c r="H4" s="1427">
        <v>1</v>
      </c>
      <c r="I4" s="1427">
        <v>7.5</v>
      </c>
      <c r="J4" s="1428">
        <v>16.5</v>
      </c>
    </row>
    <row r="5" spans="2:10" x14ac:dyDescent="0.15">
      <c r="B5" s="1423"/>
      <c r="C5" s="1429"/>
      <c r="D5" s="1429"/>
      <c r="E5" s="1429"/>
      <c r="F5" s="1429"/>
      <c r="G5" s="880"/>
      <c r="H5" s="881"/>
      <c r="I5" s="881"/>
      <c r="J5" s="1430"/>
    </row>
    <row r="6" spans="2:10" x14ac:dyDescent="0.15">
      <c r="B6" s="1423" t="s">
        <v>470</v>
      </c>
      <c r="C6" s="1429">
        <v>10084.6</v>
      </c>
      <c r="D6" s="1429">
        <v>669.3</v>
      </c>
      <c r="E6" s="1429">
        <v>4631.7</v>
      </c>
      <c r="F6" s="1429">
        <v>507.5</v>
      </c>
      <c r="G6" s="880">
        <f t="shared" ref="G6:G11" si="0">D6/F6</f>
        <v>1.3188177339901477</v>
      </c>
      <c r="H6" s="881">
        <v>2.2999999999999998</v>
      </c>
      <c r="I6" s="881">
        <v>18.3</v>
      </c>
      <c r="J6" s="1430">
        <v>33.200000000000003</v>
      </c>
    </row>
    <row r="7" spans="2:10" x14ac:dyDescent="0.15">
      <c r="B7" s="1423" t="s">
        <v>471</v>
      </c>
      <c r="C7" s="1429">
        <v>2002.6</v>
      </c>
      <c r="D7" s="1429">
        <v>2069.6</v>
      </c>
      <c r="E7" s="1431">
        <v>4245.3</v>
      </c>
      <c r="F7" s="1429">
        <v>405.7</v>
      </c>
      <c r="G7" s="880">
        <f t="shared" si="0"/>
        <v>5.1013063840276063</v>
      </c>
      <c r="H7" s="881">
        <v>1</v>
      </c>
      <c r="I7" s="881">
        <v>6.3</v>
      </c>
      <c r="J7" s="1430">
        <v>13.4</v>
      </c>
    </row>
    <row r="8" spans="2:10" x14ac:dyDescent="0.15">
      <c r="B8" s="1423" t="s">
        <v>472</v>
      </c>
      <c r="C8" s="1429">
        <v>2352.6</v>
      </c>
      <c r="D8" s="1429">
        <v>1986.9</v>
      </c>
      <c r="E8" s="1429">
        <v>4671.5</v>
      </c>
      <c r="F8" s="1429">
        <v>550.29999999999995</v>
      </c>
      <c r="G8" s="880">
        <f t="shared" si="0"/>
        <v>3.6105760494275856</v>
      </c>
      <c r="H8" s="881">
        <v>0.9</v>
      </c>
      <c r="I8" s="881">
        <v>5.8</v>
      </c>
      <c r="J8" s="1430">
        <v>10.6</v>
      </c>
    </row>
    <row r="9" spans="2:10" x14ac:dyDescent="0.15">
      <c r="B9" s="1423" t="s">
        <v>473</v>
      </c>
      <c r="C9" s="1429" t="s">
        <v>474</v>
      </c>
      <c r="D9" s="1429">
        <v>5095.2</v>
      </c>
      <c r="E9" s="1431">
        <v>4479.3999999999996</v>
      </c>
      <c r="F9" s="1429">
        <v>872.1</v>
      </c>
      <c r="G9" s="880">
        <f t="shared" si="0"/>
        <v>5.8424492604059166</v>
      </c>
      <c r="H9" s="881">
        <v>4.9000000000000004</v>
      </c>
      <c r="I9" s="881">
        <v>23</v>
      </c>
      <c r="J9" s="1430">
        <v>33.200000000000003</v>
      </c>
    </row>
    <row r="10" spans="2:10" x14ac:dyDescent="0.15">
      <c r="B10" s="1423" t="s">
        <v>475</v>
      </c>
      <c r="C10" s="1429">
        <v>18398</v>
      </c>
      <c r="D10" s="1429">
        <v>6611.8</v>
      </c>
      <c r="E10" s="1429">
        <v>11201.7</v>
      </c>
      <c r="F10" s="1429">
        <v>1724.8</v>
      </c>
      <c r="G10" s="880">
        <f t="shared" si="0"/>
        <v>3.8333719851576995</v>
      </c>
      <c r="H10" s="881">
        <v>2.2000000000000002</v>
      </c>
      <c r="I10" s="881">
        <v>11.7</v>
      </c>
      <c r="J10" s="1430">
        <v>18.100000000000001</v>
      </c>
    </row>
    <row r="11" spans="2:10" x14ac:dyDescent="0.15">
      <c r="B11" s="1423" t="s">
        <v>476</v>
      </c>
      <c r="C11" s="1429">
        <v>1134.0999999999999</v>
      </c>
      <c r="D11" s="1429">
        <v>1183.7</v>
      </c>
      <c r="E11" s="1429">
        <v>3428.7</v>
      </c>
      <c r="F11" s="1429">
        <v>222.8</v>
      </c>
      <c r="G11" s="880">
        <f t="shared" si="0"/>
        <v>5.3128366247755832</v>
      </c>
      <c r="H11" s="881">
        <v>0.7</v>
      </c>
      <c r="I11" s="881">
        <v>7.4</v>
      </c>
      <c r="J11" s="1430">
        <v>16</v>
      </c>
    </row>
    <row r="12" spans="2:10" x14ac:dyDescent="0.15">
      <c r="B12" s="1423"/>
      <c r="J12" s="1207"/>
    </row>
    <row r="13" spans="2:10" x14ac:dyDescent="0.15">
      <c r="B13" s="1424" t="s">
        <v>477</v>
      </c>
      <c r="C13" s="1432">
        <f t="shared" ref="C13:J13" si="1">MEDIAN(C6:C11)</f>
        <v>2352.6</v>
      </c>
      <c r="D13" s="1432">
        <f t="shared" si="1"/>
        <v>2028.25</v>
      </c>
      <c r="E13" s="1432">
        <f t="shared" si="1"/>
        <v>4555.5499999999993</v>
      </c>
      <c r="F13" s="1432">
        <f t="shared" si="1"/>
        <v>528.9</v>
      </c>
      <c r="G13" s="1426">
        <f t="shared" si="1"/>
        <v>4.4673391845926531</v>
      </c>
      <c r="H13" s="1426">
        <f t="shared" si="1"/>
        <v>1.6</v>
      </c>
      <c r="I13" s="1426">
        <f t="shared" si="1"/>
        <v>9.5500000000000007</v>
      </c>
      <c r="J13" s="1433">
        <f t="shared" si="1"/>
        <v>17.05</v>
      </c>
    </row>
    <row r="14" spans="2:10" x14ac:dyDescent="0.15">
      <c r="B14" s="1424" t="s">
        <v>478</v>
      </c>
      <c r="C14" s="1432">
        <f t="shared" ref="C14:J14" si="2">AVERAGE(C6:C11)</f>
        <v>6794.38</v>
      </c>
      <c r="D14" s="1432">
        <f t="shared" si="2"/>
        <v>2936.0833333333335</v>
      </c>
      <c r="E14" s="1432">
        <f t="shared" si="2"/>
        <v>5443.05</v>
      </c>
      <c r="F14" s="1432">
        <f t="shared" si="2"/>
        <v>713.86666666666667</v>
      </c>
      <c r="G14" s="1426">
        <f t="shared" si="2"/>
        <v>4.169893006297424</v>
      </c>
      <c r="H14" s="1426">
        <f t="shared" si="2"/>
        <v>2</v>
      </c>
      <c r="I14" s="1426">
        <f t="shared" si="2"/>
        <v>12.083333333333336</v>
      </c>
      <c r="J14" s="1433">
        <f t="shared" si="2"/>
        <v>20.75</v>
      </c>
    </row>
    <row r="15" spans="2:10" x14ac:dyDescent="0.15">
      <c r="B15" s="1424" t="s">
        <v>479</v>
      </c>
      <c r="C15" s="1432">
        <f t="shared" ref="C15:J15" si="3">MAX(C6:C11)</f>
        <v>18398</v>
      </c>
      <c r="D15" s="1432">
        <f t="shared" si="3"/>
        <v>6611.8</v>
      </c>
      <c r="E15" s="1432">
        <f t="shared" si="3"/>
        <v>11201.7</v>
      </c>
      <c r="F15" s="1432">
        <f t="shared" si="3"/>
        <v>1724.8</v>
      </c>
      <c r="G15" s="1426">
        <f t="shared" si="3"/>
        <v>5.8424492604059166</v>
      </c>
      <c r="H15" s="1426">
        <f t="shared" si="3"/>
        <v>4.9000000000000004</v>
      </c>
      <c r="I15" s="1426">
        <f t="shared" si="3"/>
        <v>23</v>
      </c>
      <c r="J15" s="1433">
        <f t="shared" si="3"/>
        <v>33.200000000000003</v>
      </c>
    </row>
    <row r="16" spans="2:10" ht="15" thickBot="1" x14ac:dyDescent="0.2">
      <c r="B16" s="1434" t="s">
        <v>480</v>
      </c>
      <c r="C16" s="1435">
        <f t="shared" ref="C16:J16" si="4">MIN(C6:C11)</f>
        <v>1134.0999999999999</v>
      </c>
      <c r="D16" s="1435">
        <f t="shared" si="4"/>
        <v>669.3</v>
      </c>
      <c r="E16" s="1435">
        <f t="shared" si="4"/>
        <v>3428.7</v>
      </c>
      <c r="F16" s="1435">
        <f t="shared" si="4"/>
        <v>222.8</v>
      </c>
      <c r="G16" s="1436">
        <f t="shared" si="4"/>
        <v>1.3188177339901477</v>
      </c>
      <c r="H16" s="1436">
        <f t="shared" si="4"/>
        <v>0.7</v>
      </c>
      <c r="I16" s="1436">
        <f t="shared" si="4"/>
        <v>5.8</v>
      </c>
      <c r="J16" s="1437">
        <f t="shared" si="4"/>
        <v>10.6</v>
      </c>
    </row>
    <row r="19" spans="3:3" x14ac:dyDescent="0.15">
      <c r="C19" s="882"/>
    </row>
    <row r="20" spans="3:3" x14ac:dyDescent="0.15">
      <c r="C20" s="883"/>
    </row>
    <row r="21" spans="3:3" x14ac:dyDescent="0.15">
      <c r="C21" s="881"/>
    </row>
    <row r="22" spans="3:3" x14ac:dyDescent="0.15">
      <c r="C22" s="881"/>
    </row>
    <row r="23" spans="3:3" x14ac:dyDescent="0.15">
      <c r="C23" s="881"/>
    </row>
    <row r="24" spans="3:3" x14ac:dyDescent="0.15">
      <c r="C24" s="881"/>
    </row>
    <row r="25" spans="3:3" x14ac:dyDescent="0.15">
      <c r="C25" s="881"/>
    </row>
    <row r="26" spans="3:3" x14ac:dyDescent="0.15">
      <c r="C26" s="881"/>
    </row>
    <row r="27" spans="3:3" x14ac:dyDescent="0.15">
      <c r="C27" s="88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40A9-7962-4CB2-A691-51D4046F019C}">
  <sheetPr>
    <pageSetUpPr fitToPage="1"/>
  </sheetPr>
  <dimension ref="A1:BW944"/>
  <sheetViews>
    <sheetView zoomScale="78" workbookViewId="0">
      <pane xSplit="2" ySplit="5" topLeftCell="C381" activePane="bottomRight" state="frozen"/>
      <selection pane="topRight" activeCell="C1" sqref="C1"/>
      <selection pane="bottomLeft" activeCell="A6" sqref="A6"/>
      <selection pane="bottomRight" activeCell="A381" sqref="A381"/>
    </sheetView>
  </sheetViews>
  <sheetFormatPr baseColWidth="10" defaultColWidth="14.5" defaultRowHeight="15" customHeight="1" outlineLevelRow="2" outlineLevelCol="1" x14ac:dyDescent="0.2"/>
  <cols>
    <col min="1" max="1" width="50.5" style="5" customWidth="1"/>
    <col min="2" max="2" width="10.5" style="5" customWidth="1"/>
    <col min="3" max="6" width="9.5" style="5" customWidth="1"/>
    <col min="7" max="10" width="9.5" style="5" hidden="1" customWidth="1" outlineLevel="1"/>
    <col min="11" max="11" width="9.5" style="5" customWidth="1" collapsed="1"/>
    <col min="12" max="15" width="9.5" style="5" customWidth="1" outlineLevel="1"/>
    <col min="16" max="16" width="9.5" style="5" customWidth="1"/>
    <col min="17" max="20" width="9.5" style="5" customWidth="1" outlineLevel="1"/>
    <col min="21" max="21" width="9.5" style="5" customWidth="1"/>
    <col min="22" max="25" width="9.5" style="5" customWidth="1" outlineLevel="1"/>
    <col min="26" max="26" width="9.5" style="5" customWidth="1"/>
    <col min="27" max="30" width="9.5" style="5" customWidth="1" outlineLevel="1"/>
    <col min="31" max="31" width="9.5" style="5" customWidth="1"/>
    <col min="32" max="35" width="9.5" style="5" customWidth="1" outlineLevel="1"/>
    <col min="36" max="36" width="9.5" style="5" customWidth="1"/>
    <col min="37" max="40" width="9.5" style="5" customWidth="1" outlineLevel="1"/>
    <col min="41" max="41" width="9.5" style="5" customWidth="1"/>
    <col min="42" max="45" width="9.5" style="5" customWidth="1" outlineLevel="1"/>
    <col min="46" max="46" width="9.5" style="5" customWidth="1"/>
    <col min="47" max="50" width="9.5" style="5" customWidth="1" outlineLevel="1"/>
    <col min="51" max="51" width="9.5" style="5" customWidth="1"/>
    <col min="52" max="55" width="9.5" style="5" customWidth="1" outlineLevel="1"/>
    <col min="56" max="56" width="9.5" style="5" customWidth="1"/>
    <col min="57" max="60" width="9.5" style="5" customWidth="1" outlineLevel="1"/>
    <col min="61" max="61" width="9.5" style="5" customWidth="1"/>
    <col min="62" max="65" width="9.5" style="5" hidden="1" customWidth="1" outlineLevel="1"/>
    <col min="66" max="66" width="9.5" style="5" customWidth="1" collapsed="1"/>
    <col min="67" max="70" width="9.5" style="5" hidden="1" customWidth="1" outlineLevel="1"/>
    <col min="71" max="71" width="9.5" style="5" customWidth="1" collapsed="1"/>
    <col min="72" max="74" width="9.5" style="5" customWidth="1"/>
    <col min="75" max="75" width="8.83203125" style="5" customWidth="1"/>
    <col min="76" max="16384" width="14.5" style="5"/>
  </cols>
  <sheetData>
    <row r="1" spans="1:75" ht="26" x14ac:dyDescent="0.3">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3"/>
      <c r="BJ1" s="2"/>
      <c r="BK1" s="2"/>
      <c r="BL1" s="2"/>
      <c r="BM1" s="2"/>
      <c r="BN1" s="2"/>
      <c r="BO1" s="2"/>
      <c r="BP1" s="2"/>
      <c r="BQ1" s="2"/>
      <c r="BR1" s="2"/>
      <c r="BS1" s="2"/>
      <c r="BT1" s="2"/>
      <c r="BU1" s="2"/>
      <c r="BV1" s="2"/>
      <c r="BW1" s="4"/>
    </row>
    <row r="2" spans="1:75" x14ac:dyDescent="0.2">
      <c r="A2" s="6" t="str">
        <f>CHOOSE(MO.DataSourceIndex,MO.Ticker.Bloomberg,MO.Ticker.CapIQ,MO.Ticker.FactSet,MO.Ticker.Thomson)</f>
        <v>CAKE US</v>
      </c>
      <c r="B2" s="7"/>
      <c r="C2" s="8">
        <f>EOMONTH(C4,-12)</f>
        <v>39813</v>
      </c>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10"/>
      <c r="BJ2" s="9"/>
      <c r="BK2" s="9"/>
      <c r="BL2" s="9"/>
      <c r="BM2" s="9"/>
      <c r="BN2" s="9"/>
      <c r="BO2" s="9"/>
      <c r="BP2" s="9"/>
      <c r="BQ2" s="9"/>
      <c r="BR2" s="9"/>
      <c r="BS2" s="9"/>
      <c r="BT2" s="9"/>
      <c r="BU2" s="9"/>
      <c r="BV2" s="9"/>
      <c r="BW2" s="11"/>
    </row>
    <row r="3" spans="1:75" x14ac:dyDescent="0.2">
      <c r="A3" s="12" t="str">
        <f ca="1">HP.TradeCurrency</f>
        <v>USD</v>
      </c>
      <c r="B3" s="13">
        <f ca="1">IF(MO.RealTime="OFF",MO.LastPriceHardcoded,MO.LastPriceFormula)</f>
        <v>35.479999999999997</v>
      </c>
      <c r="C3" s="14">
        <v>364</v>
      </c>
      <c r="D3" s="15">
        <f t="shared" ref="D3:J3" si="0">D4-C4</f>
        <v>364</v>
      </c>
      <c r="E3" s="15">
        <f t="shared" si="0"/>
        <v>371</v>
      </c>
      <c r="F3" s="15">
        <f t="shared" si="0"/>
        <v>364</v>
      </c>
      <c r="G3" s="16">
        <f t="shared" si="0"/>
        <v>91</v>
      </c>
      <c r="H3" s="16">
        <f t="shared" si="0"/>
        <v>91</v>
      </c>
      <c r="I3" s="16">
        <f t="shared" si="0"/>
        <v>91</v>
      </c>
      <c r="J3" s="16">
        <f t="shared" si="0"/>
        <v>91</v>
      </c>
      <c r="K3" s="15">
        <f>K4-F4</f>
        <v>364</v>
      </c>
      <c r="L3" s="16">
        <f>L4-K4</f>
        <v>91</v>
      </c>
      <c r="M3" s="16">
        <f t="shared" ref="M3:O3" si="1">M4-L4</f>
        <v>91</v>
      </c>
      <c r="N3" s="16">
        <f t="shared" si="1"/>
        <v>91</v>
      </c>
      <c r="O3" s="16">
        <f t="shared" si="1"/>
        <v>91</v>
      </c>
      <c r="P3" s="15">
        <f>P4-K4</f>
        <v>364</v>
      </c>
      <c r="Q3" s="16">
        <f t="shared" ref="Q3:T3" si="2">Q4-P4</f>
        <v>91</v>
      </c>
      <c r="R3" s="16">
        <f t="shared" si="2"/>
        <v>91</v>
      </c>
      <c r="S3" s="16">
        <f t="shared" si="2"/>
        <v>91</v>
      </c>
      <c r="T3" s="16">
        <f t="shared" si="2"/>
        <v>91</v>
      </c>
      <c r="U3" s="15">
        <f>U4-P4</f>
        <v>364</v>
      </c>
      <c r="V3" s="16">
        <f t="shared" ref="V3:Y3" si="3">V4-U4</f>
        <v>91</v>
      </c>
      <c r="W3" s="16">
        <f t="shared" si="3"/>
        <v>91</v>
      </c>
      <c r="X3" s="16">
        <f t="shared" si="3"/>
        <v>91</v>
      </c>
      <c r="Y3" s="16">
        <f t="shared" si="3"/>
        <v>98</v>
      </c>
      <c r="Z3" s="17">
        <f>Z4-U4</f>
        <v>371</v>
      </c>
      <c r="AA3" s="16">
        <f t="shared" ref="AA3:AD3" si="4">AA4-Z4</f>
        <v>91</v>
      </c>
      <c r="AB3" s="16">
        <f t="shared" si="4"/>
        <v>91</v>
      </c>
      <c r="AC3" s="16">
        <f t="shared" si="4"/>
        <v>91</v>
      </c>
      <c r="AD3" s="16">
        <f t="shared" si="4"/>
        <v>91</v>
      </c>
      <c r="AE3" s="17">
        <f>AE4-Z4</f>
        <v>364</v>
      </c>
      <c r="AF3" s="16">
        <f t="shared" ref="AF3:AI3" si="5">AF4-AE4</f>
        <v>91</v>
      </c>
      <c r="AG3" s="16">
        <f t="shared" si="5"/>
        <v>91</v>
      </c>
      <c r="AH3" s="16">
        <f t="shared" si="5"/>
        <v>91</v>
      </c>
      <c r="AI3" s="16">
        <f t="shared" si="5"/>
        <v>91</v>
      </c>
      <c r="AJ3" s="17">
        <f>AJ4-AE4</f>
        <v>364</v>
      </c>
      <c r="AK3" s="16">
        <f t="shared" ref="AK3:AN3" si="6">AK4-AJ4</f>
        <v>91</v>
      </c>
      <c r="AL3" s="16">
        <f t="shared" si="6"/>
        <v>91</v>
      </c>
      <c r="AM3" s="16">
        <f t="shared" si="6"/>
        <v>91</v>
      </c>
      <c r="AN3" s="16">
        <f t="shared" si="6"/>
        <v>91</v>
      </c>
      <c r="AO3" s="17">
        <f>AO4-AJ4</f>
        <v>364</v>
      </c>
      <c r="AP3" s="16">
        <f t="shared" ref="AP3:AS3" si="7">AP4-AO4</f>
        <v>91</v>
      </c>
      <c r="AQ3" s="16">
        <f t="shared" si="7"/>
        <v>91</v>
      </c>
      <c r="AR3" s="16">
        <f t="shared" si="7"/>
        <v>91</v>
      </c>
      <c r="AS3" s="16">
        <f t="shared" si="7"/>
        <v>91</v>
      </c>
      <c r="AT3" s="17">
        <f>AT4-AO4</f>
        <v>364</v>
      </c>
      <c r="AU3" s="16">
        <f t="shared" ref="AU3:AX3" si="8">AU4-AT4</f>
        <v>91</v>
      </c>
      <c r="AV3" s="16">
        <f t="shared" si="8"/>
        <v>91</v>
      </c>
      <c r="AW3" s="16">
        <f t="shared" si="8"/>
        <v>91</v>
      </c>
      <c r="AX3" s="16">
        <f t="shared" si="8"/>
        <v>91</v>
      </c>
      <c r="AY3" s="17">
        <f>AY4-AT4</f>
        <v>364</v>
      </c>
      <c r="AZ3" s="16">
        <f t="shared" ref="AZ3:BC3" si="9">AZ4-AY4</f>
        <v>91</v>
      </c>
      <c r="BA3" s="16">
        <f t="shared" si="9"/>
        <v>91</v>
      </c>
      <c r="BB3" s="16">
        <f t="shared" si="9"/>
        <v>91</v>
      </c>
      <c r="BC3" s="16">
        <f t="shared" si="9"/>
        <v>98</v>
      </c>
      <c r="BD3" s="17">
        <f>BD4-AY4</f>
        <v>371</v>
      </c>
      <c r="BE3" s="16">
        <f t="shared" ref="BE3:BH3" si="10">BE4-BD4</f>
        <v>90</v>
      </c>
      <c r="BF3" s="16">
        <f t="shared" si="10"/>
        <v>92</v>
      </c>
      <c r="BG3" s="16">
        <f t="shared" si="10"/>
        <v>91</v>
      </c>
      <c r="BH3" s="16">
        <f t="shared" si="10"/>
        <v>91</v>
      </c>
      <c r="BI3" s="18">
        <f>BI4-BD4</f>
        <v>364</v>
      </c>
      <c r="BJ3" s="19">
        <v>91</v>
      </c>
      <c r="BK3" s="19">
        <v>91</v>
      </c>
      <c r="BL3" s="19">
        <v>91</v>
      </c>
      <c r="BM3" s="19">
        <v>91</v>
      </c>
      <c r="BN3" s="17">
        <f>BN4-BI4</f>
        <v>364</v>
      </c>
      <c r="BO3" s="19">
        <v>91</v>
      </c>
      <c r="BP3" s="19">
        <v>91</v>
      </c>
      <c r="BQ3" s="19">
        <v>91</v>
      </c>
      <c r="BR3" s="19">
        <v>91</v>
      </c>
      <c r="BS3" s="17">
        <f>BS4-BN4</f>
        <v>364</v>
      </c>
      <c r="BT3" s="14">
        <v>364</v>
      </c>
      <c r="BU3" s="14">
        <v>364</v>
      </c>
      <c r="BV3" s="14">
        <v>371</v>
      </c>
      <c r="BW3" s="20"/>
    </row>
    <row r="4" spans="1:75" x14ac:dyDescent="0.2">
      <c r="A4" s="21" t="s">
        <v>935</v>
      </c>
      <c r="B4" s="22" t="str">
        <f ca="1">IF(AND(MO.RealTimeStockPriceToggle,MO.LastPriceFormula&lt;&gt;"N/A"),"ON","OFF")</f>
        <v>OFF</v>
      </c>
      <c r="C4" s="23">
        <v>40176</v>
      </c>
      <c r="D4" s="23">
        <v>40540</v>
      </c>
      <c r="E4" s="23">
        <v>40911</v>
      </c>
      <c r="F4" s="23">
        <v>41275</v>
      </c>
      <c r="G4" s="24">
        <v>41366</v>
      </c>
      <c r="H4" s="24">
        <v>41457</v>
      </c>
      <c r="I4" s="24">
        <v>41548</v>
      </c>
      <c r="J4" s="25">
        <f>K4</f>
        <v>41639</v>
      </c>
      <c r="K4" s="23">
        <v>41639</v>
      </c>
      <c r="L4" s="24">
        <v>41730</v>
      </c>
      <c r="M4" s="24">
        <v>41821</v>
      </c>
      <c r="N4" s="24">
        <v>41912</v>
      </c>
      <c r="O4" s="25">
        <f>P4</f>
        <v>42003</v>
      </c>
      <c r="P4" s="23">
        <v>42003</v>
      </c>
      <c r="Q4" s="24">
        <v>42094</v>
      </c>
      <c r="R4" s="24">
        <v>42185</v>
      </c>
      <c r="S4" s="24">
        <v>42276</v>
      </c>
      <c r="T4" s="25">
        <f>U4</f>
        <v>42367</v>
      </c>
      <c r="U4" s="23">
        <v>42367</v>
      </c>
      <c r="V4" s="24">
        <v>42458</v>
      </c>
      <c r="W4" s="24">
        <v>42549</v>
      </c>
      <c r="X4" s="24">
        <v>42640</v>
      </c>
      <c r="Y4" s="26">
        <f>Z4</f>
        <v>42738</v>
      </c>
      <c r="Z4" s="23">
        <v>42738</v>
      </c>
      <c r="AA4" s="24">
        <v>42829</v>
      </c>
      <c r="AB4" s="24">
        <v>42920</v>
      </c>
      <c r="AC4" s="24">
        <v>43011</v>
      </c>
      <c r="AD4" s="26">
        <f>AE4</f>
        <v>43102</v>
      </c>
      <c r="AE4" s="23">
        <v>43102</v>
      </c>
      <c r="AF4" s="24">
        <v>43193</v>
      </c>
      <c r="AG4" s="24">
        <v>43284</v>
      </c>
      <c r="AH4" s="24">
        <v>43375</v>
      </c>
      <c r="AI4" s="26">
        <f>AJ4</f>
        <v>43466</v>
      </c>
      <c r="AJ4" s="23">
        <v>43466</v>
      </c>
      <c r="AK4" s="24">
        <v>43557</v>
      </c>
      <c r="AL4" s="24">
        <v>43648</v>
      </c>
      <c r="AM4" s="24">
        <v>43739</v>
      </c>
      <c r="AN4" s="26">
        <f>AO4</f>
        <v>43830</v>
      </c>
      <c r="AO4" s="23">
        <v>43830</v>
      </c>
      <c r="AP4" s="24">
        <v>43921</v>
      </c>
      <c r="AQ4" s="24">
        <v>44012</v>
      </c>
      <c r="AR4" s="24">
        <v>44103</v>
      </c>
      <c r="AS4" s="26">
        <f>AT4</f>
        <v>44194</v>
      </c>
      <c r="AT4" s="23">
        <v>44194</v>
      </c>
      <c r="AU4" s="24">
        <v>44285</v>
      </c>
      <c r="AV4" s="24">
        <v>44376</v>
      </c>
      <c r="AW4" s="24">
        <v>44467</v>
      </c>
      <c r="AX4" s="26">
        <f>AY4</f>
        <v>44558</v>
      </c>
      <c r="AY4" s="23">
        <v>44558</v>
      </c>
      <c r="AZ4" s="24">
        <v>44649</v>
      </c>
      <c r="BA4" s="24">
        <v>44740</v>
      </c>
      <c r="BB4" s="24">
        <v>44831</v>
      </c>
      <c r="BC4" s="26">
        <f>BD4</f>
        <v>44929</v>
      </c>
      <c r="BD4" s="23">
        <v>44929</v>
      </c>
      <c r="BE4" s="24">
        <v>45019</v>
      </c>
      <c r="BF4" s="24">
        <v>45111</v>
      </c>
      <c r="BG4" s="24">
        <v>45202</v>
      </c>
      <c r="BH4" s="26">
        <f>BI4</f>
        <v>45293</v>
      </c>
      <c r="BI4" s="27">
        <v>45293</v>
      </c>
      <c r="BJ4" s="25">
        <f t="shared" ref="BJ4:BM4" si="11">BI4+BJ3</f>
        <v>45384</v>
      </c>
      <c r="BK4" s="25">
        <f t="shared" si="11"/>
        <v>45475</v>
      </c>
      <c r="BL4" s="25">
        <f t="shared" si="11"/>
        <v>45566</v>
      </c>
      <c r="BM4" s="25">
        <f t="shared" si="11"/>
        <v>45657</v>
      </c>
      <c r="BN4" s="28">
        <f>BM4</f>
        <v>45657</v>
      </c>
      <c r="BO4" s="25">
        <f t="shared" ref="BO4:BR4" si="12">BN4+BO3</f>
        <v>45748</v>
      </c>
      <c r="BP4" s="25">
        <f t="shared" si="12"/>
        <v>45839</v>
      </c>
      <c r="BQ4" s="25">
        <f t="shared" si="12"/>
        <v>45930</v>
      </c>
      <c r="BR4" s="25">
        <f t="shared" si="12"/>
        <v>46021</v>
      </c>
      <c r="BS4" s="28">
        <f>BR4</f>
        <v>46021</v>
      </c>
      <c r="BT4" s="28">
        <f t="shared" ref="BT4:BV4" si="13">BS4+BT3</f>
        <v>46385</v>
      </c>
      <c r="BU4" s="28">
        <f t="shared" si="13"/>
        <v>46749</v>
      </c>
      <c r="BV4" s="28">
        <f t="shared" si="13"/>
        <v>47120</v>
      </c>
      <c r="BW4" s="29"/>
    </row>
    <row r="5" spans="1:75" x14ac:dyDescent="0.2">
      <c r="A5" s="30" t="str">
        <f>MO.ReportCurrency</f>
        <v>USD</v>
      </c>
      <c r="B5" s="31"/>
      <c r="C5" s="32" t="s">
        <v>481</v>
      </c>
      <c r="D5" s="33" t="str">
        <f t="shared" ref="D5:F5" si="14">CONCATENATE("FY",RIGHT(C5,4)+1)</f>
        <v>FY2010</v>
      </c>
      <c r="E5" s="33" t="str">
        <f t="shared" si="14"/>
        <v>FY2011</v>
      </c>
      <c r="F5" s="33" t="str">
        <f t="shared" si="14"/>
        <v>FY2012</v>
      </c>
      <c r="G5" s="31" t="str">
        <f>CONCATENATE("Q1","-",RIGHT(F5,4)+1)</f>
        <v>Q1-2013</v>
      </c>
      <c r="H5" s="31" t="str">
        <f>CONCATENATE("Q2","-",RIGHT(G5,4))</f>
        <v>Q2-2013</v>
      </c>
      <c r="I5" s="31" t="str">
        <f>CONCATENATE("Q3","-",RIGHT(H5,4))</f>
        <v>Q3-2013</v>
      </c>
      <c r="J5" s="31" t="str">
        <f>CONCATENATE("Q4","-",RIGHT(I5,4))</f>
        <v>Q4-2013</v>
      </c>
      <c r="K5" s="33" t="str">
        <f>CONCATENATE("FY",RIGHT(F5,4)+1)</f>
        <v>FY2013</v>
      </c>
      <c r="L5" s="31" t="str">
        <f>CONCATENATE("Q1","-",RIGHT(K5,4)+1)</f>
        <v>Q1-2014</v>
      </c>
      <c r="M5" s="31" t="str">
        <f>CONCATENATE("Q2","-",RIGHT(L5,4))</f>
        <v>Q2-2014</v>
      </c>
      <c r="N5" s="31" t="str">
        <f>CONCATENATE("Q3","-",RIGHT(M5,4))</f>
        <v>Q3-2014</v>
      </c>
      <c r="O5" s="31" t="str">
        <f>CONCATENATE("Q4","-",RIGHT(N5,4))</f>
        <v>Q4-2014</v>
      </c>
      <c r="P5" s="33" t="str">
        <f>CONCATENATE("FY",RIGHT(K5,4)+1)</f>
        <v>FY2014</v>
      </c>
      <c r="Q5" s="31" t="str">
        <f>CONCATENATE("Q1","-",RIGHT(P5,4)+1)</f>
        <v>Q1-2015</v>
      </c>
      <c r="R5" s="31" t="str">
        <f>CONCATENATE("Q2","-",RIGHT(Q5,4))</f>
        <v>Q2-2015</v>
      </c>
      <c r="S5" s="31" t="str">
        <f>CONCATENATE("Q3","-",RIGHT(R5,4))</f>
        <v>Q3-2015</v>
      </c>
      <c r="T5" s="31" t="str">
        <f>CONCATENATE("Q4","-",RIGHT(S5,4))</f>
        <v>Q4-2015</v>
      </c>
      <c r="U5" s="33" t="str">
        <f>CONCATENATE("FY",RIGHT(P5,4)+1)</f>
        <v>FY2015</v>
      </c>
      <c r="V5" s="31" t="str">
        <f>CONCATENATE("Q1","-",RIGHT(U5,4)+1)</f>
        <v>Q1-2016</v>
      </c>
      <c r="W5" s="31" t="str">
        <f>CONCATENATE("Q2","-",RIGHT(V5,4))</f>
        <v>Q2-2016</v>
      </c>
      <c r="X5" s="31" t="str">
        <f>CONCATENATE("Q3","-",RIGHT(W5,4))</f>
        <v>Q3-2016</v>
      </c>
      <c r="Y5" s="31" t="str">
        <f>CONCATENATE("Q4","-",RIGHT(X5,4))</f>
        <v>Q4-2016</v>
      </c>
      <c r="Z5" s="33" t="str">
        <f>CONCATENATE("FY",RIGHT(U5,4)+1)</f>
        <v>FY2016</v>
      </c>
      <c r="AA5" s="22" t="str">
        <f>CONCATENATE("Q1","-",RIGHT(Z5,4)+1)</f>
        <v>Q1-2017</v>
      </c>
      <c r="AB5" s="31" t="str">
        <f>CONCATENATE("Q2","-",RIGHT(AA5,4))</f>
        <v>Q2-2017</v>
      </c>
      <c r="AC5" s="31" t="str">
        <f>CONCATENATE("Q3","-",RIGHT(AB5,4))</f>
        <v>Q3-2017</v>
      </c>
      <c r="AD5" s="31" t="str">
        <f>CONCATENATE("Q4","-",RIGHT(AC5,4))</f>
        <v>Q4-2017</v>
      </c>
      <c r="AE5" s="33" t="str">
        <f>CONCATENATE("FY",RIGHT(Z5,4)+1)</f>
        <v>FY2017</v>
      </c>
      <c r="AF5" s="22" t="str">
        <f>CONCATENATE("Q1","-",RIGHT(AE5,4)+1)</f>
        <v>Q1-2018</v>
      </c>
      <c r="AG5" s="31" t="str">
        <f>CONCATENATE("Q2","-",RIGHT(AF5,4))</f>
        <v>Q2-2018</v>
      </c>
      <c r="AH5" s="31" t="str">
        <f>CONCATENATE("Q3","-",RIGHT(AG5,4))</f>
        <v>Q3-2018</v>
      </c>
      <c r="AI5" s="31" t="str">
        <f>CONCATENATE("Q4","-",RIGHT(AH5,4))</f>
        <v>Q4-2018</v>
      </c>
      <c r="AJ5" s="33" t="str">
        <f>CONCATENATE("FY",RIGHT(AE5,4)+1)</f>
        <v>FY2018</v>
      </c>
      <c r="AK5" s="22" t="str">
        <f>CONCATENATE("Q1","-",RIGHT(AJ5,4)+1)</f>
        <v>Q1-2019</v>
      </c>
      <c r="AL5" s="31" t="str">
        <f>CONCATENATE("Q2","-",RIGHT(AK5,4))</f>
        <v>Q2-2019</v>
      </c>
      <c r="AM5" s="31" t="str">
        <f>CONCATENATE("Q3","-",RIGHT(AL5,4))</f>
        <v>Q3-2019</v>
      </c>
      <c r="AN5" s="31" t="str">
        <f>CONCATENATE("Q4","-",RIGHT(AM5,4))</f>
        <v>Q4-2019</v>
      </c>
      <c r="AO5" s="33" t="str">
        <f>CONCATENATE("FY",RIGHT(AJ5,4)+1)</f>
        <v>FY2019</v>
      </c>
      <c r="AP5" s="22" t="str">
        <f>CONCATENATE("Q1","-",RIGHT(AO5,4)+1)</f>
        <v>Q1-2020</v>
      </c>
      <c r="AQ5" s="31" t="str">
        <f>CONCATENATE("Q2","-",RIGHT(AP5,4))</f>
        <v>Q2-2020</v>
      </c>
      <c r="AR5" s="31" t="str">
        <f>CONCATENATE("Q3","-",RIGHT(AQ5,4))</f>
        <v>Q3-2020</v>
      </c>
      <c r="AS5" s="31" t="str">
        <f>CONCATENATE("Q4","-",RIGHT(AR5,4))</f>
        <v>Q4-2020</v>
      </c>
      <c r="AT5" s="33" t="str">
        <f>CONCATENATE("FY",RIGHT(AO5,4)+1)</f>
        <v>FY2020</v>
      </c>
      <c r="AU5" s="31" t="str">
        <f>CONCATENATE("Q1","-",RIGHT(AT5,4)+1)</f>
        <v>Q1-2021</v>
      </c>
      <c r="AV5" s="31" t="str">
        <f>CONCATENATE("Q2","-",RIGHT(AU5,4))</f>
        <v>Q2-2021</v>
      </c>
      <c r="AW5" s="31" t="str">
        <f>CONCATENATE("Q3","-",RIGHT(AV5,4))</f>
        <v>Q3-2021</v>
      </c>
      <c r="AX5" s="31" t="str">
        <f>CONCATENATE("Q4","-",RIGHT(AW5,4))</f>
        <v>Q4-2021</v>
      </c>
      <c r="AY5" s="33" t="str">
        <f>CONCATENATE("FY",RIGHT(AT5,4)+1)</f>
        <v>FY2021</v>
      </c>
      <c r="AZ5" s="31" t="str">
        <f>CONCATENATE("Q1","-",RIGHT(AY5,4)+1)</f>
        <v>Q1-2022</v>
      </c>
      <c r="BA5" s="31" t="str">
        <f>CONCATENATE("Q2","-",RIGHT(AZ5,4))</f>
        <v>Q2-2022</v>
      </c>
      <c r="BB5" s="31" t="str">
        <f>CONCATENATE("Q3","-",RIGHT(BA5,4))</f>
        <v>Q3-2022</v>
      </c>
      <c r="BC5" s="31" t="str">
        <f>CONCATENATE("Q4","-",RIGHT(BB5,4))</f>
        <v>Q4-2022</v>
      </c>
      <c r="BD5" s="33" t="str">
        <f>CONCATENATE("FY",RIGHT(AY5,4)+1)</f>
        <v>FY2022</v>
      </c>
      <c r="BE5" s="31" t="str">
        <f>CONCATENATE("Q1","-",RIGHT(BD5,4)+1)</f>
        <v>Q1-2023</v>
      </c>
      <c r="BF5" s="31" t="str">
        <f>CONCATENATE("Q2","-",RIGHT(BE5,4))</f>
        <v>Q2-2023</v>
      </c>
      <c r="BG5" s="31" t="str">
        <f>CONCATENATE("Q3","-",RIGHT(BF5,4))</f>
        <v>Q3-2023</v>
      </c>
      <c r="BH5" s="31" t="str">
        <f>CONCATENATE("Q4","-",RIGHT(BG5,4))</f>
        <v>Q4-2023</v>
      </c>
      <c r="BI5" s="34" t="str">
        <f>CONCATENATE("FY",RIGHT(BD5,4)+1)</f>
        <v>FY2023</v>
      </c>
      <c r="BJ5" s="31" t="str">
        <f>CONCATENATE("Q1","-",RIGHT(BI5,4)+1)</f>
        <v>Q1-2024</v>
      </c>
      <c r="BK5" s="31" t="str">
        <f>CONCATENATE("Q2","-",RIGHT(BJ5,4))</f>
        <v>Q2-2024</v>
      </c>
      <c r="BL5" s="31" t="str">
        <f>CONCATENATE("Q3","-",RIGHT(BK5,4))</f>
        <v>Q3-2024</v>
      </c>
      <c r="BM5" s="31" t="str">
        <f>CONCATENATE("Q4","-",RIGHT(BL5,4))</f>
        <v>Q4-2024</v>
      </c>
      <c r="BN5" s="33" t="str">
        <f>CONCATENATE("FY",RIGHT(BI5,4)+1)</f>
        <v>FY2024</v>
      </c>
      <c r="BO5" s="31" t="str">
        <f>CONCATENATE("Q1","-",RIGHT(BN5,4)+1)</f>
        <v>Q1-2025</v>
      </c>
      <c r="BP5" s="31" t="str">
        <f>CONCATENATE("Q2","-",RIGHT(BO5,4))</f>
        <v>Q2-2025</v>
      </c>
      <c r="BQ5" s="31" t="str">
        <f>CONCATENATE("Q3","-",RIGHT(BP5,4))</f>
        <v>Q3-2025</v>
      </c>
      <c r="BR5" s="31" t="str">
        <f>CONCATENATE("Q4","-",RIGHT(BQ5,4))</f>
        <v>Q4-2025</v>
      </c>
      <c r="BS5" s="33" t="str">
        <f>CONCATENATE("FY",RIGHT(BN5,4)+1)</f>
        <v>FY2025</v>
      </c>
      <c r="BT5" s="33" t="str">
        <f t="shared" ref="BT5:BV5" si="15">CONCATENATE("FY",RIGHT(BS5,4)+1)</f>
        <v>FY2026</v>
      </c>
      <c r="BU5" s="33" t="str">
        <f t="shared" si="15"/>
        <v>FY2027</v>
      </c>
      <c r="BV5" s="33" t="str">
        <f t="shared" si="15"/>
        <v>FY2028</v>
      </c>
      <c r="BW5" s="11"/>
    </row>
    <row r="6" spans="1:75" x14ac:dyDescent="0.2">
      <c r="A6" s="35" t="s">
        <v>482</v>
      </c>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6"/>
      <c r="BJ6" s="35"/>
      <c r="BK6" s="35"/>
      <c r="BL6" s="35"/>
      <c r="BM6" s="35"/>
      <c r="BN6" s="35"/>
      <c r="BO6" s="35"/>
      <c r="BP6" s="35"/>
      <c r="BQ6" s="35"/>
      <c r="BR6" s="35"/>
      <c r="BS6" s="35"/>
      <c r="BT6" s="35"/>
      <c r="BU6" s="35"/>
      <c r="BV6" s="35"/>
      <c r="BW6" s="37"/>
    </row>
    <row r="7" spans="1:75" x14ac:dyDescent="0.2">
      <c r="A7" s="38" t="s">
        <v>483</v>
      </c>
      <c r="B7" s="39"/>
      <c r="C7" s="40"/>
      <c r="D7" s="40"/>
      <c r="E7" s="40"/>
      <c r="F7" s="40"/>
      <c r="G7" s="41"/>
      <c r="H7" s="41"/>
      <c r="I7" s="41"/>
      <c r="J7" s="41"/>
      <c r="K7" s="40"/>
      <c r="L7" s="42">
        <f t="shared" ref="L7:T7" si="16">L26/G26-1</f>
        <v>5.8307942533165624E-2</v>
      </c>
      <c r="M7" s="42">
        <f t="shared" si="16"/>
        <v>6.2632254116206987E-2</v>
      </c>
      <c r="N7" s="42">
        <f t="shared" si="16"/>
        <v>6.8661723329977109E-2</v>
      </c>
      <c r="O7" s="42">
        <f t="shared" si="16"/>
        <v>5.8532837041423535E-2</v>
      </c>
      <c r="P7" s="43">
        <f t="shared" si="16"/>
        <v>6.2060287813767046E-2</v>
      </c>
      <c r="Q7" s="42">
        <f t="shared" si="16"/>
        <v>8.2937476809755273E-2</v>
      </c>
      <c r="R7" s="42">
        <f t="shared" si="16"/>
        <v>7.0507737222397004E-2</v>
      </c>
      <c r="S7" s="42">
        <f t="shared" si="16"/>
        <v>5.9006628202108447E-2</v>
      </c>
      <c r="T7" s="42">
        <f t="shared" si="16"/>
        <v>5.7973427458293036E-2</v>
      </c>
      <c r="U7" s="43">
        <f t="shared" ref="U7:BS9" si="17">U26/P26-1</f>
        <v>6.7471145629508289E-2</v>
      </c>
      <c r="V7" s="42">
        <f t="shared" si="17"/>
        <v>7.0849821389670664E-2</v>
      </c>
      <c r="W7" s="42">
        <f t="shared" si="17"/>
        <v>5.9246614316603941E-2</v>
      </c>
      <c r="X7" s="42">
        <f t="shared" si="17"/>
        <v>6.4364050586601662E-2</v>
      </c>
      <c r="Y7" s="42">
        <f t="shared" si="17"/>
        <v>0.14945864283016497</v>
      </c>
      <c r="Z7" s="43">
        <f t="shared" si="17"/>
        <v>8.5865088480361784E-2</v>
      </c>
      <c r="AA7" s="42">
        <f t="shared" si="17"/>
        <v>1.7613506189810391E-2</v>
      </c>
      <c r="AB7" s="42">
        <f t="shared" si="17"/>
        <v>1.6233068577389265E-2</v>
      </c>
      <c r="AC7" s="42">
        <f t="shared" si="17"/>
        <v>-8.7258807905631341E-3</v>
      </c>
      <c r="AD7" s="42">
        <f t="shared" si="17"/>
        <v>-6.028926140315316E-2</v>
      </c>
      <c r="AE7" s="43">
        <f t="shared" si="17"/>
        <v>-9.7527384613609325E-3</v>
      </c>
      <c r="AF7" s="42">
        <f t="shared" si="17"/>
        <v>4.956776920777739E-2</v>
      </c>
      <c r="AG7" s="42">
        <f t="shared" si="17"/>
        <v>4.2046948645593885E-2</v>
      </c>
      <c r="AH7" s="42">
        <f t="shared" si="17"/>
        <v>4.4600568983316657E-2</v>
      </c>
      <c r="AI7" s="42">
        <f t="shared" si="17"/>
        <v>3.1088888111860724E-2</v>
      </c>
      <c r="AJ7" s="43">
        <f t="shared" si="17"/>
        <v>3.3788735241635059E-2</v>
      </c>
      <c r="AK7" s="42">
        <f t="shared" si="17"/>
        <v>1.4534749331050145E-2</v>
      </c>
      <c r="AL7" s="42">
        <f t="shared" si="17"/>
        <v>1.7371269613467577E-2</v>
      </c>
      <c r="AM7" s="42">
        <f t="shared" si="17"/>
        <v>1.111069198996617E-2</v>
      </c>
      <c r="AN7" s="42">
        <f t="shared" si="17"/>
        <v>2.6080190509923051E-2</v>
      </c>
      <c r="AO7" s="43">
        <f t="shared" si="17"/>
        <v>2.5165147011747324E-2</v>
      </c>
      <c r="AP7" s="42">
        <f t="shared" si="17"/>
        <v>-0.10965800453126229</v>
      </c>
      <c r="AQ7" s="42">
        <f t="shared" si="17"/>
        <v>-0.56290173140000621</v>
      </c>
      <c r="AR7" s="42">
        <f t="shared" si="17"/>
        <v>-0.22219134081078007</v>
      </c>
      <c r="AS7" s="42">
        <f t="shared" si="17"/>
        <v>-0.19489230283367176</v>
      </c>
      <c r="AT7" s="43">
        <f t="shared" si="17"/>
        <v>-0.27322615345534518</v>
      </c>
      <c r="AU7" s="42">
        <f t="shared" si="17"/>
        <v>2.2351378075668782E-2</v>
      </c>
      <c r="AV7" s="42">
        <f t="shared" si="17"/>
        <v>1.5166799409295302</v>
      </c>
      <c r="AW7" s="42">
        <f t="shared" si="17"/>
        <v>0.42104972852675404</v>
      </c>
      <c r="AX7" s="42">
        <f t="shared" si="17"/>
        <v>0.35600989771599933</v>
      </c>
      <c r="AY7" s="43">
        <f t="shared" si="17"/>
        <v>0.44682235042346785</v>
      </c>
      <c r="AZ7" s="42">
        <f t="shared" si="17"/>
        <v>0.2211242137892504</v>
      </c>
      <c r="BA7" s="42">
        <f t="shared" si="17"/>
        <v>5.6316971901676283E-2</v>
      </c>
      <c r="BB7" s="42">
        <f t="shared" si="17"/>
        <v>1.7461670224705017E-2</v>
      </c>
      <c r="BC7" s="42">
        <f t="shared" si="17"/>
        <v>0.13433962898804208</v>
      </c>
      <c r="BD7" s="43">
        <f t="shared" si="17"/>
        <v>0.10239640680700779</v>
      </c>
      <c r="BE7" s="42">
        <f t="shared" si="17"/>
        <v>7.5734319860416788E-2</v>
      </c>
      <c r="BF7" s="42">
        <f t="shared" si="17"/>
        <v>1.8136623089670456E-2</v>
      </c>
      <c r="BG7" s="42">
        <f t="shared" si="17"/>
        <v>4.1860866276774544E-2</v>
      </c>
      <c r="BH7" s="42">
        <f t="shared" si="17"/>
        <v>-2.3755053990781483E-2</v>
      </c>
      <c r="BI7" s="44">
        <f t="shared" si="17"/>
        <v>2.6511811705734356E-2</v>
      </c>
      <c r="BJ7" s="41">
        <f t="shared" si="17"/>
        <v>2.4864998173182329E-2</v>
      </c>
      <c r="BK7" s="41">
        <f t="shared" si="17"/>
        <v>4.6245518054272683E-2</v>
      </c>
      <c r="BL7" s="41">
        <f t="shared" si="17"/>
        <v>3.8011226415094024E-2</v>
      </c>
      <c r="BM7" s="41">
        <f t="shared" si="17"/>
        <v>3.0311262304302256E-2</v>
      </c>
      <c r="BN7" s="40">
        <f t="shared" si="17"/>
        <v>3.480467607972626E-2</v>
      </c>
      <c r="BO7" s="41">
        <f t="shared" si="17"/>
        <v>8.456250817028943E-3</v>
      </c>
      <c r="BP7" s="41">
        <f t="shared" si="17"/>
        <v>8.7760024118181956E-3</v>
      </c>
      <c r="BQ7" s="41">
        <f t="shared" si="17"/>
        <v>1.1306360730056753E-2</v>
      </c>
      <c r="BR7" s="41">
        <f t="shared" si="17"/>
        <v>1.3579145761991818E-2</v>
      </c>
      <c r="BS7" s="40">
        <f t="shared" si="17"/>
        <v>1.0523732509390094E-2</v>
      </c>
      <c r="BT7" s="40">
        <f t="shared" ref="BT7:BV9" si="18">BT26/BS26-1</f>
        <v>6.1724271720578594E-2</v>
      </c>
      <c r="BU7" s="40">
        <f t="shared" si="18"/>
        <v>6.297913014964629E-2</v>
      </c>
      <c r="BV7" s="40">
        <f t="shared" si="18"/>
        <v>8.3068861160461527E-2</v>
      </c>
      <c r="BW7" s="45"/>
    </row>
    <row r="8" spans="1:75" x14ac:dyDescent="0.2">
      <c r="A8" s="38" t="s">
        <v>484</v>
      </c>
      <c r="B8" s="39"/>
      <c r="C8" s="40"/>
      <c r="D8" s="40"/>
      <c r="E8" s="40"/>
      <c r="F8" s="40"/>
      <c r="G8" s="41"/>
      <c r="H8" s="41"/>
      <c r="I8" s="41"/>
      <c r="J8" s="41"/>
      <c r="K8" s="40"/>
      <c r="L8" s="41"/>
      <c r="M8" s="41"/>
      <c r="N8" s="41"/>
      <c r="O8" s="41"/>
      <c r="P8" s="40"/>
      <c r="Q8" s="41"/>
      <c r="R8" s="41"/>
      <c r="S8" s="41"/>
      <c r="T8" s="41"/>
      <c r="U8" s="40"/>
      <c r="V8" s="41"/>
      <c r="W8" s="41"/>
      <c r="X8" s="41"/>
      <c r="Y8" s="41"/>
      <c r="Z8" s="40"/>
      <c r="AA8" s="41"/>
      <c r="AB8" s="41"/>
      <c r="AC8" s="41"/>
      <c r="AD8" s="41"/>
      <c r="AE8" s="40"/>
      <c r="AF8" s="41"/>
      <c r="AG8" s="41"/>
      <c r="AH8" s="41"/>
      <c r="AI8" s="41"/>
      <c r="AJ8" s="40"/>
      <c r="AK8" s="41"/>
      <c r="AL8" s="41"/>
      <c r="AM8" s="41"/>
      <c r="AN8" s="41"/>
      <c r="AO8" s="40"/>
      <c r="AP8" s="41"/>
      <c r="AQ8" s="41"/>
      <c r="AR8" s="41"/>
      <c r="AS8" s="42">
        <f t="shared" si="17"/>
        <v>-0.14018373596461386</v>
      </c>
      <c r="AT8" s="40"/>
      <c r="AU8" s="42">
        <f t="shared" si="17"/>
        <v>7.5740692186680558E-2</v>
      </c>
      <c r="AV8" s="41">
        <f t="shared" si="17"/>
        <v>2.1663638345810017</v>
      </c>
      <c r="AW8" s="41">
        <f t="shared" si="17"/>
        <v>0.5847445516255807</v>
      </c>
      <c r="AX8" s="42">
        <f t="shared" si="17"/>
        <v>0.68694763223849109</v>
      </c>
      <c r="AY8" s="40">
        <f t="shared" si="17"/>
        <v>0.67569332748452515</v>
      </c>
      <c r="AZ8" s="42">
        <f t="shared" si="17"/>
        <v>0.60731803917984339</v>
      </c>
      <c r="BA8" s="41">
        <f t="shared" si="17"/>
        <v>0.29086902630491651</v>
      </c>
      <c r="BB8" s="41">
        <f t="shared" si="17"/>
        <v>0.21994273733570791</v>
      </c>
      <c r="BC8" s="42">
        <f t="shared" si="17"/>
        <v>0.280695924152087</v>
      </c>
      <c r="BD8" s="40">
        <f t="shared" si="17"/>
        <v>0.32996317647948525</v>
      </c>
      <c r="BE8" s="42">
        <f t="shared" si="17"/>
        <v>0.19989764391455167</v>
      </c>
      <c r="BF8" s="41">
        <f t="shared" si="17"/>
        <v>0.17241011415768703</v>
      </c>
      <c r="BG8" s="41">
        <f t="shared" si="17"/>
        <v>0.15345665551715859</v>
      </c>
      <c r="BH8" s="42">
        <f t="shared" si="17"/>
        <v>2.6101291327044196E-2</v>
      </c>
      <c r="BI8" s="46">
        <f t="shared" si="17"/>
        <v>0.13234071961578486</v>
      </c>
      <c r="BJ8" s="41">
        <f t="shared" si="17"/>
        <v>0.10178787878787854</v>
      </c>
      <c r="BK8" s="41">
        <f t="shared" si="17"/>
        <v>0.15328787878787842</v>
      </c>
      <c r="BL8" s="41">
        <f t="shared" si="17"/>
        <v>0.19854545454545436</v>
      </c>
      <c r="BM8" s="41">
        <f t="shared" si="17"/>
        <v>0.21782352941176475</v>
      </c>
      <c r="BN8" s="40">
        <f t="shared" si="17"/>
        <v>0.168364796036933</v>
      </c>
      <c r="BO8" s="41">
        <f t="shared" si="17"/>
        <v>0.17250684931506854</v>
      </c>
      <c r="BP8" s="41">
        <f t="shared" si="17"/>
        <v>0.18244000000000016</v>
      </c>
      <c r="BQ8" s="41">
        <f t="shared" si="17"/>
        <v>0.18978205128205117</v>
      </c>
      <c r="BR8" s="41">
        <f t="shared" si="17"/>
        <v>0.17947560975609766</v>
      </c>
      <c r="BS8" s="40">
        <f t="shared" si="17"/>
        <v>0.18116304806486272</v>
      </c>
      <c r="BT8" s="40">
        <f t="shared" si="18"/>
        <v>0.15297229916897503</v>
      </c>
      <c r="BU8" s="40">
        <f t="shared" si="18"/>
        <v>0.11424999999999996</v>
      </c>
      <c r="BV8" s="40">
        <f t="shared" si="18"/>
        <v>0.12877552756977528</v>
      </c>
      <c r="BW8" s="45"/>
    </row>
    <row r="9" spans="1:75" x14ac:dyDescent="0.2">
      <c r="A9" s="38" t="s">
        <v>485</v>
      </c>
      <c r="B9" s="39"/>
      <c r="C9" s="40"/>
      <c r="D9" s="40"/>
      <c r="E9" s="40"/>
      <c r="F9" s="40"/>
      <c r="G9" s="41"/>
      <c r="H9" s="41"/>
      <c r="I9" s="41"/>
      <c r="J9" s="41"/>
      <c r="K9" s="40"/>
      <c r="L9" s="41"/>
      <c r="M9" s="41"/>
      <c r="N9" s="41"/>
      <c r="O9" s="41"/>
      <c r="P9" s="40"/>
      <c r="Q9" s="41"/>
      <c r="R9" s="41"/>
      <c r="S9" s="41"/>
      <c r="T9" s="41"/>
      <c r="U9" s="40"/>
      <c r="V9" s="41"/>
      <c r="W9" s="41"/>
      <c r="X9" s="41"/>
      <c r="Y9" s="41"/>
      <c r="Z9" s="40"/>
      <c r="AA9" s="41"/>
      <c r="AB9" s="41"/>
      <c r="AC9" s="41"/>
      <c r="AD9" s="41"/>
      <c r="AE9" s="40"/>
      <c r="AF9" s="41"/>
      <c r="AG9" s="41"/>
      <c r="AH9" s="41"/>
      <c r="AI9" s="41"/>
      <c r="AJ9" s="40"/>
      <c r="AK9" s="41"/>
      <c r="AL9" s="41"/>
      <c r="AM9" s="41"/>
      <c r="AN9" s="41"/>
      <c r="AO9" s="40"/>
      <c r="AP9" s="41"/>
      <c r="AQ9" s="41"/>
      <c r="AR9" s="41"/>
      <c r="AS9" s="42">
        <f t="shared" si="17"/>
        <v>-0.2680310156349307</v>
      </c>
      <c r="AT9" s="40"/>
      <c r="AU9" s="42">
        <f t="shared" si="17"/>
        <v>1.7171121040946646E-2</v>
      </c>
      <c r="AV9" s="41">
        <f t="shared" si="17"/>
        <v>2.8874508519003932</v>
      </c>
      <c r="AW9" s="41">
        <f t="shared" si="17"/>
        <v>1.1864548907413801</v>
      </c>
      <c r="AX9" s="42">
        <f t="shared" si="17"/>
        <v>0.8823631564323422</v>
      </c>
      <c r="AY9" s="40">
        <f t="shared" si="17"/>
        <v>0.88088502519203793</v>
      </c>
      <c r="AZ9" s="42">
        <f t="shared" si="17"/>
        <v>0.62546278388683207</v>
      </c>
      <c r="BA9" s="41">
        <f t="shared" si="17"/>
        <v>0.26469720595052482</v>
      </c>
      <c r="BB9" s="41">
        <f t="shared" si="17"/>
        <v>0.17748048549384099</v>
      </c>
      <c r="BC9" s="42">
        <f t="shared" si="17"/>
        <v>0.22713434322932957</v>
      </c>
      <c r="BD9" s="40">
        <f t="shared" si="17"/>
        <v>0.30397694524495655</v>
      </c>
      <c r="BE9" s="42">
        <f t="shared" si="17"/>
        <v>0.16671199347293997</v>
      </c>
      <c r="BF9" s="41">
        <f t="shared" si="17"/>
        <v>9.5101632789070134E-2</v>
      </c>
      <c r="BG9" s="41">
        <f t="shared" si="17"/>
        <v>0.12356063073592249</v>
      </c>
      <c r="BH9" s="42">
        <f t="shared" si="17"/>
        <v>6.6248665554002439E-2</v>
      </c>
      <c r="BI9" s="46">
        <f t="shared" si="17"/>
        <v>0.11101148380144132</v>
      </c>
      <c r="BJ9" s="41">
        <f t="shared" si="17"/>
        <v>0.19739130434782592</v>
      </c>
      <c r="BK9" s="41">
        <f t="shared" si="17"/>
        <v>0.19000000000000017</v>
      </c>
      <c r="BL9" s="41">
        <f t="shared" si="17"/>
        <v>0.2129729729729728</v>
      </c>
      <c r="BM9" s="41">
        <f t="shared" si="17"/>
        <v>0.21870129870129862</v>
      </c>
      <c r="BN9" s="40">
        <f t="shared" si="17"/>
        <v>0.204738447980362</v>
      </c>
      <c r="BO9" s="41">
        <f t="shared" si="17"/>
        <v>0.19629629629629641</v>
      </c>
      <c r="BP9" s="41">
        <f t="shared" si="17"/>
        <v>0.20214285714285718</v>
      </c>
      <c r="BQ9" s="41">
        <f t="shared" si="17"/>
        <v>0.21704545454545476</v>
      </c>
      <c r="BR9" s="41">
        <f t="shared" si="17"/>
        <v>0.21956521739130452</v>
      </c>
      <c r="BS9" s="40">
        <f t="shared" si="17"/>
        <v>0.20870091302903049</v>
      </c>
      <c r="BT9" s="40">
        <f t="shared" si="18"/>
        <v>0.21701711491442532</v>
      </c>
      <c r="BU9" s="40">
        <f t="shared" si="18"/>
        <v>0.18721311475409852</v>
      </c>
      <c r="BV9" s="40">
        <f t="shared" si="18"/>
        <v>0.16366197183098596</v>
      </c>
      <c r="BW9" s="45"/>
    </row>
    <row r="10" spans="1:75" x14ac:dyDescent="0.2">
      <c r="A10" s="47" t="s">
        <v>486</v>
      </c>
      <c r="B10" s="39"/>
      <c r="C10" s="40"/>
      <c r="D10" s="40"/>
      <c r="E10" s="40"/>
      <c r="F10" s="40"/>
      <c r="G10" s="41"/>
      <c r="H10" s="41"/>
      <c r="I10" s="41"/>
      <c r="J10" s="41"/>
      <c r="K10" s="40">
        <f t="shared" ref="K10:AY12" si="19">K29/F29-1</f>
        <v>-0.15184049079754613</v>
      </c>
      <c r="L10" s="41">
        <f t="shared" ref="L10:T10" si="20">L29/G29-1</f>
        <v>-0.14084507042253525</v>
      </c>
      <c r="M10" s="41">
        <f t="shared" si="20"/>
        <v>-5.1282051282051211E-2</v>
      </c>
      <c r="N10" s="41">
        <f t="shared" si="20"/>
        <v>3.2786885245901676E-2</v>
      </c>
      <c r="O10" s="41">
        <f t="shared" si="20"/>
        <v>5.8139534883721034E-3</v>
      </c>
      <c r="P10" s="40">
        <f t="shared" si="20"/>
        <v>-3.7974683544303667E-2</v>
      </c>
      <c r="Q10" s="41">
        <f t="shared" si="20"/>
        <v>-8.1967213114754189E-3</v>
      </c>
      <c r="R10" s="41">
        <f t="shared" si="20"/>
        <v>0.14414414414414423</v>
      </c>
      <c r="S10" s="41">
        <f t="shared" si="20"/>
        <v>-7.1428571428571508E-2</v>
      </c>
      <c r="T10" s="41">
        <f t="shared" si="20"/>
        <v>-5.7803468208092901E-2</v>
      </c>
      <c r="U10" s="40">
        <f t="shared" si="19"/>
        <v>-7.5187969924812581E-3</v>
      </c>
      <c r="V10" s="41">
        <f t="shared" si="19"/>
        <v>-6.6115702479338734E-2</v>
      </c>
      <c r="W10" s="41">
        <f t="shared" si="19"/>
        <v>-7.0866141732283339E-2</v>
      </c>
      <c r="X10" s="41">
        <f t="shared" si="19"/>
        <v>0.13675213675213693</v>
      </c>
      <c r="Y10" s="41">
        <f t="shared" si="19"/>
        <v>5.5214723926380271E-2</v>
      </c>
      <c r="Z10" s="40">
        <f t="shared" si="19"/>
        <v>1.5151515151515138E-2</v>
      </c>
      <c r="AA10" s="41">
        <f t="shared" si="19"/>
        <v>7.9646017699114946E-2</v>
      </c>
      <c r="AB10" s="41">
        <f t="shared" si="19"/>
        <v>0.11016949152542366</v>
      </c>
      <c r="AC10" s="41">
        <f t="shared" si="19"/>
        <v>-5.2631578947368474E-2</v>
      </c>
      <c r="AD10" s="41">
        <f t="shared" si="19"/>
        <v>0</v>
      </c>
      <c r="AE10" s="40">
        <f t="shared" si="19"/>
        <v>2.7985074626865725E-2</v>
      </c>
      <c r="AF10" s="41">
        <f t="shared" si="19"/>
        <v>1.6393442622950838E-2</v>
      </c>
      <c r="AG10" s="41">
        <f t="shared" si="19"/>
        <v>-3.0534351145038219E-2</v>
      </c>
      <c r="AH10" s="41">
        <f t="shared" si="19"/>
        <v>7.9365079365079305E-2</v>
      </c>
      <c r="AI10" s="41">
        <f t="shared" si="19"/>
        <v>-8.7209302325581772E-2</v>
      </c>
      <c r="AJ10" s="40">
        <f t="shared" si="19"/>
        <v>-1.2704174228675202E-2</v>
      </c>
      <c r="AK10" s="41">
        <f t="shared" si="19"/>
        <v>4.0322580645161255E-2</v>
      </c>
      <c r="AL10" s="41">
        <f t="shared" si="19"/>
        <v>-2.3622047244094446E-2</v>
      </c>
      <c r="AM10" s="41">
        <f t="shared" si="19"/>
        <v>1.4705882352941346E-2</v>
      </c>
      <c r="AN10" s="41">
        <f t="shared" si="19"/>
        <v>0.22929936305732501</v>
      </c>
      <c r="AO10" s="40">
        <f t="shared" si="19"/>
        <v>7.3529411764705843E-2</v>
      </c>
      <c r="AP10" s="41">
        <f t="shared" si="19"/>
        <v>6.976744186046524E-2</v>
      </c>
      <c r="AQ10" s="41">
        <f t="shared" si="19"/>
        <v>0.18548387096774177</v>
      </c>
      <c r="AR10" s="41">
        <f t="shared" si="19"/>
        <v>0.28985507246376807</v>
      </c>
      <c r="AS10" s="41">
        <f t="shared" si="19"/>
        <v>5.1813471502590636E-2</v>
      </c>
      <c r="AT10" s="40">
        <f t="shared" si="19"/>
        <v>0.1404109589041096</v>
      </c>
      <c r="AU10" s="41">
        <f t="shared" si="19"/>
        <v>0.21014492753623171</v>
      </c>
      <c r="AV10" s="41">
        <f t="shared" si="19"/>
        <v>4.7619047619047672E-2</v>
      </c>
      <c r="AW10" s="41">
        <f t="shared" si="19"/>
        <v>-6.1797752808988804E-2</v>
      </c>
      <c r="AX10" s="41">
        <f t="shared" si="19"/>
        <v>-0.14285714285714246</v>
      </c>
      <c r="AY10" s="40">
        <f t="shared" si="19"/>
        <v>-6.0060060060058706E-3</v>
      </c>
      <c r="AZ10" s="48">
        <v>0.03</v>
      </c>
      <c r="BA10" s="48">
        <v>0.03</v>
      </c>
      <c r="BB10" s="48">
        <v>0.03</v>
      </c>
      <c r="BC10" s="48">
        <v>0.03</v>
      </c>
      <c r="BD10" s="40">
        <f>BD29/AY29-1</f>
        <v>3.0000000000000027E-2</v>
      </c>
      <c r="BE10" s="48">
        <v>0.03</v>
      </c>
      <c r="BF10" s="48">
        <v>0.03</v>
      </c>
      <c r="BG10" s="48">
        <v>0.03</v>
      </c>
      <c r="BH10" s="48">
        <v>0.03</v>
      </c>
      <c r="BI10" s="46">
        <f>BI29/BD29-1</f>
        <v>3.0000000000000027E-2</v>
      </c>
      <c r="BJ10" s="48">
        <v>0.03</v>
      </c>
      <c r="BK10" s="48">
        <v>0.03</v>
      </c>
      <c r="BL10" s="48">
        <v>0.03</v>
      </c>
      <c r="BM10" s="48">
        <v>0.03</v>
      </c>
      <c r="BN10" s="40">
        <f>BN29/BI29-1</f>
        <v>3.0000000000000027E-2</v>
      </c>
      <c r="BO10" s="48">
        <v>0.03</v>
      </c>
      <c r="BP10" s="48">
        <v>0.03</v>
      </c>
      <c r="BQ10" s="48">
        <v>0.03</v>
      </c>
      <c r="BR10" s="48">
        <v>0.03</v>
      </c>
      <c r="BS10" s="40">
        <f>BS29/BN29-1</f>
        <v>3.0000000000000249E-2</v>
      </c>
      <c r="BT10" s="49">
        <v>0.03</v>
      </c>
      <c r="BU10" s="49">
        <v>0.03</v>
      </c>
      <c r="BV10" s="49">
        <v>0.03</v>
      </c>
      <c r="BW10" s="45"/>
    </row>
    <row r="11" spans="1:75" x14ac:dyDescent="0.2">
      <c r="A11" s="38" t="s">
        <v>487</v>
      </c>
      <c r="B11" s="39"/>
      <c r="C11" s="40"/>
      <c r="D11" s="40"/>
      <c r="E11" s="40"/>
      <c r="F11" s="40"/>
      <c r="G11" s="41"/>
      <c r="H11" s="41"/>
      <c r="I11" s="41"/>
      <c r="J11" s="41"/>
      <c r="K11" s="40"/>
      <c r="L11" s="41"/>
      <c r="M11" s="41"/>
      <c r="N11" s="41"/>
      <c r="O11" s="41"/>
      <c r="P11" s="40"/>
      <c r="Q11" s="41"/>
      <c r="R11" s="41"/>
      <c r="S11" s="41"/>
      <c r="T11" s="41"/>
      <c r="U11" s="40"/>
      <c r="V11" s="42">
        <f t="shared" si="19"/>
        <v>0.23628351711338946</v>
      </c>
      <c r="W11" s="42">
        <f t="shared" si="19"/>
        <v>0.33271224350291662</v>
      </c>
      <c r="X11" s="42">
        <f t="shared" si="19"/>
        <v>0.46170160033527452</v>
      </c>
      <c r="Y11" s="42">
        <f t="shared" si="19"/>
        <v>0.50227165647551653</v>
      </c>
      <c r="Z11" s="43">
        <f t="shared" si="19"/>
        <v>0.38827719556648788</v>
      </c>
      <c r="AA11" s="42">
        <f t="shared" si="19"/>
        <v>0.42969158738569857</v>
      </c>
      <c r="AB11" s="42">
        <f t="shared" si="19"/>
        <v>0.31783263243408788</v>
      </c>
      <c r="AC11" s="42">
        <f t="shared" si="19"/>
        <v>0.34301654860633346</v>
      </c>
      <c r="AD11" s="42">
        <f t="shared" si="19"/>
        <v>0.22636529813150252</v>
      </c>
      <c r="AE11" s="43">
        <f t="shared" si="19"/>
        <v>0.31997037934757344</v>
      </c>
      <c r="AF11" s="42">
        <f t="shared" si="19"/>
        <v>0.34294569464588154</v>
      </c>
      <c r="AG11" s="42">
        <f t="shared" si="19"/>
        <v>0.33325608938226559</v>
      </c>
      <c r="AH11" s="42">
        <f t="shared" si="19"/>
        <v>0.1861075065258242</v>
      </c>
      <c r="AI11" s="42">
        <f t="shared" si="19"/>
        <v>6.4703577874582807E-2</v>
      </c>
      <c r="AJ11" s="43">
        <f t="shared" si="19"/>
        <v>0.22186505505487197</v>
      </c>
      <c r="AK11" s="42">
        <f t="shared" si="19"/>
        <v>-4.3390594092021062E-2</v>
      </c>
      <c r="AL11" s="42">
        <f t="shared" si="19"/>
        <v>1.0871258163007713E-3</v>
      </c>
      <c r="AM11" s="42">
        <f t="shared" si="19"/>
        <v>8.7180337440831313E-2</v>
      </c>
      <c r="AN11" s="42">
        <f t="shared" si="19"/>
        <v>0.24167573228776784</v>
      </c>
      <c r="AO11" s="43">
        <f t="shared" si="19"/>
        <v>7.0572258726615766E-2</v>
      </c>
      <c r="AP11" s="42">
        <f t="shared" si="19"/>
        <v>0.13104065983835245</v>
      </c>
      <c r="AQ11" s="42">
        <f t="shared" si="19"/>
        <v>-0.46211052891475513</v>
      </c>
      <c r="AR11" s="42">
        <f t="shared" si="19"/>
        <v>-0.13196828038609398</v>
      </c>
      <c r="AS11" s="42">
        <f t="shared" si="19"/>
        <v>-0.16737628727323806</v>
      </c>
      <c r="AT11" s="43">
        <f t="shared" si="19"/>
        <v>-0.16102636814902804</v>
      </c>
      <c r="AU11" s="42">
        <f t="shared" si="19"/>
        <v>6.0086815567115481E-2</v>
      </c>
      <c r="AV11" s="42">
        <f t="shared" si="19"/>
        <v>1.6589054860004988</v>
      </c>
      <c r="AW11" s="42">
        <f t="shared" si="19"/>
        <v>0.56910199592082233</v>
      </c>
      <c r="AX11" s="42">
        <f t="shared" si="19"/>
        <v>0.43811452993161559</v>
      </c>
      <c r="AY11" s="43">
        <f t="shared" si="19"/>
        <v>0.54276049015887584</v>
      </c>
      <c r="AZ11" s="42">
        <f t="shared" ref="AZ11:BS12" si="21">AZ30/AU30-1</f>
        <v>0.29896653368536041</v>
      </c>
      <c r="BA11" s="42">
        <f t="shared" si="21"/>
        <v>8.8782757954285918E-2</v>
      </c>
      <c r="BB11" s="42">
        <f t="shared" si="21"/>
        <v>1.1443412655908203E-2</v>
      </c>
      <c r="BC11" s="42">
        <f t="shared" si="21"/>
        <v>0.16095456354580229</v>
      </c>
      <c r="BD11" s="43">
        <f t="shared" si="21"/>
        <v>0.1312680373466244</v>
      </c>
      <c r="BE11" s="42">
        <f t="shared" si="21"/>
        <v>8.7329793747082274E-2</v>
      </c>
      <c r="BF11" s="42">
        <f t="shared" si="21"/>
        <v>5.3134714079080769E-2</v>
      </c>
      <c r="BG11" s="42">
        <f t="shared" si="21"/>
        <v>5.7842566667837492E-2</v>
      </c>
      <c r="BH11" s="42">
        <f t="shared" si="21"/>
        <v>2.1149240173823358E-2</v>
      </c>
      <c r="BI11" s="44">
        <f t="shared" si="21"/>
        <v>5.37548363423066E-2</v>
      </c>
      <c r="BJ11" s="41">
        <f t="shared" si="21"/>
        <v>0.1084899846035412</v>
      </c>
      <c r="BK11" s="41">
        <f t="shared" si="21"/>
        <v>0.1032534260155753</v>
      </c>
      <c r="BL11" s="41">
        <f t="shared" si="21"/>
        <v>0.11550330875575998</v>
      </c>
      <c r="BM11" s="41">
        <f t="shared" si="21"/>
        <v>4.5786428147268188E-2</v>
      </c>
      <c r="BN11" s="40">
        <f t="shared" si="21"/>
        <v>9.2331750294336379E-2</v>
      </c>
      <c r="BO11" s="41">
        <f t="shared" si="21"/>
        <v>-7.744700142482408E-4</v>
      </c>
      <c r="BP11" s="41">
        <f t="shared" si="21"/>
        <v>-4.3656382025314411E-4</v>
      </c>
      <c r="BQ11" s="41">
        <f t="shared" si="21"/>
        <v>-2.1193495023985598E-4</v>
      </c>
      <c r="BR11" s="41">
        <f t="shared" si="21"/>
        <v>-2.1104669735527715E-4</v>
      </c>
      <c r="BS11" s="40">
        <f t="shared" si="21"/>
        <v>-4.0997588582059041E-4</v>
      </c>
      <c r="BT11" s="40">
        <f t="shared" ref="BT11:BV13" si="22">BT30/BS30-1</f>
        <v>4.4461247774612467E-2</v>
      </c>
      <c r="BU11" s="40">
        <f t="shared" si="22"/>
        <v>4.4248220367273605E-2</v>
      </c>
      <c r="BV11" s="40">
        <f t="shared" si="22"/>
        <v>6.4314422006167549E-2</v>
      </c>
      <c r="BW11" s="45"/>
    </row>
    <row r="12" spans="1:75" x14ac:dyDescent="0.2">
      <c r="A12" s="50" t="s">
        <v>488</v>
      </c>
      <c r="B12" s="51"/>
      <c r="C12" s="52"/>
      <c r="D12" s="52"/>
      <c r="E12" s="52"/>
      <c r="F12" s="52"/>
      <c r="G12" s="53"/>
      <c r="H12" s="53"/>
      <c r="I12" s="53"/>
      <c r="J12" s="53"/>
      <c r="K12" s="52"/>
      <c r="L12" s="53"/>
      <c r="M12" s="53"/>
      <c r="N12" s="53"/>
      <c r="O12" s="53"/>
      <c r="P12" s="52"/>
      <c r="Q12" s="53"/>
      <c r="R12" s="53"/>
      <c r="S12" s="53"/>
      <c r="T12" s="53"/>
      <c r="U12" s="52"/>
      <c r="V12" s="54">
        <f t="shared" si="19"/>
        <v>8.2439117491942104E-2</v>
      </c>
      <c r="W12" s="54">
        <f t="shared" si="19"/>
        <v>4.3976334253741367E-2</v>
      </c>
      <c r="X12" s="54">
        <f t="shared" si="19"/>
        <v>-3.8761258101414064E-3</v>
      </c>
      <c r="Y12" s="54">
        <f t="shared" si="19"/>
        <v>9.5700299020960333E-2</v>
      </c>
      <c r="Z12" s="55">
        <f t="shared" si="19"/>
        <v>5.4342108669795275E-2</v>
      </c>
      <c r="AA12" s="54">
        <f t="shared" si="19"/>
        <v>-3.2840784659284195E-2</v>
      </c>
      <c r="AB12" s="54">
        <f t="shared" si="19"/>
        <v>1.7444012535829945E-2</v>
      </c>
      <c r="AC12" s="54">
        <f t="shared" si="19"/>
        <v>-1.332294564604608E-2</v>
      </c>
      <c r="AD12" s="54">
        <f t="shared" si="19"/>
        <v>2.6545461119543035E-2</v>
      </c>
      <c r="AE12" s="55">
        <f t="shared" si="19"/>
        <v>-3.1707861511365287E-4</v>
      </c>
      <c r="AF12" s="54">
        <f t="shared" si="19"/>
        <v>1.1050458376496763E-2</v>
      </c>
      <c r="AG12" s="54">
        <f t="shared" si="19"/>
        <v>2.0810041381128297E-2</v>
      </c>
      <c r="AH12" s="54">
        <f t="shared" si="19"/>
        <v>3.6511064300797758E-2</v>
      </c>
      <c r="AI12" s="54">
        <f t="shared" si="19"/>
        <v>-4.0280223650283054E-2</v>
      </c>
      <c r="AJ12" s="55">
        <f t="shared" si="19"/>
        <v>-2.1820606465660086E-3</v>
      </c>
      <c r="AK12" s="54">
        <f t="shared" si="19"/>
        <v>1.906042041094147E-2</v>
      </c>
      <c r="AL12" s="54">
        <f t="shared" si="19"/>
        <v>1.0210387223812623E-2</v>
      </c>
      <c r="AM12" s="54">
        <f t="shared" si="19"/>
        <v>-2.5420388229997481E-2</v>
      </c>
      <c r="AN12" s="54">
        <f t="shared" si="19"/>
        <v>0.46048408771511662</v>
      </c>
      <c r="AO12" s="55">
        <f t="shared" si="19"/>
        <v>0.12790976908467377</v>
      </c>
      <c r="AP12" s="54">
        <f t="shared" si="19"/>
        <v>0.24477446633364908</v>
      </c>
      <c r="AQ12" s="54">
        <f t="shared" si="19"/>
        <v>-0.65880562320435532</v>
      </c>
      <c r="AR12" s="54">
        <f t="shared" si="19"/>
        <v>-4.1632270314593489E-2</v>
      </c>
      <c r="AS12" s="54">
        <f t="shared" si="19"/>
        <v>-0.35872207735276962</v>
      </c>
      <c r="AT12" s="55">
        <f t="shared" si="19"/>
        <v>-0.22426042089668152</v>
      </c>
      <c r="AU12" s="54">
        <f t="shared" si="19"/>
        <v>-0.11305608669515865</v>
      </c>
      <c r="AV12" s="54">
        <f t="shared" si="19"/>
        <v>3.2308192777479015</v>
      </c>
      <c r="AW12" s="54">
        <f t="shared" si="19"/>
        <v>0.63931449329898893</v>
      </c>
      <c r="AX12" s="54">
        <f t="shared" si="19"/>
        <v>0.64548654174850451</v>
      </c>
      <c r="AY12" s="55">
        <f t="shared" si="19"/>
        <v>0.63009375024335434</v>
      </c>
      <c r="AZ12" s="54">
        <f t="shared" si="21"/>
        <v>0.3028351297646521</v>
      </c>
      <c r="BA12" s="54">
        <f t="shared" si="21"/>
        <v>6.5775175418830045E-2</v>
      </c>
      <c r="BB12" s="54">
        <f t="shared" si="21"/>
        <v>1.9642176623861252E-2</v>
      </c>
      <c r="BC12" s="54">
        <f t="shared" si="21"/>
        <v>0.15124441410433342</v>
      </c>
      <c r="BD12" s="55">
        <f t="shared" si="21"/>
        <v>0.12395138030526853</v>
      </c>
      <c r="BE12" s="54">
        <f t="shared" si="21"/>
        <v>9.8462805842803203E-2</v>
      </c>
      <c r="BF12" s="54">
        <f t="shared" si="21"/>
        <v>0.1074763367597904</v>
      </c>
      <c r="BG12" s="54">
        <f t="shared" si="21"/>
        <v>0.10444586451464422</v>
      </c>
      <c r="BH12" s="54">
        <f t="shared" si="21"/>
        <v>-0.10856310962662663</v>
      </c>
      <c r="BI12" s="56">
        <f t="shared" si="21"/>
        <v>4.2970750511202915E-2</v>
      </c>
      <c r="BJ12" s="53">
        <f t="shared" si="21"/>
        <v>5.0000000000000044E-2</v>
      </c>
      <c r="BK12" s="53">
        <f t="shared" si="21"/>
        <v>0.10250000000000004</v>
      </c>
      <c r="BL12" s="53">
        <f t="shared" si="21"/>
        <v>0.14187499999999997</v>
      </c>
      <c r="BM12" s="53">
        <f t="shared" si="21"/>
        <v>0.18291139240506338</v>
      </c>
      <c r="BN12" s="52">
        <f t="shared" si="21"/>
        <v>0.11954943122002293</v>
      </c>
      <c r="BO12" s="53">
        <f t="shared" si="21"/>
        <v>0.20421875000000012</v>
      </c>
      <c r="BP12" s="53">
        <f t="shared" si="21"/>
        <v>0.14687499999999987</v>
      </c>
      <c r="BQ12" s="53">
        <f t="shared" si="21"/>
        <v>0.10732758620689653</v>
      </c>
      <c r="BR12" s="53">
        <f t="shared" si="21"/>
        <v>8.24438202247193E-2</v>
      </c>
      <c r="BS12" s="52">
        <f t="shared" si="21"/>
        <v>0.1329008621195964</v>
      </c>
      <c r="BT12" s="52">
        <f t="shared" si="22"/>
        <v>-5.504087193460494E-2</v>
      </c>
      <c r="BU12" s="52">
        <f t="shared" si="22"/>
        <v>2.000000000000024E-2</v>
      </c>
      <c r="BV12" s="52">
        <f t="shared" si="22"/>
        <v>2.0000000000000018E-2</v>
      </c>
      <c r="BW12" s="45"/>
    </row>
    <row r="13" spans="1:75" x14ac:dyDescent="0.2">
      <c r="A13" s="57" t="s">
        <v>489</v>
      </c>
      <c r="B13" s="51"/>
      <c r="C13" s="52"/>
      <c r="D13" s="52"/>
      <c r="E13" s="52"/>
      <c r="F13" s="52"/>
      <c r="G13" s="53"/>
      <c r="H13" s="53"/>
      <c r="I13" s="53"/>
      <c r="J13" s="53"/>
      <c r="K13" s="52"/>
      <c r="L13" s="53">
        <f t="shared" ref="L13:T13" si="23">L32/G32-1</f>
        <v>-0.11179582697604362</v>
      </c>
      <c r="M13" s="53">
        <f t="shared" si="23"/>
        <v>-7.0903187330197959E-3</v>
      </c>
      <c r="N13" s="53">
        <f t="shared" si="23"/>
        <v>5.1103888826629085E-3</v>
      </c>
      <c r="O13" s="53">
        <f t="shared" si="23"/>
        <v>-6.2804176174801052E-3</v>
      </c>
      <c r="P13" s="52">
        <f t="shared" si="23"/>
        <v>-3.1842169017348265E-2</v>
      </c>
      <c r="Q13" s="53">
        <f t="shared" si="23"/>
        <v>7.3842721695480673E-3</v>
      </c>
      <c r="R13" s="53">
        <f t="shared" si="23"/>
        <v>1.9353977576081149E-2</v>
      </c>
      <c r="S13" s="53">
        <f t="shared" si="23"/>
        <v>1.7148718863590817E-2</v>
      </c>
      <c r="T13" s="53">
        <f t="shared" si="23"/>
        <v>2.1398959518777572E-2</v>
      </c>
      <c r="U13" s="52">
        <f t="shared" ref="U13:BS13" si="24">U32/P32-1</f>
        <v>1.6444720064408003E-2</v>
      </c>
      <c r="V13" s="53">
        <f t="shared" si="24"/>
        <v>4.9185047391265835E-2</v>
      </c>
      <c r="W13" s="53">
        <f t="shared" si="24"/>
        <v>2.4486054733534157E-2</v>
      </c>
      <c r="X13" s="53">
        <f t="shared" si="24"/>
        <v>5.1872314303253564E-2</v>
      </c>
      <c r="Y13" s="53">
        <f t="shared" si="24"/>
        <v>0.10099281749268818</v>
      </c>
      <c r="Z13" s="52">
        <f t="shared" si="24"/>
        <v>5.7719787424204361E-2</v>
      </c>
      <c r="AA13" s="53">
        <f t="shared" si="24"/>
        <v>1.7202440002532793E-2</v>
      </c>
      <c r="AB13" s="53">
        <f t="shared" si="24"/>
        <v>5.7451431492842486E-2</v>
      </c>
      <c r="AC13" s="53">
        <f t="shared" si="24"/>
        <v>-3.2931760390179088E-3</v>
      </c>
      <c r="AD13" s="53">
        <f t="shared" si="24"/>
        <v>3.0648571480203168E-2</v>
      </c>
      <c r="AE13" s="52">
        <f t="shared" si="24"/>
        <v>2.5552024934728523E-2</v>
      </c>
      <c r="AF13" s="53">
        <f t="shared" si="24"/>
        <v>3.5815073041168599E-2</v>
      </c>
      <c r="AG13" s="53">
        <f t="shared" si="24"/>
        <v>2.8907556253903177E-2</v>
      </c>
      <c r="AH13" s="53">
        <f t="shared" si="24"/>
        <v>5.9640317858636438E-2</v>
      </c>
      <c r="AI13" s="53">
        <f t="shared" si="24"/>
        <v>-4.6709799589711221E-2</v>
      </c>
      <c r="AJ13" s="52">
        <f t="shared" si="24"/>
        <v>1.13377342293004E-2</v>
      </c>
      <c r="AK13" s="53">
        <f t="shared" si="24"/>
        <v>1.8630554108738373E-2</v>
      </c>
      <c r="AL13" s="53">
        <f t="shared" si="24"/>
        <v>9.7893335421717076E-4</v>
      </c>
      <c r="AM13" s="53">
        <f t="shared" si="24"/>
        <v>-4.6771392485001062E-3</v>
      </c>
      <c r="AN13" s="53">
        <f t="shared" si="24"/>
        <v>0.37574720888741742</v>
      </c>
      <c r="AO13" s="52">
        <f t="shared" si="24"/>
        <v>0.10841333957772314</v>
      </c>
      <c r="AP13" s="41">
        <f t="shared" si="24"/>
        <v>0.19060730018879801</v>
      </c>
      <c r="AQ13" s="53">
        <f t="shared" si="24"/>
        <v>-0.43637288268200136</v>
      </c>
      <c r="AR13" s="53">
        <f t="shared" si="24"/>
        <v>4.03291365123426E-2</v>
      </c>
      <c r="AS13" s="53">
        <f t="shared" si="24"/>
        <v>-0.23860263643412893</v>
      </c>
      <c r="AT13" s="52">
        <f t="shared" si="24"/>
        <v>-0.12513258834454921</v>
      </c>
      <c r="AU13" s="41">
        <f t="shared" si="24"/>
        <v>-2.5256029071688113E-2</v>
      </c>
      <c r="AV13" s="53">
        <f t="shared" si="24"/>
        <v>1.4722723486951694</v>
      </c>
      <c r="AW13" s="53">
        <f t="shared" si="24"/>
        <v>0.39579561264746799</v>
      </c>
      <c r="AX13" s="53">
        <f t="shared" si="24"/>
        <v>0.34766729293603182</v>
      </c>
      <c r="AY13" s="52">
        <f t="shared" si="24"/>
        <v>0.40982311747897104</v>
      </c>
      <c r="AZ13" s="41">
        <f t="shared" si="24"/>
        <v>0.22528003253630691</v>
      </c>
      <c r="BA13" s="53">
        <f t="shared" si="24"/>
        <v>6.0161985373591076E-2</v>
      </c>
      <c r="BB13" s="53">
        <f t="shared" si="24"/>
        <v>2.1260036047845432E-2</v>
      </c>
      <c r="BC13" s="53">
        <f t="shared" si="24"/>
        <v>0.12459772511107414</v>
      </c>
      <c r="BD13" s="52">
        <f t="shared" si="24"/>
        <v>0.10241258354476024</v>
      </c>
      <c r="BE13" s="41">
        <f t="shared" si="24"/>
        <v>8.1128552658875641E-2</v>
      </c>
      <c r="BF13" s="53">
        <f t="shared" si="24"/>
        <v>8.6061938114846415E-2</v>
      </c>
      <c r="BG13" s="53">
        <f t="shared" si="24"/>
        <v>8.3136122364392273E-2</v>
      </c>
      <c r="BH13" s="53">
        <f t="shared" si="24"/>
        <v>-6.8204462775447783E-2</v>
      </c>
      <c r="BI13" s="58">
        <f t="shared" si="24"/>
        <v>4.1098728227902503E-2</v>
      </c>
      <c r="BJ13" s="53">
        <f t="shared" si="24"/>
        <v>5.1000872760244897E-2</v>
      </c>
      <c r="BK13" s="53">
        <f t="shared" si="24"/>
        <v>8.8128839535890346E-2</v>
      </c>
      <c r="BL13" s="53">
        <f t="shared" si="24"/>
        <v>0.11509317623203175</v>
      </c>
      <c r="BM13" s="53">
        <f t="shared" si="24"/>
        <v>0.13439037489535521</v>
      </c>
      <c r="BN13" s="52">
        <f t="shared" si="24"/>
        <v>9.7464716407968721E-2</v>
      </c>
      <c r="BO13" s="53">
        <f t="shared" si="24"/>
        <v>0.14506665041042055</v>
      </c>
      <c r="BP13" s="53">
        <f t="shared" si="24"/>
        <v>0.11113271329775731</v>
      </c>
      <c r="BQ13" s="53">
        <f t="shared" si="24"/>
        <v>8.2263513134903654E-2</v>
      </c>
      <c r="BR13" s="53">
        <f t="shared" si="24"/>
        <v>6.4054595633807887E-2</v>
      </c>
      <c r="BS13" s="52">
        <f t="shared" si="24"/>
        <v>9.9474520082249107E-2</v>
      </c>
      <c r="BT13" s="52">
        <f t="shared" si="22"/>
        <v>-3.0341664831799897E-2</v>
      </c>
      <c r="BU13" s="52">
        <f t="shared" si="22"/>
        <v>2.4237101451597409E-2</v>
      </c>
      <c r="BV13" s="52">
        <f t="shared" si="22"/>
        <v>2.6145786963976958E-2</v>
      </c>
      <c r="BW13" s="45"/>
    </row>
    <row r="14" spans="1:75" x14ac:dyDescent="0.2">
      <c r="A14" s="59" t="s">
        <v>490</v>
      </c>
      <c r="B14" s="60"/>
      <c r="C14" s="61"/>
      <c r="D14" s="62">
        <f t="shared" ref="D14:F14" si="25">D382/C382-1</f>
        <v>3.5819777530867292E-2</v>
      </c>
      <c r="E14" s="62">
        <f t="shared" si="25"/>
        <v>5.9189926021631978E-2</v>
      </c>
      <c r="F14" s="62">
        <f t="shared" si="25"/>
        <v>2.924004223884058E-2</v>
      </c>
      <c r="G14" s="63"/>
      <c r="H14" s="63"/>
      <c r="I14" s="63"/>
      <c r="J14" s="63"/>
      <c r="K14" s="62">
        <f t="shared" ref="K14:BS14" si="26">K382/F382-1</f>
        <v>3.8083113646803834E-2</v>
      </c>
      <c r="L14" s="64">
        <f t="shared" ref="L14:T14" si="27">L382/G382-1</f>
        <v>3.9767352457140026E-2</v>
      </c>
      <c r="M14" s="64">
        <f t="shared" si="27"/>
        <v>5.5917875937530503E-2</v>
      </c>
      <c r="N14" s="64">
        <f t="shared" si="27"/>
        <v>6.262521316843328E-2</v>
      </c>
      <c r="O14" s="64">
        <f t="shared" si="27"/>
        <v>5.1777087828237756E-2</v>
      </c>
      <c r="P14" s="62">
        <f t="shared" si="27"/>
        <v>5.2565884414055963E-2</v>
      </c>
      <c r="Q14" s="64">
        <f t="shared" si="27"/>
        <v>7.5902881202082995E-2</v>
      </c>
      <c r="R14" s="64">
        <f t="shared" si="27"/>
        <v>6.5875513188801138E-2</v>
      </c>
      <c r="S14" s="64">
        <f t="shared" si="27"/>
        <v>5.52458957272286E-2</v>
      </c>
      <c r="T14" s="64">
        <f t="shared" si="27"/>
        <v>5.4371558999585679E-2</v>
      </c>
      <c r="U14" s="62">
        <f t="shared" si="26"/>
        <v>6.2725637248156385E-2</v>
      </c>
      <c r="V14" s="64">
        <f t="shared" si="26"/>
        <v>6.8961123456241946E-2</v>
      </c>
      <c r="W14" s="64">
        <f t="shared" si="26"/>
        <v>5.6236262230512812E-2</v>
      </c>
      <c r="X14" s="64">
        <f t="shared" si="26"/>
        <v>6.3282246795066666E-2</v>
      </c>
      <c r="Y14" s="64">
        <f t="shared" si="26"/>
        <v>0.14483496918425098</v>
      </c>
      <c r="Z14" s="62">
        <f t="shared" si="26"/>
        <v>8.3361539439277044E-2</v>
      </c>
      <c r="AA14" s="64">
        <f t="shared" si="26"/>
        <v>1.7578333119616874E-2</v>
      </c>
      <c r="AB14" s="64">
        <f t="shared" si="26"/>
        <v>1.9695380970615295E-2</v>
      </c>
      <c r="AC14" s="64">
        <f t="shared" si="26"/>
        <v>-8.260448771289397E-3</v>
      </c>
      <c r="AD14" s="64">
        <f t="shared" si="26"/>
        <v>-5.194596333226098E-2</v>
      </c>
      <c r="AE14" s="62">
        <f t="shared" si="26"/>
        <v>-6.6866779246471664E-3</v>
      </c>
      <c r="AF14" s="64">
        <f t="shared" si="26"/>
        <v>4.8391448033991979E-2</v>
      </c>
      <c r="AG14" s="64">
        <f t="shared" si="26"/>
        <v>4.0902382828334138E-2</v>
      </c>
      <c r="AH14" s="64">
        <f t="shared" si="26"/>
        <v>4.5895511638626152E-2</v>
      </c>
      <c r="AI14" s="64">
        <f t="shared" si="26"/>
        <v>2.332922361253198E-2</v>
      </c>
      <c r="AJ14" s="62">
        <f t="shared" si="26"/>
        <v>3.1775685223901728E-2</v>
      </c>
      <c r="AK14" s="64">
        <f t="shared" si="26"/>
        <v>1.4880876803607945E-2</v>
      </c>
      <c r="AL14" s="64">
        <f t="shared" si="26"/>
        <v>1.5959796216312716E-2</v>
      </c>
      <c r="AM14" s="64">
        <f t="shared" si="26"/>
        <v>9.7334742684400677E-3</v>
      </c>
      <c r="AN14" s="64">
        <f t="shared" si="26"/>
        <v>0.18606181268211031</v>
      </c>
      <c r="AO14" s="62">
        <f t="shared" si="26"/>
        <v>6.4468122234794256E-2</v>
      </c>
      <c r="AP14" s="64">
        <f t="shared" si="26"/>
        <v>2.6064212210228588E-2</v>
      </c>
      <c r="AQ14" s="64">
        <f t="shared" si="26"/>
        <v>-0.5090791427789163</v>
      </c>
      <c r="AR14" s="64">
        <f t="shared" si="26"/>
        <v>-0.11733295143009115</v>
      </c>
      <c r="AS14" s="64">
        <f t="shared" si="26"/>
        <v>-0.20096825785628902</v>
      </c>
      <c r="AT14" s="62">
        <f t="shared" si="26"/>
        <v>-0.20117960665277856</v>
      </c>
      <c r="AU14" s="64">
        <f t="shared" si="26"/>
        <v>2.0014436536141877E-2</v>
      </c>
      <c r="AV14" s="64">
        <f t="shared" si="26"/>
        <v>1.5991326715137011</v>
      </c>
      <c r="AW14" s="64">
        <f t="shared" si="26"/>
        <v>0.45731250338023166</v>
      </c>
      <c r="AX14" s="64">
        <f t="shared" si="26"/>
        <v>0.40057740302081668</v>
      </c>
      <c r="AY14" s="62">
        <f t="shared" si="26"/>
        <v>0.47615121834385921</v>
      </c>
      <c r="AZ14" s="64">
        <f t="shared" si="26"/>
        <v>0.26504382252951375</v>
      </c>
      <c r="BA14" s="64">
        <f t="shared" si="26"/>
        <v>8.2822684262818802E-2</v>
      </c>
      <c r="BB14" s="64">
        <f t="shared" si="26"/>
        <v>3.9135874794890224E-2</v>
      </c>
      <c r="BC14" s="64">
        <f t="shared" si="26"/>
        <v>0.14949149792775263</v>
      </c>
      <c r="BD14" s="62">
        <f t="shared" si="26"/>
        <v>0.12830431010336318</v>
      </c>
      <c r="BE14" s="64">
        <f t="shared" si="26"/>
        <v>9.1222234821282333E-2</v>
      </c>
      <c r="BF14" s="64">
        <f t="shared" si="26"/>
        <v>4.026575615239647E-2</v>
      </c>
      <c r="BG14" s="64">
        <f t="shared" si="26"/>
        <v>5.8939975841867609E-2</v>
      </c>
      <c r="BH14" s="64">
        <f t="shared" si="26"/>
        <v>-1.7689252488233276E-2</v>
      </c>
      <c r="BI14" s="65">
        <f t="shared" si="26"/>
        <v>4.127779614405136E-2</v>
      </c>
      <c r="BJ14" s="63">
        <f t="shared" si="26"/>
        <v>4.651887078085859E-2</v>
      </c>
      <c r="BK14" s="63">
        <f t="shared" si="26"/>
        <v>6.9268699200134565E-2</v>
      </c>
      <c r="BL14" s="63">
        <f t="shared" si="26"/>
        <v>6.9960561517633968E-2</v>
      </c>
      <c r="BM14" s="63">
        <f t="shared" si="26"/>
        <v>6.9461827558949141E-2</v>
      </c>
      <c r="BN14" s="61">
        <f t="shared" si="26"/>
        <v>6.3756222959210795E-2</v>
      </c>
      <c r="BO14" s="63">
        <f t="shared" si="26"/>
        <v>5.0494797456833052E-2</v>
      </c>
      <c r="BP14" s="63">
        <f t="shared" si="26"/>
        <v>4.9228634565824603E-2</v>
      </c>
      <c r="BQ14" s="63">
        <f t="shared" si="26"/>
        <v>5.0027930291954403E-2</v>
      </c>
      <c r="BR14" s="63">
        <f t="shared" si="26"/>
        <v>5.1949140884738565E-2</v>
      </c>
      <c r="BS14" s="61">
        <f t="shared" si="26"/>
        <v>5.0433759403877065E-2</v>
      </c>
      <c r="BT14" s="61">
        <f t="shared" ref="BT14:BV14" si="28">BT382/BS382-1</f>
        <v>7.6438181933937699E-2</v>
      </c>
      <c r="BU14" s="61">
        <f t="shared" si="28"/>
        <v>7.8605113421825745E-2</v>
      </c>
      <c r="BV14" s="61">
        <f t="shared" si="28"/>
        <v>9.2882071735771232E-2</v>
      </c>
      <c r="BW14" s="37"/>
    </row>
    <row r="15" spans="1:75" x14ac:dyDescent="0.2">
      <c r="A15" s="66"/>
      <c r="B15" s="67"/>
      <c r="C15" s="68"/>
      <c r="D15" s="68"/>
      <c r="E15" s="68"/>
      <c r="F15" s="68"/>
      <c r="G15" s="69"/>
      <c r="H15" s="69"/>
      <c r="I15" s="69"/>
      <c r="J15" s="69"/>
      <c r="K15" s="68"/>
      <c r="L15" s="69"/>
      <c r="M15" s="69"/>
      <c r="N15" s="69"/>
      <c r="O15" s="69"/>
      <c r="P15" s="68"/>
      <c r="Q15" s="69"/>
      <c r="R15" s="69"/>
      <c r="S15" s="69"/>
      <c r="T15" s="69"/>
      <c r="U15" s="68"/>
      <c r="V15" s="69"/>
      <c r="W15" s="69"/>
      <c r="X15" s="69"/>
      <c r="Y15" s="69"/>
      <c r="Z15" s="68"/>
      <c r="AA15" s="69"/>
      <c r="AB15" s="69"/>
      <c r="AC15" s="69"/>
      <c r="AD15" s="69"/>
      <c r="AE15" s="68"/>
      <c r="AF15" s="69"/>
      <c r="AG15" s="69"/>
      <c r="AH15" s="69"/>
      <c r="AI15" s="69"/>
      <c r="AJ15" s="68"/>
      <c r="AK15" s="69"/>
      <c r="AL15" s="69"/>
      <c r="AM15" s="69"/>
      <c r="AN15" s="69"/>
      <c r="AO15" s="68"/>
      <c r="AP15" s="69"/>
      <c r="AQ15" s="69"/>
      <c r="AR15" s="69"/>
      <c r="AS15" s="69"/>
      <c r="AT15" s="68"/>
      <c r="AU15" s="69"/>
      <c r="AV15" s="69"/>
      <c r="AW15" s="69"/>
      <c r="AX15" s="69"/>
      <c r="AY15" s="68"/>
      <c r="AZ15" s="69"/>
      <c r="BA15" s="69"/>
      <c r="BB15" s="69"/>
      <c r="BC15" s="69"/>
      <c r="BD15" s="68"/>
      <c r="BE15" s="69"/>
      <c r="BF15" s="69"/>
      <c r="BG15" s="69"/>
      <c r="BH15" s="69"/>
      <c r="BI15" s="70"/>
      <c r="BJ15" s="69"/>
      <c r="BK15" s="69"/>
      <c r="BL15" s="69"/>
      <c r="BM15" s="69"/>
      <c r="BN15" s="68"/>
      <c r="BO15" s="69"/>
      <c r="BP15" s="69"/>
      <c r="BQ15" s="69"/>
      <c r="BR15" s="69"/>
      <c r="BS15" s="68"/>
      <c r="BT15" s="68"/>
      <c r="BU15" s="68"/>
      <c r="BV15" s="68"/>
      <c r="BW15" s="37"/>
    </row>
    <row r="16" spans="1:75" x14ac:dyDescent="0.2">
      <c r="A16" s="47" t="s">
        <v>279</v>
      </c>
      <c r="B16" s="39"/>
      <c r="C16" s="40"/>
      <c r="D16" s="40"/>
      <c r="E16" s="40"/>
      <c r="F16" s="40"/>
      <c r="G16" s="41"/>
      <c r="H16" s="41"/>
      <c r="I16" s="41"/>
      <c r="J16" s="41"/>
      <c r="K16" s="49">
        <v>1.7999999999999999E-2</v>
      </c>
      <c r="L16" s="41"/>
      <c r="M16" s="41"/>
      <c r="N16" s="41"/>
      <c r="O16" s="41"/>
      <c r="P16" s="49">
        <v>0.02</v>
      </c>
      <c r="Q16" s="48">
        <v>0.02</v>
      </c>
      <c r="R16" s="48">
        <v>0.02</v>
      </c>
      <c r="S16" s="48">
        <v>2.1000000000000001E-2</v>
      </c>
      <c r="T16" s="48">
        <v>2.5000000000000001E-2</v>
      </c>
      <c r="U16" s="49">
        <v>2.1999999999999999E-2</v>
      </c>
      <c r="V16" s="48">
        <v>2.7E-2</v>
      </c>
      <c r="W16" s="48">
        <v>2.9000000000000001E-2</v>
      </c>
      <c r="X16" s="48">
        <v>2.5999999999999999E-2</v>
      </c>
      <c r="Y16" s="48">
        <v>2.5000000000000001E-2</v>
      </c>
      <c r="Z16" s="49">
        <v>2.7E-2</v>
      </c>
      <c r="AA16" s="48">
        <v>2.4E-2</v>
      </c>
      <c r="AB16" s="48">
        <v>2.1999999999999999E-2</v>
      </c>
      <c r="AC16" s="48">
        <v>2.4E-2</v>
      </c>
      <c r="AD16" s="48">
        <v>2.5000000000000001E-2</v>
      </c>
      <c r="AE16" s="49">
        <v>2.4E-2</v>
      </c>
      <c r="AF16" s="48">
        <v>2.7E-2</v>
      </c>
      <c r="AG16" s="48">
        <v>2.9000000000000001E-2</v>
      </c>
      <c r="AH16" s="48">
        <v>2.9000000000000001E-2</v>
      </c>
      <c r="AI16" s="48">
        <v>2.9000000000000001E-2</v>
      </c>
      <c r="AJ16" s="49">
        <v>2.8000000000000001E-2</v>
      </c>
      <c r="AK16" s="48">
        <v>0.03</v>
      </c>
      <c r="AL16" s="48">
        <v>3.1E-2</v>
      </c>
      <c r="AM16" s="48">
        <v>3.2000000000000001E-2</v>
      </c>
      <c r="AN16" s="48">
        <v>3.2000000000000001E-2</v>
      </c>
      <c r="AO16" s="49">
        <v>3.1E-2</v>
      </c>
      <c r="AP16" s="48">
        <v>3.2000000000000001E-2</v>
      </c>
      <c r="AQ16" s="48">
        <v>3.1E-2</v>
      </c>
      <c r="AR16" s="48">
        <v>0.03</v>
      </c>
      <c r="AS16" s="41">
        <f t="shared" ref="AS16:AS17" si="29">(AT16*AT$26-SUM(AP16*AP$26,AQ16*AQ$26,AR16*AR$26))/AS$26</f>
        <v>3.0836968197315771E-2</v>
      </c>
      <c r="AT16" s="49">
        <v>3.1E-2</v>
      </c>
      <c r="AU16" s="48">
        <v>0.03</v>
      </c>
      <c r="AV16" s="48">
        <v>0.03</v>
      </c>
      <c r="AW16" s="48">
        <v>0.03</v>
      </c>
      <c r="AX16" s="41">
        <f t="shared" ref="AX16:AX17" si="30">(AY16*AY$26-SUM(AU16*AU$26,AV16*AV$26,AW16*AW$26))/AX$26</f>
        <v>2.9999999999999978E-2</v>
      </c>
      <c r="AY16" s="49">
        <v>0.03</v>
      </c>
      <c r="AZ16" s="48">
        <v>3.5999999999999997E-2</v>
      </c>
      <c r="BA16" s="48">
        <v>4.7E-2</v>
      </c>
      <c r="BB16" s="48">
        <v>0.06</v>
      </c>
      <c r="BC16" s="41">
        <f t="shared" ref="BC16:BC17" si="31">(BD16*BD$26-SUM(AZ16*AZ$26,BA16*BA$26,BB16*BB$26))/BC$26</f>
        <v>9.0303476671208513E-2</v>
      </c>
      <c r="BD16" s="49">
        <v>5.8999999999999997E-2</v>
      </c>
      <c r="BE16" s="48">
        <v>0.104</v>
      </c>
      <c r="BF16" s="48">
        <v>0.106</v>
      </c>
      <c r="BG16" s="48">
        <v>9.5000000000000001E-2</v>
      </c>
      <c r="BH16" s="41">
        <f t="shared" ref="BH16:BH17" si="32">(BI16*BI$26-SUM(BE16*BE$26,BF16*BF$26,BG16*BG$26))/BH$26</f>
        <v>7.1191850496244907E-2</v>
      </c>
      <c r="BI16" s="71">
        <v>9.4E-2</v>
      </c>
      <c r="BJ16" s="41">
        <f t="shared" ref="BJ16:BV20" si="33">BJ82</f>
        <v>4.4999999999999998E-2</v>
      </c>
      <c r="BK16" s="41">
        <f t="shared" si="33"/>
        <v>4.4999999999999998E-2</v>
      </c>
      <c r="BL16" s="41">
        <f t="shared" si="33"/>
        <v>4.4999999999999998E-2</v>
      </c>
      <c r="BM16" s="41">
        <f t="shared" si="33"/>
        <v>4.4999999999999998E-2</v>
      </c>
      <c r="BN16" s="40">
        <f t="shared" si="33"/>
        <v>4.4989516544019698E-2</v>
      </c>
      <c r="BO16" s="41">
        <f t="shared" si="33"/>
        <v>0.03</v>
      </c>
      <c r="BP16" s="41">
        <f t="shared" si="33"/>
        <v>0.03</v>
      </c>
      <c r="BQ16" s="41">
        <f t="shared" si="33"/>
        <v>0.03</v>
      </c>
      <c r="BR16" s="41">
        <f t="shared" si="33"/>
        <v>0.03</v>
      </c>
      <c r="BS16" s="40">
        <f t="shared" si="33"/>
        <v>2.9998862894404076E-2</v>
      </c>
      <c r="BT16" s="40">
        <f t="shared" si="33"/>
        <v>0.03</v>
      </c>
      <c r="BU16" s="40">
        <f t="shared" si="33"/>
        <v>0.03</v>
      </c>
      <c r="BV16" s="40">
        <f t="shared" si="33"/>
        <v>0.03</v>
      </c>
      <c r="BW16" s="45"/>
    </row>
    <row r="17" spans="1:75" x14ac:dyDescent="0.2">
      <c r="A17" s="57" t="s">
        <v>280</v>
      </c>
      <c r="B17" s="51"/>
      <c r="C17" s="52"/>
      <c r="D17" s="52"/>
      <c r="E17" s="52"/>
      <c r="F17" s="52"/>
      <c r="G17" s="53"/>
      <c r="H17" s="53"/>
      <c r="I17" s="53"/>
      <c r="J17" s="53"/>
      <c r="K17" s="72">
        <v>0</v>
      </c>
      <c r="L17" s="53"/>
      <c r="M17" s="53"/>
      <c r="N17" s="53"/>
      <c r="O17" s="53"/>
      <c r="P17" s="72">
        <v>5.0000000000000001E-3</v>
      </c>
      <c r="Q17" s="73">
        <v>1.2999999999999999E-2</v>
      </c>
      <c r="R17" s="73">
        <v>0.01</v>
      </c>
      <c r="S17" s="73">
        <v>6.0000000000000001E-3</v>
      </c>
      <c r="T17" s="73">
        <v>5.0000000000000001E-3</v>
      </c>
      <c r="U17" s="72">
        <v>8.0000000000000002E-3</v>
      </c>
      <c r="V17" s="73">
        <v>-5.0000000000000001E-3</v>
      </c>
      <c r="W17" s="73">
        <v>1E-3</v>
      </c>
      <c r="X17" s="73">
        <v>5.0000000000000001E-3</v>
      </c>
      <c r="Y17" s="73">
        <v>4.0000000000000001E-3</v>
      </c>
      <c r="Z17" s="72">
        <v>1E-3</v>
      </c>
      <c r="AA17" s="73">
        <v>2E-3</v>
      </c>
      <c r="AB17" s="73">
        <v>-3.0000000000000001E-3</v>
      </c>
      <c r="AC17" s="73">
        <v>-4.0000000000000001E-3</v>
      </c>
      <c r="AD17" s="73">
        <v>-6.0000000000000001E-3</v>
      </c>
      <c r="AE17" s="72">
        <v>-3.0000000000000001E-3</v>
      </c>
      <c r="AF17" s="73">
        <v>0</v>
      </c>
      <c r="AG17" s="73">
        <v>6.0000000000000001E-3</v>
      </c>
      <c r="AH17" s="73">
        <v>6.0000000000000001E-3</v>
      </c>
      <c r="AI17" s="73">
        <v>6.0000000000000001E-3</v>
      </c>
      <c r="AJ17" s="72">
        <v>5.0000000000000001E-3</v>
      </c>
      <c r="AK17" s="73">
        <v>8.0000000000000002E-3</v>
      </c>
      <c r="AL17" s="73">
        <v>7.0000000000000001E-3</v>
      </c>
      <c r="AM17" s="73">
        <v>8.9999999999999993E-3</v>
      </c>
      <c r="AN17" s="73">
        <v>1.2E-2</v>
      </c>
      <c r="AO17" s="72">
        <v>8.9999999999999993E-3</v>
      </c>
      <c r="AP17" s="73">
        <v>1.9E-2</v>
      </c>
      <c r="AQ17" s="73">
        <v>0.11700000000000001</v>
      </c>
      <c r="AR17" s="73">
        <v>0.14099999999999999</v>
      </c>
      <c r="AS17" s="53">
        <f t="shared" si="29"/>
        <v>0.14912748896769557</v>
      </c>
      <c r="AT17" s="72">
        <v>0.10199999999999999</v>
      </c>
      <c r="AU17" s="73">
        <v>0.16600000000000001</v>
      </c>
      <c r="AV17" s="73">
        <v>-0.55700000000000005</v>
      </c>
      <c r="AW17" s="73">
        <v>2.1000000000000001E-2</v>
      </c>
      <c r="AX17" s="53">
        <f t="shared" si="30"/>
        <v>0.39255917186632799</v>
      </c>
      <c r="AY17" s="72">
        <v>-4.0000000000000001E-3</v>
      </c>
      <c r="AZ17" s="73">
        <v>-8.2000000000000003E-2</v>
      </c>
      <c r="BA17" s="73">
        <v>-5.7000000000000002E-2</v>
      </c>
      <c r="BB17" s="73">
        <v>-0.05</v>
      </c>
      <c r="BC17" s="53">
        <f t="shared" si="31"/>
        <v>-4.0653631682498935E-2</v>
      </c>
      <c r="BD17" s="72">
        <v>-5.7000000000000002E-2</v>
      </c>
      <c r="BE17" s="73">
        <v>-5.7000000000000002E-2</v>
      </c>
      <c r="BF17" s="73">
        <v>-5.3999999999999999E-2</v>
      </c>
      <c r="BG17" s="73">
        <v>-6.0999999999999999E-2</v>
      </c>
      <c r="BH17" s="53">
        <f t="shared" si="32"/>
        <v>-4.433331561481977E-2</v>
      </c>
      <c r="BI17" s="74">
        <v>-5.3999999999999999E-2</v>
      </c>
      <c r="BJ17" s="53">
        <f t="shared" si="33"/>
        <v>-0.02</v>
      </c>
      <c r="BK17" s="53">
        <f t="shared" si="33"/>
        <v>-0.01</v>
      </c>
      <c r="BL17" s="53">
        <f t="shared" si="33"/>
        <v>-0.01</v>
      </c>
      <c r="BM17" s="53">
        <f t="shared" si="33"/>
        <v>-0.01</v>
      </c>
      <c r="BN17" s="52">
        <f t="shared" si="33"/>
        <v>-1.2523741366712882E-2</v>
      </c>
      <c r="BO17" s="53">
        <f t="shared" si="33"/>
        <v>-0.01</v>
      </c>
      <c r="BP17" s="53">
        <f t="shared" si="33"/>
        <v>-0.01</v>
      </c>
      <c r="BQ17" s="53">
        <f t="shared" si="33"/>
        <v>-0.01</v>
      </c>
      <c r="BR17" s="53">
        <f t="shared" si="33"/>
        <v>-0.01</v>
      </c>
      <c r="BS17" s="52">
        <f t="shared" si="33"/>
        <v>-9.9996209648013593E-3</v>
      </c>
      <c r="BT17" s="52">
        <f t="shared" si="33"/>
        <v>5.0000000000000001E-3</v>
      </c>
      <c r="BU17" s="52">
        <f t="shared" si="33"/>
        <v>5.0000000000000001E-3</v>
      </c>
      <c r="BV17" s="52">
        <f t="shared" si="33"/>
        <v>5.0000000000000001E-3</v>
      </c>
      <c r="BW17" s="45"/>
    </row>
    <row r="18" spans="1:75" x14ac:dyDescent="0.2">
      <c r="A18" s="75" t="s">
        <v>281</v>
      </c>
      <c r="B18" s="76"/>
      <c r="C18" s="77"/>
      <c r="D18" s="77"/>
      <c r="E18" s="77"/>
      <c r="F18" s="77"/>
      <c r="G18" s="78"/>
      <c r="H18" s="78"/>
      <c r="I18" s="78"/>
      <c r="J18" s="78"/>
      <c r="K18" s="77">
        <f>K16+K17</f>
        <v>1.7999999999999999E-2</v>
      </c>
      <c r="L18" s="78"/>
      <c r="M18" s="78"/>
      <c r="N18" s="78"/>
      <c r="O18" s="78"/>
      <c r="P18" s="77">
        <f t="shared" ref="P18:BI18" si="34">P16+P17</f>
        <v>2.5000000000000001E-2</v>
      </c>
      <c r="Q18" s="78">
        <f t="shared" si="34"/>
        <v>3.3000000000000002E-2</v>
      </c>
      <c r="R18" s="78">
        <f t="shared" si="34"/>
        <v>0.03</v>
      </c>
      <c r="S18" s="78">
        <f t="shared" si="34"/>
        <v>2.7000000000000003E-2</v>
      </c>
      <c r="T18" s="78">
        <f t="shared" si="34"/>
        <v>3.0000000000000002E-2</v>
      </c>
      <c r="U18" s="77">
        <f t="shared" si="34"/>
        <v>0.03</v>
      </c>
      <c r="V18" s="78">
        <f t="shared" si="34"/>
        <v>2.1999999999999999E-2</v>
      </c>
      <c r="W18" s="78">
        <f t="shared" si="34"/>
        <v>3.0000000000000002E-2</v>
      </c>
      <c r="X18" s="78">
        <f t="shared" si="34"/>
        <v>3.1E-2</v>
      </c>
      <c r="Y18" s="78">
        <f t="shared" si="34"/>
        <v>2.9000000000000001E-2</v>
      </c>
      <c r="Z18" s="77">
        <f t="shared" si="34"/>
        <v>2.8000000000000001E-2</v>
      </c>
      <c r="AA18" s="78">
        <f t="shared" si="34"/>
        <v>2.6000000000000002E-2</v>
      </c>
      <c r="AB18" s="78">
        <f t="shared" si="34"/>
        <v>1.9E-2</v>
      </c>
      <c r="AC18" s="78">
        <f t="shared" si="34"/>
        <v>0.02</v>
      </c>
      <c r="AD18" s="78">
        <f t="shared" si="34"/>
        <v>1.9000000000000003E-2</v>
      </c>
      <c r="AE18" s="77">
        <f t="shared" si="34"/>
        <v>2.1000000000000001E-2</v>
      </c>
      <c r="AF18" s="78">
        <f t="shared" si="34"/>
        <v>2.7E-2</v>
      </c>
      <c r="AG18" s="78">
        <f t="shared" si="34"/>
        <v>3.5000000000000003E-2</v>
      </c>
      <c r="AH18" s="78">
        <f t="shared" si="34"/>
        <v>3.5000000000000003E-2</v>
      </c>
      <c r="AI18" s="78">
        <f t="shared" si="34"/>
        <v>3.5000000000000003E-2</v>
      </c>
      <c r="AJ18" s="77">
        <f t="shared" si="34"/>
        <v>3.3000000000000002E-2</v>
      </c>
      <c r="AK18" s="78">
        <f t="shared" si="34"/>
        <v>3.7999999999999999E-2</v>
      </c>
      <c r="AL18" s="78">
        <f t="shared" si="34"/>
        <v>3.7999999999999999E-2</v>
      </c>
      <c r="AM18" s="78">
        <f t="shared" si="34"/>
        <v>4.1000000000000002E-2</v>
      </c>
      <c r="AN18" s="78">
        <f t="shared" si="34"/>
        <v>4.3999999999999997E-2</v>
      </c>
      <c r="AO18" s="77">
        <f t="shared" si="34"/>
        <v>0.04</v>
      </c>
      <c r="AP18" s="78">
        <f t="shared" si="34"/>
        <v>5.1000000000000004E-2</v>
      </c>
      <c r="AQ18" s="78">
        <f t="shared" si="34"/>
        <v>0.14800000000000002</v>
      </c>
      <c r="AR18" s="78">
        <f t="shared" si="34"/>
        <v>0.17099999999999999</v>
      </c>
      <c r="AS18" s="78">
        <f t="shared" si="34"/>
        <v>0.17996445716501133</v>
      </c>
      <c r="AT18" s="77">
        <f t="shared" si="34"/>
        <v>0.13300000000000001</v>
      </c>
      <c r="AU18" s="78">
        <f t="shared" si="34"/>
        <v>0.19600000000000001</v>
      </c>
      <c r="AV18" s="78">
        <f t="shared" si="34"/>
        <v>-0.52700000000000002</v>
      </c>
      <c r="AW18" s="78">
        <f t="shared" si="34"/>
        <v>5.1000000000000004E-2</v>
      </c>
      <c r="AX18" s="78">
        <f t="shared" si="34"/>
        <v>0.42255917186632797</v>
      </c>
      <c r="AY18" s="77">
        <f t="shared" si="34"/>
        <v>2.5999999999999999E-2</v>
      </c>
      <c r="AZ18" s="78">
        <f t="shared" si="34"/>
        <v>-4.6000000000000006E-2</v>
      </c>
      <c r="BA18" s="78">
        <f t="shared" si="34"/>
        <v>-1.0000000000000002E-2</v>
      </c>
      <c r="BB18" s="78">
        <f t="shared" si="34"/>
        <v>9.999999999999995E-3</v>
      </c>
      <c r="BC18" s="78">
        <f t="shared" si="34"/>
        <v>4.9649844988709578E-2</v>
      </c>
      <c r="BD18" s="77">
        <f t="shared" si="34"/>
        <v>1.9999999999999948E-3</v>
      </c>
      <c r="BE18" s="78">
        <f t="shared" si="34"/>
        <v>4.6999999999999993E-2</v>
      </c>
      <c r="BF18" s="78">
        <f t="shared" si="34"/>
        <v>5.1999999999999998E-2</v>
      </c>
      <c r="BG18" s="78">
        <f t="shared" si="34"/>
        <v>3.4000000000000002E-2</v>
      </c>
      <c r="BH18" s="78">
        <f t="shared" si="34"/>
        <v>2.6858534881425138E-2</v>
      </c>
      <c r="BI18" s="79">
        <f t="shared" si="34"/>
        <v>0.04</v>
      </c>
      <c r="BJ18" s="78">
        <f t="shared" si="33"/>
        <v>2.4999999999999998E-2</v>
      </c>
      <c r="BK18" s="78">
        <f t="shared" si="33"/>
        <v>3.4999999999999996E-2</v>
      </c>
      <c r="BL18" s="78">
        <f t="shared" si="33"/>
        <v>3.4999999999999996E-2</v>
      </c>
      <c r="BM18" s="78">
        <f t="shared" si="33"/>
        <v>3.4999999999999996E-2</v>
      </c>
      <c r="BN18" s="77">
        <f t="shared" si="33"/>
        <v>3.2465775177306817E-2</v>
      </c>
      <c r="BO18" s="78">
        <f t="shared" si="33"/>
        <v>1.9999999999999997E-2</v>
      </c>
      <c r="BP18" s="78">
        <f t="shared" si="33"/>
        <v>1.9999999999999997E-2</v>
      </c>
      <c r="BQ18" s="78">
        <f t="shared" si="33"/>
        <v>1.9999999999999997E-2</v>
      </c>
      <c r="BR18" s="78">
        <f t="shared" si="33"/>
        <v>1.9999999999999997E-2</v>
      </c>
      <c r="BS18" s="77">
        <f t="shared" si="33"/>
        <v>1.9999241929602715E-2</v>
      </c>
      <c r="BT18" s="77">
        <f t="shared" si="33"/>
        <v>3.4999999999999996E-2</v>
      </c>
      <c r="BU18" s="77">
        <f t="shared" si="33"/>
        <v>3.4999999999999996E-2</v>
      </c>
      <c r="BV18" s="77">
        <f t="shared" si="33"/>
        <v>3.4999999999999996E-2</v>
      </c>
      <c r="BW18" s="45"/>
    </row>
    <row r="19" spans="1:75" x14ac:dyDescent="0.2">
      <c r="A19" s="57" t="s">
        <v>282</v>
      </c>
      <c r="B19" s="51"/>
      <c r="C19" s="52"/>
      <c r="D19" s="52"/>
      <c r="E19" s="52"/>
      <c r="F19" s="52"/>
      <c r="G19" s="53"/>
      <c r="H19" s="53"/>
      <c r="I19" s="53"/>
      <c r="J19" s="53"/>
      <c r="K19" s="72">
        <v>-7.0000000000000001E-3</v>
      </c>
      <c r="L19" s="53"/>
      <c r="M19" s="53"/>
      <c r="N19" s="53"/>
      <c r="O19" s="53"/>
      <c r="P19" s="72">
        <v>-0.01</v>
      </c>
      <c r="Q19" s="73">
        <v>8.9999999999999993E-3</v>
      </c>
      <c r="R19" s="73">
        <v>-2E-3</v>
      </c>
      <c r="S19" s="73">
        <v>-5.0000000000000001E-3</v>
      </c>
      <c r="T19" s="73">
        <v>-1.9E-2</v>
      </c>
      <c r="U19" s="72">
        <v>-4.0000000000000001E-3</v>
      </c>
      <c r="V19" s="73">
        <v>-5.0000000000000001E-3</v>
      </c>
      <c r="W19" s="73">
        <v>-2.7E-2</v>
      </c>
      <c r="X19" s="73">
        <v>-1.4E-2</v>
      </c>
      <c r="Y19" s="73">
        <v>-1.7999999999999999E-2</v>
      </c>
      <c r="Z19" s="72">
        <v>-1.6E-2</v>
      </c>
      <c r="AA19" s="73">
        <v>-2.3E-2</v>
      </c>
      <c r="AB19" s="73">
        <v>-2.4E-2</v>
      </c>
      <c r="AC19" s="73">
        <v>-4.2999999999999997E-2</v>
      </c>
      <c r="AD19" s="73">
        <v>-2.8000000000000001E-2</v>
      </c>
      <c r="AE19" s="72">
        <v>-2.9000000000000001E-2</v>
      </c>
      <c r="AF19" s="73">
        <v>-6.0000000000000001E-3</v>
      </c>
      <c r="AG19" s="73">
        <v>-2.1000000000000001E-2</v>
      </c>
      <c r="AH19" s="73">
        <v>-0.02</v>
      </c>
      <c r="AI19" s="73">
        <v>-1.6E-2</v>
      </c>
      <c r="AJ19" s="72">
        <v>-1.6E-2</v>
      </c>
      <c r="AK19" s="73">
        <v>-2.5000000000000001E-2</v>
      </c>
      <c r="AL19" s="73">
        <v>-2.8000000000000001E-2</v>
      </c>
      <c r="AM19" s="73">
        <v>-3.6999999999999998E-2</v>
      </c>
      <c r="AN19" s="73">
        <v>-3.7999999999999999E-2</v>
      </c>
      <c r="AO19" s="72">
        <v>-3.2000000000000001E-2</v>
      </c>
      <c r="AP19" s="73">
        <v>-0.18</v>
      </c>
      <c r="AQ19" s="73">
        <v>-0.71699999999999997</v>
      </c>
      <c r="AR19" s="73">
        <v>-0.40400000000000003</v>
      </c>
      <c r="AS19" s="53">
        <f>AS20-AS18</f>
        <v>-0.37496445716501137</v>
      </c>
      <c r="AT19" s="72">
        <v>-0.41499999999999998</v>
      </c>
      <c r="AU19" s="73">
        <v>-0.16800000000000001</v>
      </c>
      <c r="AV19" s="73">
        <v>2.0270000000000001</v>
      </c>
      <c r="AW19" s="73">
        <v>0.42899999999999999</v>
      </c>
      <c r="AX19" s="53">
        <f>AX20-AX18</f>
        <v>-8.4559171866327942E-2</v>
      </c>
      <c r="AY19" s="72">
        <v>0.41399999999999998</v>
      </c>
      <c r="AZ19" s="73">
        <v>0.253</v>
      </c>
      <c r="BA19" s="73">
        <v>5.7000000000000002E-2</v>
      </c>
      <c r="BB19" s="73">
        <v>1E-3</v>
      </c>
      <c r="BC19" s="53">
        <f>BC20-BC18</f>
        <v>-9.6498449887095772E-3</v>
      </c>
      <c r="BD19" s="72">
        <v>6.8000000000000005E-2</v>
      </c>
      <c r="BE19" s="73">
        <v>0.01</v>
      </c>
      <c r="BF19" s="73">
        <v>-3.6999999999999998E-2</v>
      </c>
      <c r="BG19" s="48">
        <v>-0.01</v>
      </c>
      <c r="BH19" s="41">
        <f>BH20-BH18</f>
        <v>-1.8585348814251362E-3</v>
      </c>
      <c r="BI19" s="74">
        <v>-0.01</v>
      </c>
      <c r="BJ19" s="53">
        <f t="shared" si="33"/>
        <v>-0.02</v>
      </c>
      <c r="BK19" s="53">
        <f t="shared" si="33"/>
        <v>-0.02</v>
      </c>
      <c r="BL19" s="53">
        <f t="shared" si="33"/>
        <v>-0.02</v>
      </c>
      <c r="BM19" s="53">
        <f t="shared" si="33"/>
        <v>-0.02</v>
      </c>
      <c r="BN19" s="52">
        <f t="shared" si="33"/>
        <v>-1.9995340686230979E-2</v>
      </c>
      <c r="BO19" s="53">
        <f t="shared" si="33"/>
        <v>-0.02</v>
      </c>
      <c r="BP19" s="53">
        <f t="shared" si="33"/>
        <v>-0.02</v>
      </c>
      <c r="BQ19" s="53">
        <f t="shared" si="33"/>
        <v>-0.02</v>
      </c>
      <c r="BR19" s="53">
        <f t="shared" si="33"/>
        <v>-0.02</v>
      </c>
      <c r="BS19" s="52">
        <f t="shared" si="33"/>
        <v>-1.9999241929602715E-2</v>
      </c>
      <c r="BT19" s="52">
        <f t="shared" si="33"/>
        <v>0.01</v>
      </c>
      <c r="BU19" s="52">
        <f t="shared" si="33"/>
        <v>0.01</v>
      </c>
      <c r="BV19" s="52">
        <f t="shared" si="33"/>
        <v>0.01</v>
      </c>
      <c r="BW19" s="45"/>
    </row>
    <row r="20" spans="1:75" x14ac:dyDescent="0.2">
      <c r="A20" s="47" t="s">
        <v>491</v>
      </c>
      <c r="B20" s="39"/>
      <c r="C20" s="49">
        <v>-2.3E-2</v>
      </c>
      <c r="D20" s="49">
        <v>0.02</v>
      </c>
      <c r="E20" s="49">
        <v>0.02</v>
      </c>
      <c r="F20" s="49">
        <v>2.1999999999999999E-2</v>
      </c>
      <c r="G20" s="48">
        <v>1.6E-2</v>
      </c>
      <c r="H20" s="48">
        <v>8.9999999999999993E-3</v>
      </c>
      <c r="I20" s="48">
        <v>0.01</v>
      </c>
      <c r="J20" s="48">
        <v>1.0999999999999999E-2</v>
      </c>
      <c r="K20" s="49">
        <v>1.0999999999999999E-2</v>
      </c>
      <c r="L20" s="48">
        <v>1.2E-2</v>
      </c>
      <c r="M20" s="48">
        <v>1.4999999999999999E-2</v>
      </c>
      <c r="N20" s="48">
        <v>2.1000000000000001E-2</v>
      </c>
      <c r="O20" s="48">
        <v>1.4E-2</v>
      </c>
      <c r="P20" s="49">
        <v>1.4999999999999999E-2</v>
      </c>
      <c r="Q20" s="48">
        <v>4.2000000000000003E-2</v>
      </c>
      <c r="R20" s="48">
        <v>2.8000000000000001E-2</v>
      </c>
      <c r="S20" s="48">
        <v>2.1999999999999999E-2</v>
      </c>
      <c r="T20" s="48">
        <v>1.0999999999999999E-2</v>
      </c>
      <c r="U20" s="49">
        <v>2.5999999999999999E-2</v>
      </c>
      <c r="V20" s="48">
        <v>1.7000000000000001E-2</v>
      </c>
      <c r="W20" s="48">
        <v>3.0000000000000001E-3</v>
      </c>
      <c r="X20" s="48">
        <v>1.7000000000000001E-2</v>
      </c>
      <c r="Y20" s="48">
        <v>1.0999999999999999E-2</v>
      </c>
      <c r="Z20" s="49">
        <v>1.2E-2</v>
      </c>
      <c r="AA20" s="48">
        <v>3.0000000000000001E-3</v>
      </c>
      <c r="AB20" s="48">
        <v>-5.0000000000000001E-3</v>
      </c>
      <c r="AC20" s="48">
        <v>-2.3E-2</v>
      </c>
      <c r="AD20" s="48">
        <v>-8.9999999999999993E-3</v>
      </c>
      <c r="AE20" s="49">
        <v>-8.0000000000000002E-3</v>
      </c>
      <c r="AF20" s="48">
        <v>2.1000000000000001E-2</v>
      </c>
      <c r="AG20" s="48">
        <v>1.4E-2</v>
      </c>
      <c r="AH20" s="48">
        <v>1.4999999999999999E-2</v>
      </c>
      <c r="AI20" s="48">
        <v>1.9E-2</v>
      </c>
      <c r="AJ20" s="49">
        <v>1.7000000000000001E-2</v>
      </c>
      <c r="AK20" s="48">
        <v>1.2999999999999999E-2</v>
      </c>
      <c r="AL20" s="48">
        <v>0.01</v>
      </c>
      <c r="AM20" s="48">
        <v>4.0000000000000001E-3</v>
      </c>
      <c r="AN20" s="48">
        <v>6.0000000000000001E-3</v>
      </c>
      <c r="AO20" s="49">
        <v>8.0000000000000002E-3</v>
      </c>
      <c r="AP20" s="48">
        <v>-0.129</v>
      </c>
      <c r="AQ20" s="48">
        <v>-0.56899999999999995</v>
      </c>
      <c r="AR20" s="48">
        <v>-0.23300000000000001</v>
      </c>
      <c r="AS20" s="48">
        <v>-0.19500000000000001</v>
      </c>
      <c r="AT20" s="49">
        <v>-0.28199999999999997</v>
      </c>
      <c r="AU20" s="48">
        <v>2.8000000000000001E-2</v>
      </c>
      <c r="AV20" s="48">
        <v>1.5</v>
      </c>
      <c r="AW20" s="48">
        <v>0.48</v>
      </c>
      <c r="AX20" s="48">
        <v>0.33800000000000002</v>
      </c>
      <c r="AY20" s="49">
        <v>0.44</v>
      </c>
      <c r="AZ20" s="48">
        <v>0.20699999999999999</v>
      </c>
      <c r="BA20" s="48">
        <v>4.7E-2</v>
      </c>
      <c r="BB20" s="48">
        <v>1.0999999999999999E-2</v>
      </c>
      <c r="BC20" s="48">
        <v>0.04</v>
      </c>
      <c r="BD20" s="49">
        <v>7.0000000000000007E-2</v>
      </c>
      <c r="BE20" s="48">
        <v>5.7000000000000002E-2</v>
      </c>
      <c r="BF20" s="48">
        <v>1.4999999999999999E-2</v>
      </c>
      <c r="BG20" s="80">
        <v>2.4E-2</v>
      </c>
      <c r="BH20" s="80">
        <v>2.5000000000000001E-2</v>
      </c>
      <c r="BI20" s="71">
        <v>0.03</v>
      </c>
      <c r="BJ20" s="41">
        <f t="shared" si="33"/>
        <v>4.9999999999999975E-3</v>
      </c>
      <c r="BK20" s="41">
        <f t="shared" si="33"/>
        <v>1.4999999999999996E-2</v>
      </c>
      <c r="BL20" s="41">
        <f t="shared" si="33"/>
        <v>1.4999999999999996E-2</v>
      </c>
      <c r="BM20" s="41">
        <f t="shared" si="33"/>
        <v>1.4999999999999996E-2</v>
      </c>
      <c r="BN20" s="40">
        <f t="shared" si="33"/>
        <v>1.2470434491075839E-2</v>
      </c>
      <c r="BO20" s="41">
        <f t="shared" si="33"/>
        <v>0</v>
      </c>
      <c r="BP20" s="41">
        <f t="shared" si="33"/>
        <v>0</v>
      </c>
      <c r="BQ20" s="41">
        <f t="shared" si="33"/>
        <v>0</v>
      </c>
      <c r="BR20" s="41">
        <f t="shared" si="33"/>
        <v>0</v>
      </c>
      <c r="BS20" s="40">
        <f t="shared" si="33"/>
        <v>0</v>
      </c>
      <c r="BT20" s="40">
        <f t="shared" si="33"/>
        <v>4.4999999999999998E-2</v>
      </c>
      <c r="BU20" s="40">
        <f t="shared" si="33"/>
        <v>4.4999999999999998E-2</v>
      </c>
      <c r="BV20" s="40">
        <f t="shared" si="33"/>
        <v>4.4999999999999998E-2</v>
      </c>
      <c r="BW20" s="45"/>
    </row>
    <row r="21" spans="1:75" ht="15.75" customHeight="1" x14ac:dyDescent="0.2">
      <c r="A21" s="47" t="s">
        <v>492</v>
      </c>
      <c r="B21" s="39"/>
      <c r="C21" s="40"/>
      <c r="D21" s="40"/>
      <c r="E21" s="40"/>
      <c r="F21" s="40"/>
      <c r="G21" s="41"/>
      <c r="H21" s="41"/>
      <c r="I21" s="41"/>
      <c r="J21" s="41"/>
      <c r="K21" s="40"/>
      <c r="L21" s="41"/>
      <c r="M21" s="41"/>
      <c r="N21" s="41"/>
      <c r="O21" s="41"/>
      <c r="P21" s="40"/>
      <c r="Q21" s="41"/>
      <c r="R21" s="41"/>
      <c r="S21" s="41"/>
      <c r="T21" s="41"/>
      <c r="U21" s="40"/>
      <c r="V21" s="41"/>
      <c r="W21" s="41"/>
      <c r="X21" s="41"/>
      <c r="Y21" s="41"/>
      <c r="Z21" s="40"/>
      <c r="AA21" s="41"/>
      <c r="AB21" s="41"/>
      <c r="AC21" s="41"/>
      <c r="AD21" s="41"/>
      <c r="AE21" s="40"/>
      <c r="AF21" s="41"/>
      <c r="AG21" s="41"/>
      <c r="AH21" s="41"/>
      <c r="AI21" s="41"/>
      <c r="AJ21" s="40"/>
      <c r="AK21" s="41"/>
      <c r="AL21" s="41"/>
      <c r="AM21" s="41"/>
      <c r="AN21" s="48">
        <v>0.04</v>
      </c>
      <c r="AO21" s="40"/>
      <c r="AP21" s="48">
        <v>-0.12</v>
      </c>
      <c r="AQ21" s="48">
        <v>-0.59</v>
      </c>
      <c r="AR21" s="48">
        <v>-0.22</v>
      </c>
      <c r="AS21" s="48">
        <v>-0.18</v>
      </c>
      <c r="AT21" s="49">
        <v>-0.28000000000000003</v>
      </c>
      <c r="AU21" s="48">
        <v>0.05</v>
      </c>
      <c r="AV21" s="48">
        <v>1.8199999999999998</v>
      </c>
      <c r="AW21" s="48">
        <v>0.53</v>
      </c>
      <c r="AX21" s="48">
        <v>0.37</v>
      </c>
      <c r="AY21" s="49">
        <v>0.48</v>
      </c>
      <c r="AZ21" s="48">
        <v>0.29199999999999998</v>
      </c>
      <c r="BA21" s="48">
        <v>0.12</v>
      </c>
      <c r="BB21" s="48">
        <v>0.1</v>
      </c>
      <c r="BC21" s="48">
        <v>0.09</v>
      </c>
      <c r="BD21" s="49">
        <v>0.15</v>
      </c>
      <c r="BE21" s="48">
        <v>0.09</v>
      </c>
      <c r="BF21" s="48">
        <v>0.08</v>
      </c>
      <c r="BG21" s="48">
        <v>0.08</v>
      </c>
      <c r="BH21" s="48">
        <v>7.0000000000000007E-2</v>
      </c>
      <c r="BI21" s="71">
        <v>0.08</v>
      </c>
      <c r="BJ21" s="41">
        <f t="shared" ref="BJ21:BV21" si="35">BJ131</f>
        <v>0.03</v>
      </c>
      <c r="BK21" s="41">
        <f t="shared" si="35"/>
        <v>0.03</v>
      </c>
      <c r="BL21" s="41">
        <f t="shared" si="35"/>
        <v>0.03</v>
      </c>
      <c r="BM21" s="41">
        <f t="shared" si="35"/>
        <v>0.03</v>
      </c>
      <c r="BN21" s="40">
        <f t="shared" si="35"/>
        <v>2.9998581289505673E-2</v>
      </c>
      <c r="BO21" s="41">
        <f t="shared" si="35"/>
        <v>0.03</v>
      </c>
      <c r="BP21" s="41">
        <f t="shared" si="35"/>
        <v>0.03</v>
      </c>
      <c r="BQ21" s="41">
        <f t="shared" si="35"/>
        <v>0.03</v>
      </c>
      <c r="BR21" s="41">
        <f t="shared" si="35"/>
        <v>0.03</v>
      </c>
      <c r="BS21" s="40">
        <f t="shared" si="35"/>
        <v>2.9999484434172066E-2</v>
      </c>
      <c r="BT21" s="40">
        <f t="shared" si="35"/>
        <v>0.03</v>
      </c>
      <c r="BU21" s="40">
        <f t="shared" si="35"/>
        <v>0.03</v>
      </c>
      <c r="BV21" s="40">
        <f t="shared" si="35"/>
        <v>0.03</v>
      </c>
      <c r="BW21" s="45"/>
    </row>
    <row r="22" spans="1:75" ht="15.75" hidden="1" customHeight="1" outlineLevel="1" x14ac:dyDescent="0.2">
      <c r="A22" s="47" t="s">
        <v>493</v>
      </c>
      <c r="B22" s="39"/>
      <c r="C22" s="49">
        <v>-5.0999999999999997E-2</v>
      </c>
      <c r="D22" s="49">
        <v>1.4999999999999999E-2</v>
      </c>
      <c r="E22" s="49">
        <v>-3.0000000000000001E-3</v>
      </c>
      <c r="F22" s="49">
        <v>-0.02</v>
      </c>
      <c r="G22" s="48">
        <v>-8.9999999999999993E-3</v>
      </c>
      <c r="H22" s="48">
        <v>1E-3</v>
      </c>
      <c r="I22" s="48">
        <v>-2.5999999999999999E-2</v>
      </c>
      <c r="J22" s="48">
        <v>-1.0999999999999999E-2</v>
      </c>
      <c r="K22" s="49">
        <v>-1.0999999999999999E-2</v>
      </c>
      <c r="L22" s="48">
        <v>-2.9000000000000001E-2</v>
      </c>
      <c r="M22" s="48">
        <v>-2.7E-2</v>
      </c>
      <c r="N22" s="48">
        <v>-0.02</v>
      </c>
      <c r="O22" s="41"/>
      <c r="P22" s="49">
        <v>-3.1E-2</v>
      </c>
      <c r="Q22" s="48">
        <v>-1.9E-2</v>
      </c>
      <c r="R22" s="48">
        <v>-2.5999999999999999E-2</v>
      </c>
      <c r="S22" s="48">
        <v>-3.7999999999999999E-2</v>
      </c>
      <c r="T22" s="41"/>
      <c r="U22" s="49">
        <v>-2.3E-2</v>
      </c>
      <c r="V22" s="48">
        <v>3.1E-2</v>
      </c>
      <c r="W22" s="48">
        <v>2.1999999999999999E-2</v>
      </c>
      <c r="X22" s="48">
        <v>3.4000000000000002E-2</v>
      </c>
      <c r="Y22" s="48">
        <v>-8.0000000000000002E-3</v>
      </c>
      <c r="Z22" s="49">
        <v>2.1999999999999999E-2</v>
      </c>
      <c r="AA22" s="48">
        <v>-2.8000000000000001E-2</v>
      </c>
      <c r="AB22" s="48">
        <v>-1.2999999999999999E-2</v>
      </c>
      <c r="AC22" s="48">
        <v>-3.5000000000000003E-2</v>
      </c>
      <c r="AD22" s="48">
        <v>1E-3</v>
      </c>
      <c r="AE22" s="49">
        <v>-1.9E-2</v>
      </c>
      <c r="AF22" s="48">
        <v>-1.4999999999999999E-2</v>
      </c>
      <c r="AG22" s="48">
        <v>-3.5000000000000003E-2</v>
      </c>
      <c r="AH22" s="48">
        <v>-3.1E-2</v>
      </c>
      <c r="AI22" s="48">
        <v>-3.3000000000000002E-2</v>
      </c>
      <c r="AJ22" s="40"/>
      <c r="AK22" s="41"/>
      <c r="AL22" s="41"/>
      <c r="AM22" s="41"/>
      <c r="AN22" s="41"/>
      <c r="AO22" s="40"/>
      <c r="AP22" s="41"/>
      <c r="AQ22" s="41"/>
      <c r="AR22" s="41"/>
      <c r="AS22" s="41"/>
      <c r="AT22" s="40"/>
      <c r="AU22" s="41"/>
      <c r="AV22" s="41"/>
      <c r="AW22" s="41"/>
      <c r="AX22" s="41"/>
      <c r="AY22" s="40"/>
      <c r="AZ22" s="41"/>
      <c r="BA22" s="41"/>
      <c r="BB22" s="41"/>
      <c r="BC22" s="41"/>
      <c r="BD22" s="40"/>
      <c r="BE22" s="41"/>
      <c r="BF22" s="41"/>
      <c r="BG22" s="41"/>
      <c r="BH22" s="41"/>
      <c r="BI22" s="46"/>
      <c r="BJ22" s="41"/>
      <c r="BK22" s="41"/>
      <c r="BL22" s="41"/>
      <c r="BM22" s="41"/>
      <c r="BN22" s="40"/>
      <c r="BO22" s="41"/>
      <c r="BP22" s="41"/>
      <c r="BQ22" s="41"/>
      <c r="BR22" s="41"/>
      <c r="BS22" s="40"/>
      <c r="BT22" s="40"/>
      <c r="BU22" s="40"/>
      <c r="BV22" s="40"/>
      <c r="BW22" s="45"/>
    </row>
    <row r="23" spans="1:75" ht="15.75" hidden="1" customHeight="1" outlineLevel="1" x14ac:dyDescent="0.2">
      <c r="A23" s="47" t="s">
        <v>494</v>
      </c>
      <c r="B23" s="39"/>
      <c r="C23" s="49">
        <v>-2.5999999999999999E-2</v>
      </c>
      <c r="D23" s="49">
        <v>0.02</v>
      </c>
      <c r="E23" s="49">
        <v>1.7999999999999999E-2</v>
      </c>
      <c r="F23" s="49">
        <v>1.9E-2</v>
      </c>
      <c r="G23" s="48">
        <v>1.4E-2</v>
      </c>
      <c r="H23" s="48">
        <v>8.0000000000000002E-3</v>
      </c>
      <c r="I23" s="48">
        <v>8.0000000000000002E-3</v>
      </c>
      <c r="J23" s="48">
        <v>1.6E-2</v>
      </c>
      <c r="K23" s="49">
        <v>0.01</v>
      </c>
      <c r="L23" s="41"/>
      <c r="M23" s="41"/>
      <c r="N23" s="41"/>
      <c r="O23" s="41"/>
      <c r="P23" s="40"/>
      <c r="Q23" s="41"/>
      <c r="R23" s="41"/>
      <c r="S23" s="41"/>
      <c r="T23" s="41"/>
      <c r="U23" s="40"/>
      <c r="V23" s="41"/>
      <c r="W23" s="41"/>
      <c r="X23" s="41"/>
      <c r="Y23" s="41"/>
      <c r="Z23" s="40"/>
      <c r="AA23" s="41"/>
      <c r="AB23" s="41"/>
      <c r="AC23" s="41"/>
      <c r="AD23" s="41"/>
      <c r="AE23" s="40"/>
      <c r="AF23" s="41"/>
      <c r="AG23" s="41"/>
      <c r="AH23" s="41"/>
      <c r="AI23" s="41"/>
      <c r="AJ23" s="40"/>
      <c r="AK23" s="41"/>
      <c r="AL23" s="41"/>
      <c r="AM23" s="41"/>
      <c r="AN23" s="41"/>
      <c r="AO23" s="40"/>
      <c r="AP23" s="41"/>
      <c r="AQ23" s="41"/>
      <c r="AR23" s="41"/>
      <c r="AS23" s="41"/>
      <c r="AT23" s="40"/>
      <c r="AU23" s="41"/>
      <c r="AV23" s="41"/>
      <c r="AW23" s="41"/>
      <c r="AX23" s="41"/>
      <c r="AY23" s="40"/>
      <c r="AZ23" s="41"/>
      <c r="BA23" s="41"/>
      <c r="BB23" s="41"/>
      <c r="BC23" s="41"/>
      <c r="BD23" s="40"/>
      <c r="BE23" s="41"/>
      <c r="BF23" s="41"/>
      <c r="BG23" s="41"/>
      <c r="BH23" s="41"/>
      <c r="BI23" s="46"/>
      <c r="BJ23" s="41"/>
      <c r="BK23" s="41"/>
      <c r="BL23" s="41"/>
      <c r="BM23" s="41"/>
      <c r="BN23" s="40"/>
      <c r="BO23" s="41"/>
      <c r="BP23" s="41"/>
      <c r="BQ23" s="41"/>
      <c r="BR23" s="41"/>
      <c r="BS23" s="40"/>
      <c r="BT23" s="40"/>
      <c r="BU23" s="40"/>
      <c r="BV23" s="40"/>
      <c r="BW23" s="45"/>
    </row>
    <row r="24" spans="1:75" ht="15.75" customHeight="1" collapsed="1" x14ac:dyDescent="0.2">
      <c r="A24" s="47"/>
      <c r="B24" s="39"/>
      <c r="C24" s="40"/>
      <c r="D24" s="40"/>
      <c r="E24" s="40"/>
      <c r="F24" s="40"/>
      <c r="G24" s="41"/>
      <c r="H24" s="41"/>
      <c r="I24" s="41"/>
      <c r="J24" s="41"/>
      <c r="K24" s="40"/>
      <c r="L24" s="41"/>
      <c r="M24" s="41"/>
      <c r="N24" s="41"/>
      <c r="O24" s="41"/>
      <c r="P24" s="40"/>
      <c r="Q24" s="41"/>
      <c r="R24" s="41"/>
      <c r="S24" s="41"/>
      <c r="T24" s="41"/>
      <c r="U24" s="40"/>
      <c r="V24" s="41"/>
      <c r="W24" s="41"/>
      <c r="X24" s="41"/>
      <c r="Y24" s="41"/>
      <c r="Z24" s="40"/>
      <c r="AA24" s="41"/>
      <c r="AB24" s="41"/>
      <c r="AC24" s="41"/>
      <c r="AD24" s="41"/>
      <c r="AE24" s="40"/>
      <c r="AF24" s="41"/>
      <c r="AG24" s="41"/>
      <c r="AH24" s="41"/>
      <c r="AI24" s="41"/>
      <c r="AJ24" s="40"/>
      <c r="AK24" s="41"/>
      <c r="AL24" s="41"/>
      <c r="AM24" s="41"/>
      <c r="AN24" s="41"/>
      <c r="AO24" s="40"/>
      <c r="AP24" s="41"/>
      <c r="AQ24" s="41"/>
      <c r="AR24" s="41"/>
      <c r="AS24" s="41"/>
      <c r="AT24" s="40"/>
      <c r="AU24" s="41"/>
      <c r="AV24" s="41"/>
      <c r="AW24" s="41"/>
      <c r="AX24" s="41"/>
      <c r="AY24" s="40"/>
      <c r="AZ24" s="41"/>
      <c r="BA24" s="41"/>
      <c r="BB24" s="41"/>
      <c r="BC24" s="41"/>
      <c r="BD24" s="40"/>
      <c r="BE24" s="41"/>
      <c r="BF24" s="41"/>
      <c r="BG24" s="41"/>
      <c r="BH24" s="41"/>
      <c r="BI24" s="46"/>
      <c r="BJ24" s="41"/>
      <c r="BK24" s="41"/>
      <c r="BL24" s="41"/>
      <c r="BM24" s="41"/>
      <c r="BN24" s="40"/>
      <c r="BO24" s="41"/>
      <c r="BP24" s="41"/>
      <c r="BQ24" s="41"/>
      <c r="BR24" s="41"/>
      <c r="BS24" s="40"/>
      <c r="BT24" s="40"/>
      <c r="BU24" s="40"/>
      <c r="BV24" s="40"/>
      <c r="BW24" s="45"/>
    </row>
    <row r="25" spans="1:75" ht="15.75" customHeight="1" x14ac:dyDescent="0.2">
      <c r="A25" s="81" t="s">
        <v>495</v>
      </c>
      <c r="B25" s="81"/>
      <c r="C25" s="81"/>
      <c r="D25" s="81"/>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2"/>
      <c r="BJ25" s="81"/>
      <c r="BK25" s="81"/>
      <c r="BL25" s="81"/>
      <c r="BM25" s="81"/>
      <c r="BN25" s="81"/>
      <c r="BO25" s="81"/>
      <c r="BP25" s="81"/>
      <c r="BQ25" s="81"/>
      <c r="BR25" s="81"/>
      <c r="BS25" s="81"/>
      <c r="BT25" s="81"/>
      <c r="BU25" s="81"/>
      <c r="BV25" s="81"/>
      <c r="BW25" s="83"/>
    </row>
    <row r="26" spans="1:75" ht="15.75" customHeight="1" x14ac:dyDescent="0.2">
      <c r="A26" s="84" t="s">
        <v>286</v>
      </c>
      <c r="B26" s="85"/>
      <c r="C26" s="86"/>
      <c r="D26" s="86"/>
      <c r="E26" s="86"/>
      <c r="F26" s="87">
        <v>1604.825</v>
      </c>
      <c r="G26" s="88">
        <v>412.55099999999999</v>
      </c>
      <c r="H26" s="88">
        <v>424.84500000000003</v>
      </c>
      <c r="I26" s="88">
        <v>425.084</v>
      </c>
      <c r="J26" s="88">
        <v>425.55599999999998</v>
      </c>
      <c r="K26" s="87">
        <v>1688.0360000000001</v>
      </c>
      <c r="L26" s="88">
        <v>436.60599999999999</v>
      </c>
      <c r="M26" s="88">
        <v>451.45400000000001</v>
      </c>
      <c r="N26" s="88">
        <v>454.27100000000002</v>
      </c>
      <c r="O26" s="88">
        <v>450.46499999999997</v>
      </c>
      <c r="P26" s="87">
        <v>1792.796</v>
      </c>
      <c r="Q26" s="88">
        <v>472.81700000000001</v>
      </c>
      <c r="R26" s="88">
        <v>483.28500000000003</v>
      </c>
      <c r="S26" s="88">
        <v>481.07600000000002</v>
      </c>
      <c r="T26" s="88">
        <v>476.58</v>
      </c>
      <c r="U26" s="87">
        <v>1913.758</v>
      </c>
      <c r="V26" s="88">
        <v>506.31599999999997</v>
      </c>
      <c r="W26" s="88">
        <v>511.91800000000001</v>
      </c>
      <c r="X26" s="88">
        <v>512.04</v>
      </c>
      <c r="Y26" s="88">
        <v>547.80899999999997</v>
      </c>
      <c r="Z26" s="87">
        <v>2078.0830000000001</v>
      </c>
      <c r="AA26" s="88">
        <v>515.23400000000004</v>
      </c>
      <c r="AB26" s="88">
        <v>520.22799999999995</v>
      </c>
      <c r="AC26" s="88">
        <v>507.572</v>
      </c>
      <c r="AD26" s="88">
        <v>514.78200000000004</v>
      </c>
      <c r="AE26" s="87">
        <v>2057.8159999999998</v>
      </c>
      <c r="AF26" s="88">
        <v>540.77300000000002</v>
      </c>
      <c r="AG26" s="88">
        <v>542.10199999999998</v>
      </c>
      <c r="AH26" s="88">
        <v>530.21</v>
      </c>
      <c r="AI26" s="88">
        <v>530.78599999999994</v>
      </c>
      <c r="AJ26" s="87">
        <v>2127.3470000000002</v>
      </c>
      <c r="AK26" s="88">
        <v>548.63300000000004</v>
      </c>
      <c r="AL26" s="88">
        <v>551.51900000000001</v>
      </c>
      <c r="AM26" s="88">
        <v>536.101</v>
      </c>
      <c r="AN26" s="2">
        <f t="shared" ref="AN26:AN29" si="36">AO26-SUM(AK26,AL26,AM26)</f>
        <v>544.62899999999991</v>
      </c>
      <c r="AO26" s="87">
        <v>2180.8820000000001</v>
      </c>
      <c r="AP26" s="88">
        <v>488.471</v>
      </c>
      <c r="AQ26" s="88">
        <v>241.06800000000001</v>
      </c>
      <c r="AR26" s="88">
        <v>416.98399999999998</v>
      </c>
      <c r="AS26" s="2">
        <f t="shared" ref="AS26:AS29" si="37">AT26-SUM(AP26,AQ26,AR26)</f>
        <v>438.48500000000013</v>
      </c>
      <c r="AT26" s="87">
        <v>1585.008</v>
      </c>
      <c r="AU26" s="88">
        <v>499.38900000000001</v>
      </c>
      <c r="AV26" s="88">
        <v>606.69100000000003</v>
      </c>
      <c r="AW26" s="88">
        <v>592.55499999999995</v>
      </c>
      <c r="AX26" s="2">
        <f t="shared" ref="AX26:AX29" si="38">AY26-SUM(AU26,AV26,AW26)</f>
        <v>594.59000000000015</v>
      </c>
      <c r="AY26" s="87">
        <v>2293.2249999999999</v>
      </c>
      <c r="AZ26" s="88">
        <v>609.81600000000003</v>
      </c>
      <c r="BA26" s="88">
        <v>640.85799999999995</v>
      </c>
      <c r="BB26" s="88">
        <v>602.90200000000004</v>
      </c>
      <c r="BC26" s="2">
        <f t="shared" ref="BC26:BC28" si="39">BD26-SUM(AZ26,BA26,BB26)</f>
        <v>674.4670000000001</v>
      </c>
      <c r="BD26" s="87">
        <v>2528.0430000000001</v>
      </c>
      <c r="BE26" s="88">
        <v>656</v>
      </c>
      <c r="BF26" s="88">
        <v>652.48099999999999</v>
      </c>
      <c r="BG26" s="88">
        <v>628.14</v>
      </c>
      <c r="BH26" s="2">
        <f t="shared" ref="BH26:BH28" si="40">BI26-SUM(BE26,BF26,BG26)</f>
        <v>658.44499999999971</v>
      </c>
      <c r="BI26" s="89">
        <v>2595.0659999999998</v>
      </c>
      <c r="BJ26" s="2">
        <f t="shared" ref="BJ26:BM26" si="41">BJ93</f>
        <v>672.31143880160755</v>
      </c>
      <c r="BK26" s="2">
        <f t="shared" si="41"/>
        <v>682.65532186556993</v>
      </c>
      <c r="BL26" s="2">
        <f t="shared" si="41"/>
        <v>652.01637176037718</v>
      </c>
      <c r="BM26" s="2">
        <f t="shared" si="41"/>
        <v>678.40329910795606</v>
      </c>
      <c r="BN26" s="86">
        <f t="shared" ref="BN26:BN31" si="42">SUM(BM26,BL26,BK26,BJ26)</f>
        <v>2685.3864315355108</v>
      </c>
      <c r="BO26" s="2">
        <f t="shared" ref="BO26:BR26" si="43">BO93</f>
        <v>677.99667295527161</v>
      </c>
      <c r="BP26" s="2">
        <f t="shared" si="43"/>
        <v>688.64630661670265</v>
      </c>
      <c r="BQ26" s="2">
        <f t="shared" si="43"/>
        <v>659.38830406140278</v>
      </c>
      <c r="BR26" s="2">
        <f t="shared" si="43"/>
        <v>687.61543639195918</v>
      </c>
      <c r="BS26" s="86">
        <f t="shared" ref="BS26:BS31" si="44">SUM(BR26,BQ26,BP26,BO26)</f>
        <v>2713.646720025336</v>
      </c>
      <c r="BT26" s="86">
        <f t="shared" ref="BT26:BV26" si="45">BT93</f>
        <v>2881.1445875258364</v>
      </c>
      <c r="BU26" s="86">
        <f t="shared" si="45"/>
        <v>3062.5965674835747</v>
      </c>
      <c r="BV26" s="86">
        <f t="shared" si="45"/>
        <v>3317.0029765383738</v>
      </c>
      <c r="BW26" s="878"/>
    </row>
    <row r="27" spans="1:75" ht="15.75" customHeight="1" x14ac:dyDescent="0.2">
      <c r="A27" s="84" t="s">
        <v>496</v>
      </c>
      <c r="B27" s="85"/>
      <c r="C27" s="86"/>
      <c r="D27" s="86"/>
      <c r="E27" s="86"/>
      <c r="F27" s="86"/>
      <c r="G27" s="2"/>
      <c r="H27" s="2"/>
      <c r="I27" s="2"/>
      <c r="J27" s="2"/>
      <c r="K27" s="86"/>
      <c r="L27" s="2"/>
      <c r="M27" s="2"/>
      <c r="N27" s="2"/>
      <c r="O27" s="2"/>
      <c r="P27" s="86"/>
      <c r="Q27" s="2"/>
      <c r="R27" s="2"/>
      <c r="S27" s="2"/>
      <c r="T27" s="2"/>
      <c r="U27" s="86"/>
      <c r="V27" s="2"/>
      <c r="W27" s="2"/>
      <c r="X27" s="2"/>
      <c r="Y27" s="2"/>
      <c r="Z27" s="86"/>
      <c r="AA27" s="2"/>
      <c r="AB27" s="2"/>
      <c r="AC27" s="2"/>
      <c r="AD27" s="2"/>
      <c r="AE27" s="86"/>
      <c r="AF27" s="2"/>
      <c r="AG27" s="2"/>
      <c r="AH27" s="2"/>
      <c r="AI27" s="2"/>
      <c r="AJ27" s="86"/>
      <c r="AK27" s="2"/>
      <c r="AL27" s="2"/>
      <c r="AM27" s="2"/>
      <c r="AN27" s="2">
        <f t="shared" si="36"/>
        <v>35.268000000000001</v>
      </c>
      <c r="AO27" s="87">
        <v>35.268000000000001</v>
      </c>
      <c r="AP27" s="88">
        <v>30.512</v>
      </c>
      <c r="AQ27" s="88">
        <v>13.759</v>
      </c>
      <c r="AR27" s="88">
        <v>27.99</v>
      </c>
      <c r="AS27" s="2">
        <f t="shared" si="37"/>
        <v>30.323999999999998</v>
      </c>
      <c r="AT27" s="87">
        <v>102.58499999999999</v>
      </c>
      <c r="AU27" s="88">
        <v>32.823</v>
      </c>
      <c r="AV27" s="88">
        <v>43.566000000000003</v>
      </c>
      <c r="AW27" s="88">
        <v>44.356999999999999</v>
      </c>
      <c r="AX27" s="2">
        <f t="shared" si="38"/>
        <v>51.155000000000001</v>
      </c>
      <c r="AY27" s="87">
        <v>171.90100000000001</v>
      </c>
      <c r="AZ27" s="88">
        <v>52.756999999999998</v>
      </c>
      <c r="BA27" s="88">
        <v>56.238</v>
      </c>
      <c r="BB27" s="88">
        <v>54.113</v>
      </c>
      <c r="BC27" s="2">
        <f t="shared" si="39"/>
        <v>65.51400000000001</v>
      </c>
      <c r="BD27" s="87">
        <v>228.62200000000001</v>
      </c>
      <c r="BE27" s="88">
        <v>63.302999999999997</v>
      </c>
      <c r="BF27" s="88">
        <v>65.933999999999997</v>
      </c>
      <c r="BG27" s="88">
        <v>62.417000000000002</v>
      </c>
      <c r="BH27" s="2">
        <f t="shared" si="40"/>
        <v>67.22399999999999</v>
      </c>
      <c r="BI27" s="89">
        <v>258.87799999999999</v>
      </c>
      <c r="BJ27" s="2">
        <f t="shared" ref="BJ27:BM27" si="46">BJ138</f>
        <v>69.746478090909079</v>
      </c>
      <c r="BK27" s="2">
        <f t="shared" si="46"/>
        <v>76.04088299999998</v>
      </c>
      <c r="BL27" s="2">
        <f t="shared" si="46"/>
        <v>74.809611636363627</v>
      </c>
      <c r="BM27" s="2">
        <f t="shared" si="46"/>
        <v>81.866968941176467</v>
      </c>
      <c r="BN27" s="86">
        <f t="shared" si="42"/>
        <v>302.46394166844914</v>
      </c>
      <c r="BO27" s="2">
        <f t="shared" ref="BO27:BR27" si="47">BO138</f>
        <v>81.778223277194257</v>
      </c>
      <c r="BP27" s="2">
        <f t="shared" si="47"/>
        <v>89.913781694519983</v>
      </c>
      <c r="BQ27" s="2">
        <f t="shared" si="47"/>
        <v>89.007133188326321</v>
      </c>
      <c r="BR27" s="2">
        <f t="shared" si="47"/>
        <v>96.560093110777615</v>
      </c>
      <c r="BS27" s="86">
        <f t="shared" si="44"/>
        <v>357.25923127081819</v>
      </c>
      <c r="BT27" s="86">
        <f t="shared" ref="BT27:BV27" si="48">BT138</f>
        <v>411.90999727765586</v>
      </c>
      <c r="BU27" s="86">
        <f t="shared" si="48"/>
        <v>458.97071446662807</v>
      </c>
      <c r="BV27" s="86">
        <f t="shared" si="48"/>
        <v>518.07491036114482</v>
      </c>
      <c r="BW27" s="878"/>
    </row>
    <row r="28" spans="1:75" ht="15.75" customHeight="1" x14ac:dyDescent="0.2">
      <c r="A28" s="84" t="s">
        <v>497</v>
      </c>
      <c r="B28" s="85"/>
      <c r="C28" s="86"/>
      <c r="D28" s="86"/>
      <c r="E28" s="86"/>
      <c r="F28" s="86"/>
      <c r="G28" s="2"/>
      <c r="H28" s="2"/>
      <c r="I28" s="2"/>
      <c r="J28" s="2"/>
      <c r="K28" s="86"/>
      <c r="L28" s="2"/>
      <c r="M28" s="2"/>
      <c r="N28" s="2"/>
      <c r="O28" s="2"/>
      <c r="P28" s="86"/>
      <c r="Q28" s="2"/>
      <c r="R28" s="2"/>
      <c r="S28" s="2"/>
      <c r="T28" s="2"/>
      <c r="U28" s="86"/>
      <c r="V28" s="2"/>
      <c r="W28" s="2"/>
      <c r="X28" s="2"/>
      <c r="Y28" s="2"/>
      <c r="Z28" s="86"/>
      <c r="AA28" s="2"/>
      <c r="AB28" s="2"/>
      <c r="AC28" s="2"/>
      <c r="AD28" s="2"/>
      <c r="AE28" s="86"/>
      <c r="AF28" s="2"/>
      <c r="AG28" s="2"/>
      <c r="AH28" s="2"/>
      <c r="AI28" s="2"/>
      <c r="AJ28" s="86"/>
      <c r="AK28" s="2"/>
      <c r="AL28" s="2"/>
      <c r="AM28" s="2"/>
      <c r="AN28" s="2">
        <f t="shared" si="36"/>
        <v>39.335000000000001</v>
      </c>
      <c r="AO28" s="87">
        <v>39.335000000000001</v>
      </c>
      <c r="AP28" s="88">
        <v>35.582999999999998</v>
      </c>
      <c r="AQ28" s="88">
        <v>12.208</v>
      </c>
      <c r="AR28" s="88">
        <v>20.273</v>
      </c>
      <c r="AS28" s="2">
        <f t="shared" si="37"/>
        <v>28.792000000000002</v>
      </c>
      <c r="AT28" s="87">
        <v>96.855999999999995</v>
      </c>
      <c r="AU28" s="88">
        <v>36.194000000000003</v>
      </c>
      <c r="AV28" s="88">
        <v>47.457999999999998</v>
      </c>
      <c r="AW28" s="88">
        <v>44.326000000000001</v>
      </c>
      <c r="AX28" s="2">
        <f t="shared" si="38"/>
        <v>54.197000000000003</v>
      </c>
      <c r="AY28" s="87">
        <v>182.17500000000001</v>
      </c>
      <c r="AZ28" s="88">
        <v>58.832000000000001</v>
      </c>
      <c r="BA28" s="88">
        <v>60.02</v>
      </c>
      <c r="BB28" s="88">
        <v>52.192999999999998</v>
      </c>
      <c r="BC28" s="2">
        <f t="shared" si="39"/>
        <v>66.506999999999977</v>
      </c>
      <c r="BD28" s="87">
        <v>237.55199999999999</v>
      </c>
      <c r="BE28" s="88">
        <v>68.64</v>
      </c>
      <c r="BF28" s="88">
        <v>65.727999999999994</v>
      </c>
      <c r="BG28" s="88">
        <v>58.642000000000003</v>
      </c>
      <c r="BH28" s="2">
        <f t="shared" si="40"/>
        <v>70.913000000000011</v>
      </c>
      <c r="BI28" s="89">
        <v>263.923</v>
      </c>
      <c r="BJ28" s="2">
        <f t="shared" ref="BJ28:BM28" si="49">BJ158</f>
        <v>82.188939130434775</v>
      </c>
      <c r="BK28" s="2">
        <f t="shared" si="49"/>
        <v>78.21632000000001</v>
      </c>
      <c r="BL28" s="2">
        <f t="shared" si="49"/>
        <v>71.131161081081075</v>
      </c>
      <c r="BM28" s="2">
        <f t="shared" si="49"/>
        <v>86.421765194805204</v>
      </c>
      <c r="BN28" s="86">
        <f t="shared" si="42"/>
        <v>317.95818540632109</v>
      </c>
      <c r="BO28" s="2">
        <f t="shared" ref="BO28:BR28" si="50">BO158</f>
        <v>98.32232347826087</v>
      </c>
      <c r="BP28" s="2">
        <f t="shared" si="50"/>
        <v>94.027190400000009</v>
      </c>
      <c r="BQ28" s="2">
        <f t="shared" si="50"/>
        <v>86.569856270270279</v>
      </c>
      <c r="BR28" s="2">
        <f t="shared" si="50"/>
        <v>105.39697885714288</v>
      </c>
      <c r="BS28" s="86">
        <f t="shared" si="44"/>
        <v>384.31634900567406</v>
      </c>
      <c r="BT28" s="86">
        <f t="shared" ref="BT28:BV28" si="51">BT158</f>
        <v>467.71957428133084</v>
      </c>
      <c r="BU28" s="86">
        <f t="shared" si="51"/>
        <v>555.28281261399968</v>
      </c>
      <c r="BV28" s="86">
        <f t="shared" si="51"/>
        <v>646.16149265026274</v>
      </c>
      <c r="BW28" s="878"/>
    </row>
    <row r="29" spans="1:75" ht="15.75" customHeight="1" x14ac:dyDescent="0.2">
      <c r="A29" s="85" t="s">
        <v>498</v>
      </c>
      <c r="B29" s="85"/>
      <c r="C29" s="86"/>
      <c r="D29" s="86"/>
      <c r="E29" s="86"/>
      <c r="F29" s="87">
        <v>65.2</v>
      </c>
      <c r="G29" s="88">
        <v>14.2</v>
      </c>
      <c r="H29" s="88">
        <v>11.7</v>
      </c>
      <c r="I29" s="88">
        <v>12.2</v>
      </c>
      <c r="J29" s="2">
        <f>K29-SUM(G29,H29,I29)</f>
        <v>17.200000000000003</v>
      </c>
      <c r="K29" s="87">
        <v>55.3</v>
      </c>
      <c r="L29" s="88">
        <v>12.2</v>
      </c>
      <c r="M29" s="88">
        <v>11.1</v>
      </c>
      <c r="N29" s="88">
        <v>12.6</v>
      </c>
      <c r="O29" s="2">
        <f>P29-SUM(L29,M29,N29)</f>
        <v>17.300000000000004</v>
      </c>
      <c r="P29" s="87">
        <v>53.2</v>
      </c>
      <c r="Q29" s="88">
        <v>12.1</v>
      </c>
      <c r="R29" s="88">
        <v>12.7</v>
      </c>
      <c r="S29" s="88">
        <v>11.7</v>
      </c>
      <c r="T29" s="2">
        <f>U29-SUM(Q29,R29,S29)</f>
        <v>16.299999999999997</v>
      </c>
      <c r="U29" s="87">
        <v>52.8</v>
      </c>
      <c r="V29" s="88">
        <v>11.3</v>
      </c>
      <c r="W29" s="88">
        <v>11.8</v>
      </c>
      <c r="X29" s="88">
        <v>13.3</v>
      </c>
      <c r="Y29" s="2">
        <f>Z29-SUM(V29,W29,X29)</f>
        <v>17.199999999999996</v>
      </c>
      <c r="Z29" s="87">
        <v>53.6</v>
      </c>
      <c r="AA29" s="88">
        <v>12.2</v>
      </c>
      <c r="AB29" s="88">
        <v>13.1</v>
      </c>
      <c r="AC29" s="88">
        <v>12.6</v>
      </c>
      <c r="AD29" s="2">
        <f>AE29-SUM(AA29,AB29,AC29)</f>
        <v>17.200000000000003</v>
      </c>
      <c r="AE29" s="87">
        <v>55.1</v>
      </c>
      <c r="AF29" s="88">
        <v>12.4</v>
      </c>
      <c r="AG29" s="88">
        <v>12.7</v>
      </c>
      <c r="AH29" s="88">
        <v>13.6</v>
      </c>
      <c r="AI29" s="2">
        <f>AJ29-SUM(AF29,AG29,AH29)</f>
        <v>15.699999999999996</v>
      </c>
      <c r="AJ29" s="87">
        <v>54.4</v>
      </c>
      <c r="AK29" s="88">
        <v>12.9</v>
      </c>
      <c r="AL29" s="88">
        <v>12.4</v>
      </c>
      <c r="AM29" s="88">
        <v>13.8</v>
      </c>
      <c r="AN29" s="2">
        <f t="shared" si="36"/>
        <v>19.299999999999997</v>
      </c>
      <c r="AO29" s="87">
        <v>58.4</v>
      </c>
      <c r="AP29" s="88">
        <v>13.8</v>
      </c>
      <c r="AQ29" s="88">
        <v>14.7</v>
      </c>
      <c r="AR29" s="88">
        <v>17.8</v>
      </c>
      <c r="AS29" s="2">
        <f t="shared" si="37"/>
        <v>20.299999999999997</v>
      </c>
      <c r="AT29" s="87">
        <v>66.599999999999994</v>
      </c>
      <c r="AU29" s="88">
        <v>16.7</v>
      </c>
      <c r="AV29" s="88">
        <v>15.4</v>
      </c>
      <c r="AW29" s="88">
        <v>16.7</v>
      </c>
      <c r="AX29" s="2">
        <f t="shared" si="38"/>
        <v>17.400000000000006</v>
      </c>
      <c r="AY29" s="87">
        <v>66.2</v>
      </c>
      <c r="AZ29" s="2">
        <f t="shared" ref="AZ29:BC29" si="52">AU29*(1+AZ10)</f>
        <v>17.201000000000001</v>
      </c>
      <c r="BA29" s="2">
        <f t="shared" si="52"/>
        <v>15.862</v>
      </c>
      <c r="BB29" s="2">
        <f t="shared" si="52"/>
        <v>17.201000000000001</v>
      </c>
      <c r="BC29" s="2">
        <f t="shared" si="52"/>
        <v>17.922000000000008</v>
      </c>
      <c r="BD29" s="86">
        <f>SUM(BC29,BB29,BA29,AZ29)</f>
        <v>68.186000000000007</v>
      </c>
      <c r="BE29" s="2">
        <f t="shared" ref="BE29:BH29" si="53">AZ29*(1+BE10)</f>
        <v>17.717030000000001</v>
      </c>
      <c r="BF29" s="2">
        <f t="shared" si="53"/>
        <v>16.337859999999999</v>
      </c>
      <c r="BG29" s="2">
        <f t="shared" si="53"/>
        <v>17.717030000000001</v>
      </c>
      <c r="BH29" s="2">
        <f t="shared" si="53"/>
        <v>18.45966000000001</v>
      </c>
      <c r="BI29" s="90">
        <f>SUM(BH29,BG29,BF29,BE29)</f>
        <v>70.231580000000008</v>
      </c>
      <c r="BJ29" s="2">
        <f t="shared" ref="BJ29:BM29" si="54">BE29*(1+BJ10)</f>
        <v>18.248540900000002</v>
      </c>
      <c r="BK29" s="2">
        <f t="shared" si="54"/>
        <v>16.8279958</v>
      </c>
      <c r="BL29" s="2">
        <f t="shared" si="54"/>
        <v>18.248540900000002</v>
      </c>
      <c r="BM29" s="2">
        <f t="shared" si="54"/>
        <v>19.013449800000011</v>
      </c>
      <c r="BN29" s="86">
        <f t="shared" si="42"/>
        <v>72.338527400000004</v>
      </c>
      <c r="BO29" s="2">
        <f t="shared" ref="BO29:BR29" si="55">BJ29*(1+BO10)</f>
        <v>18.795997127000003</v>
      </c>
      <c r="BP29" s="2">
        <f t="shared" si="55"/>
        <v>17.332835674000002</v>
      </c>
      <c r="BQ29" s="2">
        <f t="shared" si="55"/>
        <v>18.795997127000003</v>
      </c>
      <c r="BR29" s="2">
        <f t="shared" si="55"/>
        <v>19.583853294000011</v>
      </c>
      <c r="BS29" s="86">
        <f t="shared" si="44"/>
        <v>74.508683222000016</v>
      </c>
      <c r="BT29" s="86">
        <f t="shared" ref="BT29:BV29" si="56">BS29*(1+BT10)</f>
        <v>76.74394371866002</v>
      </c>
      <c r="BU29" s="86">
        <f t="shared" si="56"/>
        <v>79.046262030219822</v>
      </c>
      <c r="BV29" s="86">
        <f t="shared" si="56"/>
        <v>81.417649891126416</v>
      </c>
      <c r="BW29" s="878"/>
    </row>
    <row r="30" spans="1:75" ht="15.75" customHeight="1" x14ac:dyDescent="0.2">
      <c r="A30" s="84" t="s">
        <v>499</v>
      </c>
      <c r="B30" s="85"/>
      <c r="C30" s="86"/>
      <c r="D30" s="86"/>
      <c r="E30" s="86"/>
      <c r="F30" s="86"/>
      <c r="G30" s="2"/>
      <c r="H30" s="2"/>
      <c r="I30" s="2"/>
      <c r="J30" s="2"/>
      <c r="K30" s="86"/>
      <c r="L30" s="2"/>
      <c r="M30" s="2"/>
      <c r="N30" s="2"/>
      <c r="O30" s="2"/>
      <c r="P30" s="86"/>
      <c r="Q30" s="4">
        <f>Q209*Q69*Q214/1000*Q213</f>
        <v>1.9233233898305091</v>
      </c>
      <c r="R30" s="4">
        <f t="shared" ref="R30:T30" si="57">R209*R69*R214/1000*R213</f>
        <v>1.9582457142857146</v>
      </c>
      <c r="S30" s="4">
        <f t="shared" si="57"/>
        <v>1.9275990410958905</v>
      </c>
      <c r="T30" s="4">
        <f t="shared" si="57"/>
        <v>2.2773914786967424</v>
      </c>
      <c r="U30" s="86">
        <f>SUM(Q30,R30,S30,T30)</f>
        <v>8.0865596239088564</v>
      </c>
      <c r="V30" s="4">
        <f t="shared" ref="V30:Y30" si="58">V209*V69*V214/1000*V213</f>
        <v>2.3777730049261083</v>
      </c>
      <c r="W30" s="4">
        <f t="shared" si="58"/>
        <v>2.6097780392156862</v>
      </c>
      <c r="X30" s="4">
        <f t="shared" si="58"/>
        <v>2.8175746031746036</v>
      </c>
      <c r="Y30" s="2">
        <f t="shared" si="58"/>
        <v>3.4212606691449814</v>
      </c>
      <c r="Z30" s="86">
        <f>SUM(V30,W30,X30,Y30)</f>
        <v>11.22638631646138</v>
      </c>
      <c r="AA30" s="4">
        <f t="shared" ref="AA30:AD30" si="59">AA209*AA69*AA214/1000*AA213</f>
        <v>3.3994820618556703</v>
      </c>
      <c r="AB30" s="4">
        <f t="shared" si="59"/>
        <v>3.4392506634882802</v>
      </c>
      <c r="AC30" s="4">
        <f t="shared" si="59"/>
        <v>3.7840493189964159</v>
      </c>
      <c r="AD30" s="2">
        <f t="shared" si="59"/>
        <v>4.1957153605015689</v>
      </c>
      <c r="AE30" s="86">
        <f>SUM(AA30,AB30,AC30,AD30)</f>
        <v>14.818497404841935</v>
      </c>
      <c r="AF30" s="4">
        <f t="shared" ref="AF30:AI30" si="60">AF209*AF69*AF214/1000*AF213</f>
        <v>4.5653197989949765</v>
      </c>
      <c r="AG30" s="4">
        <f t="shared" si="60"/>
        <v>4.5854018900077467</v>
      </c>
      <c r="AH30" s="4">
        <f t="shared" si="60"/>
        <v>4.4882893023255823</v>
      </c>
      <c r="AI30" s="2">
        <f t="shared" si="60"/>
        <v>4.4671931560693654</v>
      </c>
      <c r="AJ30" s="86">
        <f>SUM(AF30,AG30,AH30,AI30)</f>
        <v>18.106204147397669</v>
      </c>
      <c r="AK30" s="4">
        <f t="shared" ref="AK30:AN30" si="61">AK209*AK69*AK214/1000*AK213</f>
        <v>4.3672278606965182</v>
      </c>
      <c r="AL30" s="4">
        <f t="shared" si="61"/>
        <v>4.5903867987804885</v>
      </c>
      <c r="AM30" s="4">
        <f t="shared" si="61"/>
        <v>4.8795798782343995</v>
      </c>
      <c r="AN30" s="2">
        <f t="shared" si="61"/>
        <v>5.5468053333333343</v>
      </c>
      <c r="AO30" s="86">
        <f>SUM(AK30,AL30,AM30,AN30)</f>
        <v>19.38399987104474</v>
      </c>
      <c r="AP30" s="4">
        <f t="shared" ref="AP30:AS30" si="62">AP209*AP69*AP214/1000*AP213</f>
        <v>4.9395122812266266</v>
      </c>
      <c r="AQ30" s="4">
        <f t="shared" si="62"/>
        <v>2.4691207272727276</v>
      </c>
      <c r="AR30" s="4">
        <f t="shared" si="62"/>
        <v>4.23563011269722</v>
      </c>
      <c r="AS30" s="2">
        <f t="shared" si="62"/>
        <v>4.6184016504126051</v>
      </c>
      <c r="AT30" s="86">
        <f>SUM(AP30,AQ30,AR30,AS30)</f>
        <v>16.262664771609177</v>
      </c>
      <c r="AU30" s="4">
        <f t="shared" ref="AU30:AX30" si="63">AU209*AU69*AU214/1000*AU213</f>
        <v>5.2363118446601931</v>
      </c>
      <c r="AV30" s="4">
        <f t="shared" si="63"/>
        <v>6.5651586473429973</v>
      </c>
      <c r="AW30" s="4">
        <f t="shared" si="63"/>
        <v>6.6461356638155458</v>
      </c>
      <c r="AX30" s="2">
        <f t="shared" si="63"/>
        <v>6.6417905185185209</v>
      </c>
      <c r="AY30" s="86">
        <f>SUM(AU30,AV30,AW30,AX30)</f>
        <v>25.089396674337259</v>
      </c>
      <c r="AZ30" s="4">
        <f t="shared" ref="AZ30:BC30" si="64">AZ209*AZ69*AZ214/1000*AZ213</f>
        <v>6.8017938461538465</v>
      </c>
      <c r="BA30" s="4">
        <f t="shared" si="64"/>
        <v>7.1480315384615372</v>
      </c>
      <c r="BB30" s="4">
        <f t="shared" si="64"/>
        <v>6.7221901367837349</v>
      </c>
      <c r="BC30" s="2">
        <f t="shared" si="64"/>
        <v>7.7108170125893167</v>
      </c>
      <c r="BD30" s="86">
        <f>SUM(AZ30,BA30,BB30,BC30)</f>
        <v>28.382832533988434</v>
      </c>
      <c r="BE30" s="4">
        <f t="shared" ref="BE30:BH30" si="65">BE209*BE69*BE214/1000*BE213</f>
        <v>7.3957930998486354</v>
      </c>
      <c r="BF30" s="4">
        <f t="shared" si="65"/>
        <v>7.5278401504859431</v>
      </c>
      <c r="BG30" s="4">
        <f t="shared" si="65"/>
        <v>7.1110188679245283</v>
      </c>
      <c r="BH30" s="2">
        <f t="shared" si="65"/>
        <v>7.8738949335249719</v>
      </c>
      <c r="BI30" s="90">
        <f>SUM(BE30,BF30,BG30,BH30)</f>
        <v>29.90854705178408</v>
      </c>
      <c r="BJ30" s="2">
        <f t="shared" ref="BJ30:BM30" si="66">BJ209*BJ69*BJ214/1000*BJ213</f>
        <v>8.1981625793821902</v>
      </c>
      <c r="BK30" s="2">
        <f t="shared" si="66"/>
        <v>8.3051154365212199</v>
      </c>
      <c r="BL30" s="2">
        <f t="shared" si="66"/>
        <v>7.9323650757944506</v>
      </c>
      <c r="BM30" s="2">
        <f t="shared" si="66"/>
        <v>8.2344124581379514</v>
      </c>
      <c r="BN30" s="86">
        <f t="shared" si="42"/>
        <v>32.670055549835816</v>
      </c>
      <c r="BO30" s="2">
        <f t="shared" ref="BO30:BR30" si="67">BO209*BO69*BO214/1000*BO213</f>
        <v>8.1918133482925271</v>
      </c>
      <c r="BP30" s="2">
        <f t="shared" si="67"/>
        <v>8.3014897235986087</v>
      </c>
      <c r="BQ30" s="2">
        <f t="shared" si="67"/>
        <v>7.9306839303968282</v>
      </c>
      <c r="BR30" s="2">
        <f t="shared" si="67"/>
        <v>8.2326746125840007</v>
      </c>
      <c r="BS30" s="86">
        <f t="shared" si="44"/>
        <v>32.656661614871965</v>
      </c>
      <c r="BT30" s="86">
        <f t="shared" ref="BT30:BV30" si="68">BT209*BT69*BT214/1000*BT213</f>
        <v>34.108617538422465</v>
      </c>
      <c r="BU30" s="86">
        <f t="shared" si="68"/>
        <v>35.617863163685634</v>
      </c>
      <c r="BV30" s="86">
        <f t="shared" si="68"/>
        <v>37.908605446152841</v>
      </c>
      <c r="BW30" s="878"/>
    </row>
    <row r="31" spans="1:75" ht="15.75" customHeight="1" x14ac:dyDescent="0.2">
      <c r="A31" s="91" t="s">
        <v>500</v>
      </c>
      <c r="B31" s="92"/>
      <c r="C31" s="93"/>
      <c r="D31" s="93"/>
      <c r="E31" s="93"/>
      <c r="F31" s="93"/>
      <c r="G31" s="94"/>
      <c r="H31" s="94"/>
      <c r="I31" s="94"/>
      <c r="J31" s="94"/>
      <c r="K31" s="93"/>
      <c r="L31" s="94"/>
      <c r="M31" s="94"/>
      <c r="N31" s="94"/>
      <c r="O31" s="94"/>
      <c r="P31" s="93"/>
      <c r="Q31" s="95">
        <f t="shared" ref="Q31:BI31" si="69">Q32-Q29-Q30</f>
        <v>31.13267661016949</v>
      </c>
      <c r="R31" s="95">
        <f t="shared" si="69"/>
        <v>31.163754285714287</v>
      </c>
      <c r="S31" s="95">
        <f t="shared" si="69"/>
        <v>31.984400958904114</v>
      </c>
      <c r="T31" s="95">
        <f t="shared" si="69"/>
        <v>31.683608521303263</v>
      </c>
      <c r="U31" s="96">
        <f t="shared" si="69"/>
        <v>125.96444037609113</v>
      </c>
      <c r="V31" s="95">
        <f t="shared" si="69"/>
        <v>33.699226995073893</v>
      </c>
      <c r="W31" s="95">
        <f t="shared" si="69"/>
        <v>32.534221960784322</v>
      </c>
      <c r="X31" s="95">
        <f t="shared" si="69"/>
        <v>31.860425396825395</v>
      </c>
      <c r="Y31" s="94">
        <f t="shared" si="69"/>
        <v>34.71573933085503</v>
      </c>
      <c r="Z31" s="93">
        <f t="shared" si="69"/>
        <v>132.80961368353863</v>
      </c>
      <c r="AA31" s="95">
        <f t="shared" si="69"/>
        <v>32.592517938144333</v>
      </c>
      <c r="AB31" s="95">
        <f t="shared" si="69"/>
        <v>33.101749336511716</v>
      </c>
      <c r="AC31" s="95">
        <f t="shared" si="69"/>
        <v>31.435950681003582</v>
      </c>
      <c r="AD31" s="94">
        <f t="shared" si="69"/>
        <v>35.637284639498432</v>
      </c>
      <c r="AE31" s="93">
        <f t="shared" si="69"/>
        <v>132.76750259515808</v>
      </c>
      <c r="AF31" s="95">
        <f t="shared" si="69"/>
        <v>32.952680201005023</v>
      </c>
      <c r="AG31" s="95">
        <f t="shared" si="69"/>
        <v>33.79059810999226</v>
      </c>
      <c r="AH31" s="95">
        <f t="shared" si="69"/>
        <v>32.583710697674412</v>
      </c>
      <c r="AI31" s="94">
        <f t="shared" si="69"/>
        <v>34.20180684393064</v>
      </c>
      <c r="AJ31" s="93">
        <f t="shared" si="69"/>
        <v>132.47779585260233</v>
      </c>
      <c r="AK31" s="95">
        <f t="shared" si="69"/>
        <v>33.580772139303484</v>
      </c>
      <c r="AL31" s="95">
        <f t="shared" si="69"/>
        <v>34.135613201219513</v>
      </c>
      <c r="AM31" s="95">
        <f t="shared" si="69"/>
        <v>31.755420121765606</v>
      </c>
      <c r="AN31" s="94">
        <f t="shared" si="69"/>
        <v>49.951194666666673</v>
      </c>
      <c r="AO31" s="93">
        <f t="shared" si="69"/>
        <v>149.42300012895524</v>
      </c>
      <c r="AP31" s="95">
        <f t="shared" si="69"/>
        <v>41.800487718773368</v>
      </c>
      <c r="AQ31" s="95">
        <f t="shared" si="69"/>
        <v>11.646879272727272</v>
      </c>
      <c r="AR31" s="95">
        <f t="shared" si="69"/>
        <v>30.433369887302778</v>
      </c>
      <c r="AS31" s="94">
        <f t="shared" si="69"/>
        <v>32.032598349587417</v>
      </c>
      <c r="AT31" s="93">
        <f t="shared" si="69"/>
        <v>115.91333522839084</v>
      </c>
      <c r="AU31" s="95">
        <f t="shared" si="69"/>
        <v>37.074688155339814</v>
      </c>
      <c r="AV31" s="95">
        <f t="shared" si="69"/>
        <v>49.275841352657004</v>
      </c>
      <c r="AW31" s="95">
        <f t="shared" si="69"/>
        <v>49.889864336184459</v>
      </c>
      <c r="AX31" s="94">
        <f t="shared" si="69"/>
        <v>52.709209481481452</v>
      </c>
      <c r="AY31" s="93">
        <f t="shared" si="69"/>
        <v>188.94960332566274</v>
      </c>
      <c r="AZ31" s="95">
        <f t="shared" si="69"/>
        <v>48.302206153846157</v>
      </c>
      <c r="BA31" s="95">
        <f t="shared" si="69"/>
        <v>52.516968461538461</v>
      </c>
      <c r="BB31" s="95">
        <f t="shared" si="69"/>
        <v>50.869809863216268</v>
      </c>
      <c r="BC31" s="94">
        <f t="shared" si="69"/>
        <v>60.681182987410693</v>
      </c>
      <c r="BD31" s="93">
        <f t="shared" si="69"/>
        <v>212.37016746601159</v>
      </c>
      <c r="BE31" s="95">
        <f t="shared" si="69"/>
        <v>53.058176900151366</v>
      </c>
      <c r="BF31" s="95">
        <f t="shared" si="69"/>
        <v>58.161299849514066</v>
      </c>
      <c r="BG31" s="95">
        <f t="shared" si="69"/>
        <v>56.182951132075466</v>
      </c>
      <c r="BH31" s="94">
        <f t="shared" si="69"/>
        <v>54.093445066475034</v>
      </c>
      <c r="BI31" s="97">
        <f t="shared" si="69"/>
        <v>221.49587294821595</v>
      </c>
      <c r="BJ31" s="94">
        <f t="shared" ref="BJ31:BM31" si="70">BJ186*BJ188/1000</f>
        <v>55.711085745158933</v>
      </c>
      <c r="BK31" s="94">
        <f t="shared" si="70"/>
        <v>64.122833084089265</v>
      </c>
      <c r="BL31" s="94">
        <f t="shared" si="70"/>
        <v>64.153907323938668</v>
      </c>
      <c r="BM31" s="94">
        <f t="shared" si="70"/>
        <v>63.98775242357079</v>
      </c>
      <c r="BN31" s="93">
        <f t="shared" si="42"/>
        <v>247.97557857675764</v>
      </c>
      <c r="BO31" s="94">
        <f t="shared" ref="BO31:BR31" si="71">BO186*BO188/1000</f>
        <v>67.088334037178114</v>
      </c>
      <c r="BP31" s="94">
        <f t="shared" si="71"/>
        <v>73.540874193314863</v>
      </c>
      <c r="BQ31" s="94">
        <f t="shared" si="71"/>
        <v>71.039391342757952</v>
      </c>
      <c r="BR31" s="94">
        <f t="shared" si="71"/>
        <v>69.2631471809635</v>
      </c>
      <c r="BS31" s="93">
        <f t="shared" si="44"/>
        <v>280.93174675421443</v>
      </c>
      <c r="BT31" s="93">
        <f t="shared" ref="BT31:BV31" si="72">BT186*BT188/1000</f>
        <v>265.46901845875084</v>
      </c>
      <c r="BU31" s="93">
        <f t="shared" si="72"/>
        <v>270.77839882792591</v>
      </c>
      <c r="BV31" s="93">
        <f t="shared" si="72"/>
        <v>276.19396680448443</v>
      </c>
      <c r="BW31" s="878"/>
    </row>
    <row r="32" spans="1:75" ht="15.75" customHeight="1" x14ac:dyDescent="0.2">
      <c r="A32" s="91" t="s">
        <v>501</v>
      </c>
      <c r="B32" s="92"/>
      <c r="C32" s="93"/>
      <c r="D32" s="93"/>
      <c r="E32" s="93"/>
      <c r="F32" s="98">
        <v>204.19200000000001</v>
      </c>
      <c r="G32" s="99">
        <v>50.466999999999999</v>
      </c>
      <c r="H32" s="99">
        <v>45.273000000000003</v>
      </c>
      <c r="I32" s="99">
        <v>44.615000000000002</v>
      </c>
      <c r="J32" s="99">
        <v>49.518999999999998</v>
      </c>
      <c r="K32" s="98">
        <v>189.874</v>
      </c>
      <c r="L32" s="99">
        <v>44.825000000000003</v>
      </c>
      <c r="M32" s="99">
        <v>44.951999999999998</v>
      </c>
      <c r="N32" s="99">
        <v>44.843000000000004</v>
      </c>
      <c r="O32" s="99">
        <v>49.207999999999998</v>
      </c>
      <c r="P32" s="98">
        <v>183.828</v>
      </c>
      <c r="Q32" s="99">
        <v>45.155999999999999</v>
      </c>
      <c r="R32" s="99">
        <v>45.822000000000003</v>
      </c>
      <c r="S32" s="99">
        <v>45.612000000000002</v>
      </c>
      <c r="T32" s="99">
        <v>50.261000000000003</v>
      </c>
      <c r="U32" s="98">
        <v>186.851</v>
      </c>
      <c r="V32" s="99">
        <v>47.377000000000002</v>
      </c>
      <c r="W32" s="99">
        <v>46.944000000000003</v>
      </c>
      <c r="X32" s="99">
        <v>47.978000000000002</v>
      </c>
      <c r="Y32" s="99">
        <v>55.337000000000003</v>
      </c>
      <c r="Z32" s="98">
        <v>197.636</v>
      </c>
      <c r="AA32" s="99">
        <v>48.192</v>
      </c>
      <c r="AB32" s="99">
        <v>49.640999999999998</v>
      </c>
      <c r="AC32" s="99">
        <v>47.82</v>
      </c>
      <c r="AD32" s="99">
        <v>57.033000000000001</v>
      </c>
      <c r="AE32" s="98">
        <v>202.68600000000001</v>
      </c>
      <c r="AF32" s="99">
        <v>49.917999999999999</v>
      </c>
      <c r="AG32" s="99">
        <v>51.076000000000001</v>
      </c>
      <c r="AH32" s="99">
        <v>50.671999999999997</v>
      </c>
      <c r="AI32" s="99">
        <v>54.369</v>
      </c>
      <c r="AJ32" s="98">
        <v>204.98400000000001</v>
      </c>
      <c r="AK32" s="99">
        <v>50.847999999999999</v>
      </c>
      <c r="AL32" s="99">
        <v>51.125999999999998</v>
      </c>
      <c r="AM32" s="99">
        <v>50.435000000000002</v>
      </c>
      <c r="AN32" s="94">
        <f>AO32-SUM(AK32,AL32,AM32)</f>
        <v>74.798000000000002</v>
      </c>
      <c r="AO32" s="98">
        <v>227.20699999999999</v>
      </c>
      <c r="AP32" s="99">
        <v>60.54</v>
      </c>
      <c r="AQ32" s="99">
        <v>28.815999999999999</v>
      </c>
      <c r="AR32" s="99">
        <v>52.469000000000001</v>
      </c>
      <c r="AS32" s="94">
        <f>AT32-SUM(AP32,AQ32,AR32)</f>
        <v>56.951000000000022</v>
      </c>
      <c r="AT32" s="98">
        <v>198.77600000000001</v>
      </c>
      <c r="AU32" s="99">
        <v>59.011000000000003</v>
      </c>
      <c r="AV32" s="99">
        <v>71.241</v>
      </c>
      <c r="AW32" s="99">
        <v>73.236000000000004</v>
      </c>
      <c r="AX32" s="94">
        <f>AY32-SUM(AU32,AV32,AW32)</f>
        <v>76.750999999999976</v>
      </c>
      <c r="AY32" s="98">
        <v>280.23899999999998</v>
      </c>
      <c r="AZ32" s="99">
        <v>72.305000000000007</v>
      </c>
      <c r="BA32" s="99">
        <v>75.527000000000001</v>
      </c>
      <c r="BB32" s="99">
        <v>74.793000000000006</v>
      </c>
      <c r="BC32" s="94">
        <f>BD32-SUM(AZ32,BA32,BB32)</f>
        <v>86.314000000000021</v>
      </c>
      <c r="BD32" s="98">
        <v>308.93900000000002</v>
      </c>
      <c r="BE32" s="99">
        <v>78.171000000000006</v>
      </c>
      <c r="BF32" s="99">
        <v>82.027000000000001</v>
      </c>
      <c r="BG32" s="99">
        <v>81.010999999999996</v>
      </c>
      <c r="BH32" s="94">
        <f>BI32-SUM(BE32,BF32,BG32)</f>
        <v>80.427000000000021</v>
      </c>
      <c r="BI32" s="100">
        <v>321.63600000000002</v>
      </c>
      <c r="BJ32" s="94">
        <f t="shared" ref="BJ32:BV32" si="73">BJ29+BJ30+BJ31</f>
        <v>82.157789224541119</v>
      </c>
      <c r="BK32" s="94">
        <f t="shared" si="73"/>
        <v>89.255944320610482</v>
      </c>
      <c r="BL32" s="94">
        <f t="shared" si="73"/>
        <v>90.334813299733128</v>
      </c>
      <c r="BM32" s="94">
        <f t="shared" si="73"/>
        <v>91.235614681708753</v>
      </c>
      <c r="BN32" s="93">
        <f t="shared" si="73"/>
        <v>352.98416152659343</v>
      </c>
      <c r="BO32" s="94">
        <f t="shared" si="73"/>
        <v>94.076144512470648</v>
      </c>
      <c r="BP32" s="94">
        <f t="shared" si="73"/>
        <v>99.175199590913479</v>
      </c>
      <c r="BQ32" s="94">
        <f t="shared" si="73"/>
        <v>97.766072400154783</v>
      </c>
      <c r="BR32" s="94">
        <f t="shared" si="73"/>
        <v>97.079675087547514</v>
      </c>
      <c r="BS32" s="93">
        <f t="shared" si="73"/>
        <v>388.09709159108638</v>
      </c>
      <c r="BT32" s="93">
        <f t="shared" si="73"/>
        <v>376.32157971583331</v>
      </c>
      <c r="BU32" s="93">
        <f t="shared" si="73"/>
        <v>385.44252402183133</v>
      </c>
      <c r="BV32" s="93">
        <f t="shared" si="73"/>
        <v>395.52022214176372</v>
      </c>
      <c r="BW32" s="4"/>
    </row>
    <row r="33" spans="1:75" ht="15.75" customHeight="1" x14ac:dyDescent="0.2">
      <c r="A33" s="101" t="s">
        <v>502</v>
      </c>
      <c r="B33" s="102"/>
      <c r="C33" s="103"/>
      <c r="D33" s="103"/>
      <c r="E33" s="103"/>
      <c r="F33" s="104">
        <f t="shared" ref="F33:BV33" si="74">F26+F27+F28+F32</f>
        <v>1809.0170000000001</v>
      </c>
      <c r="G33" s="105">
        <f t="shared" si="74"/>
        <v>463.01799999999997</v>
      </c>
      <c r="H33" s="105">
        <f t="shared" si="74"/>
        <v>470.11800000000005</v>
      </c>
      <c r="I33" s="105">
        <f t="shared" si="74"/>
        <v>469.69900000000001</v>
      </c>
      <c r="J33" s="105">
        <f t="shared" si="74"/>
        <v>475.07499999999999</v>
      </c>
      <c r="K33" s="104">
        <f t="shared" si="74"/>
        <v>1877.91</v>
      </c>
      <c r="L33" s="105">
        <f t="shared" si="74"/>
        <v>481.43099999999998</v>
      </c>
      <c r="M33" s="105">
        <f t="shared" si="74"/>
        <v>496.40600000000001</v>
      </c>
      <c r="N33" s="105">
        <f t="shared" si="74"/>
        <v>499.11400000000003</v>
      </c>
      <c r="O33" s="105">
        <f t="shared" si="74"/>
        <v>499.673</v>
      </c>
      <c r="P33" s="104">
        <f t="shared" si="74"/>
        <v>1976.624</v>
      </c>
      <c r="Q33" s="105">
        <f t="shared" si="74"/>
        <v>517.97299999999996</v>
      </c>
      <c r="R33" s="105">
        <f t="shared" si="74"/>
        <v>529.10699999999997</v>
      </c>
      <c r="S33" s="105">
        <f t="shared" si="74"/>
        <v>526.68799999999999</v>
      </c>
      <c r="T33" s="105">
        <f t="shared" si="74"/>
        <v>526.84100000000001</v>
      </c>
      <c r="U33" s="104">
        <f t="shared" si="74"/>
        <v>2100.6089999999999</v>
      </c>
      <c r="V33" s="105">
        <f t="shared" si="74"/>
        <v>553.69299999999998</v>
      </c>
      <c r="W33" s="105">
        <f t="shared" si="74"/>
        <v>558.86199999999997</v>
      </c>
      <c r="X33" s="105">
        <f t="shared" si="74"/>
        <v>560.01799999999992</v>
      </c>
      <c r="Y33" s="106">
        <f t="shared" si="74"/>
        <v>603.14599999999996</v>
      </c>
      <c r="Z33" s="103">
        <f t="shared" si="74"/>
        <v>2275.7190000000001</v>
      </c>
      <c r="AA33" s="105">
        <f t="shared" si="74"/>
        <v>563.42600000000004</v>
      </c>
      <c r="AB33" s="105">
        <f t="shared" si="74"/>
        <v>569.86899999999991</v>
      </c>
      <c r="AC33" s="105">
        <f t="shared" si="74"/>
        <v>555.39200000000005</v>
      </c>
      <c r="AD33" s="106">
        <f t="shared" si="74"/>
        <v>571.81500000000005</v>
      </c>
      <c r="AE33" s="103">
        <f t="shared" si="74"/>
        <v>2260.502</v>
      </c>
      <c r="AF33" s="105">
        <f t="shared" si="74"/>
        <v>590.69100000000003</v>
      </c>
      <c r="AG33" s="105">
        <f t="shared" si="74"/>
        <v>593.178</v>
      </c>
      <c r="AH33" s="105">
        <f t="shared" si="74"/>
        <v>580.88200000000006</v>
      </c>
      <c r="AI33" s="106">
        <f t="shared" si="74"/>
        <v>585.15499999999997</v>
      </c>
      <c r="AJ33" s="103">
        <f t="shared" si="74"/>
        <v>2332.3310000000001</v>
      </c>
      <c r="AK33" s="105">
        <f t="shared" si="74"/>
        <v>599.48099999999999</v>
      </c>
      <c r="AL33" s="105">
        <f t="shared" si="74"/>
        <v>602.64499999999998</v>
      </c>
      <c r="AM33" s="105">
        <f t="shared" si="74"/>
        <v>586.53600000000006</v>
      </c>
      <c r="AN33" s="106">
        <f t="shared" si="74"/>
        <v>694.03</v>
      </c>
      <c r="AO33" s="103">
        <f t="shared" si="74"/>
        <v>2482.692</v>
      </c>
      <c r="AP33" s="105">
        <f t="shared" si="74"/>
        <v>615.10599999999988</v>
      </c>
      <c r="AQ33" s="105">
        <f t="shared" si="74"/>
        <v>295.851</v>
      </c>
      <c r="AR33" s="105">
        <f t="shared" si="74"/>
        <v>517.71600000000001</v>
      </c>
      <c r="AS33" s="106">
        <f t="shared" si="74"/>
        <v>554.55200000000013</v>
      </c>
      <c r="AT33" s="103">
        <f t="shared" si="74"/>
        <v>1983.2250000000001</v>
      </c>
      <c r="AU33" s="105">
        <f t="shared" si="74"/>
        <v>627.41699999999992</v>
      </c>
      <c r="AV33" s="105">
        <f t="shared" si="74"/>
        <v>768.95600000000002</v>
      </c>
      <c r="AW33" s="105">
        <f t="shared" si="74"/>
        <v>754.47399999999993</v>
      </c>
      <c r="AX33" s="106">
        <f t="shared" si="74"/>
        <v>776.6930000000001</v>
      </c>
      <c r="AY33" s="103">
        <f t="shared" si="74"/>
        <v>2927.54</v>
      </c>
      <c r="AZ33" s="105">
        <f t="shared" si="74"/>
        <v>793.71</v>
      </c>
      <c r="BA33" s="105">
        <f t="shared" si="74"/>
        <v>832.64300000000003</v>
      </c>
      <c r="BB33" s="105">
        <f t="shared" si="74"/>
        <v>784.00100000000009</v>
      </c>
      <c r="BC33" s="106">
        <f t="shared" si="74"/>
        <v>892.80200000000013</v>
      </c>
      <c r="BD33" s="103">
        <f t="shared" si="74"/>
        <v>3303.1559999999999</v>
      </c>
      <c r="BE33" s="105">
        <f t="shared" si="74"/>
        <v>866.11400000000003</v>
      </c>
      <c r="BF33" s="105">
        <f t="shared" si="74"/>
        <v>866.17</v>
      </c>
      <c r="BG33" s="83">
        <f t="shared" si="74"/>
        <v>830.21</v>
      </c>
      <c r="BH33" s="106">
        <f t="shared" si="74"/>
        <v>877.00899999999967</v>
      </c>
      <c r="BI33" s="107">
        <f t="shared" si="74"/>
        <v>3439.5030000000002</v>
      </c>
      <c r="BJ33" s="106">
        <f t="shared" si="74"/>
        <v>906.40464524749257</v>
      </c>
      <c r="BK33" s="106">
        <f t="shared" si="74"/>
        <v>926.16846918618046</v>
      </c>
      <c r="BL33" s="106">
        <f t="shared" si="74"/>
        <v>888.29195777755501</v>
      </c>
      <c r="BM33" s="106">
        <f t="shared" si="74"/>
        <v>937.9276479256464</v>
      </c>
      <c r="BN33" s="103">
        <f t="shared" si="74"/>
        <v>3658.7927201368748</v>
      </c>
      <c r="BO33" s="106">
        <f t="shared" si="74"/>
        <v>952.17336422319727</v>
      </c>
      <c r="BP33" s="106">
        <f t="shared" si="74"/>
        <v>971.76247830213617</v>
      </c>
      <c r="BQ33" s="106">
        <f t="shared" si="74"/>
        <v>932.73136592015419</v>
      </c>
      <c r="BR33" s="106">
        <f t="shared" si="74"/>
        <v>986.65218344742721</v>
      </c>
      <c r="BS33" s="103">
        <f t="shared" si="74"/>
        <v>3843.3193918929146</v>
      </c>
      <c r="BT33" s="103">
        <f t="shared" si="74"/>
        <v>4137.0957388006564</v>
      </c>
      <c r="BU33" s="103">
        <f t="shared" si="74"/>
        <v>4462.2926185860342</v>
      </c>
      <c r="BV33" s="103">
        <f t="shared" si="74"/>
        <v>4876.759601691545</v>
      </c>
      <c r="BW33" s="83"/>
    </row>
    <row r="34" spans="1:75" ht="15.75" customHeight="1" x14ac:dyDescent="0.2">
      <c r="A34" s="108"/>
      <c r="B34" s="108"/>
      <c r="C34" s="109"/>
      <c r="D34" s="109"/>
      <c r="E34" s="109"/>
      <c r="F34" s="109"/>
      <c r="G34" s="110"/>
      <c r="H34" s="110"/>
      <c r="I34" s="110"/>
      <c r="J34" s="110"/>
      <c r="K34" s="109"/>
      <c r="L34" s="110"/>
      <c r="M34" s="110"/>
      <c r="N34" s="110"/>
      <c r="O34" s="110"/>
      <c r="P34" s="109"/>
      <c r="Q34" s="110"/>
      <c r="R34" s="110"/>
      <c r="S34" s="110"/>
      <c r="T34" s="110"/>
      <c r="U34" s="109"/>
      <c r="V34" s="110"/>
      <c r="W34" s="110"/>
      <c r="X34" s="110"/>
      <c r="Y34" s="110"/>
      <c r="Z34" s="109"/>
      <c r="AA34" s="110"/>
      <c r="AB34" s="110"/>
      <c r="AC34" s="110"/>
      <c r="AD34" s="110"/>
      <c r="AE34" s="109"/>
      <c r="AF34" s="110"/>
      <c r="AG34" s="110"/>
      <c r="AH34" s="110"/>
      <c r="AI34" s="110"/>
      <c r="AJ34" s="109"/>
      <c r="AK34" s="110"/>
      <c r="AL34" s="110"/>
      <c r="AM34" s="110"/>
      <c r="AN34" s="110"/>
      <c r="AO34" s="109"/>
      <c r="AP34" s="110"/>
      <c r="AQ34" s="110"/>
      <c r="AR34" s="110"/>
      <c r="AS34" s="110"/>
      <c r="AT34" s="109"/>
      <c r="AU34" s="110"/>
      <c r="AV34" s="110"/>
      <c r="AW34" s="110"/>
      <c r="AX34" s="110"/>
      <c r="AY34" s="109"/>
      <c r="AZ34" s="110"/>
      <c r="BA34" s="110"/>
      <c r="BB34" s="110"/>
      <c r="BC34" s="110"/>
      <c r="BD34" s="109"/>
      <c r="BE34" s="110"/>
      <c r="BF34" s="110"/>
      <c r="BG34" s="110"/>
      <c r="BH34" s="110"/>
      <c r="BI34" s="107"/>
      <c r="BJ34" s="110"/>
      <c r="BK34" s="110"/>
      <c r="BL34" s="110"/>
      <c r="BM34" s="110"/>
      <c r="BN34" s="109"/>
      <c r="BO34" s="110"/>
      <c r="BP34" s="110"/>
      <c r="BQ34" s="110"/>
      <c r="BR34" s="110"/>
      <c r="BS34" s="109"/>
      <c r="BT34" s="109"/>
      <c r="BU34" s="109"/>
      <c r="BV34" s="109"/>
      <c r="BW34" s="83"/>
    </row>
    <row r="35" spans="1:75" ht="15.75" customHeight="1" x14ac:dyDescent="0.2">
      <c r="A35" s="81" t="s">
        <v>503</v>
      </c>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2"/>
      <c r="BJ35" s="81"/>
      <c r="BK35" s="81"/>
      <c r="BL35" s="81"/>
      <c r="BM35" s="81"/>
      <c r="BN35" s="81"/>
      <c r="BO35" s="81"/>
      <c r="BP35" s="81"/>
      <c r="BQ35" s="81"/>
      <c r="BR35" s="81"/>
      <c r="BS35" s="81"/>
      <c r="BT35" s="81"/>
      <c r="BU35" s="81"/>
      <c r="BV35" s="81"/>
      <c r="BW35" s="83"/>
    </row>
    <row r="36" spans="1:75" ht="15.75" customHeight="1" outlineLevel="1" x14ac:dyDescent="0.2">
      <c r="A36" s="84" t="s">
        <v>504</v>
      </c>
      <c r="B36" s="85"/>
      <c r="C36" s="111">
        <f t="shared" ref="C36:BI40" si="75">C337</f>
        <v>394.40899999999999</v>
      </c>
      <c r="D36" s="111">
        <f t="shared" si="75"/>
        <v>412.85500000000002</v>
      </c>
      <c r="E36" s="111">
        <f t="shared" si="75"/>
        <v>448.46800000000002</v>
      </c>
      <c r="F36" s="111">
        <f t="shared" si="75"/>
        <v>450.15300000000002</v>
      </c>
      <c r="G36" s="4">
        <f t="shared" si="75"/>
        <v>114.29300000000001</v>
      </c>
      <c r="H36" s="4">
        <f t="shared" si="75"/>
        <v>112.947</v>
      </c>
      <c r="I36" s="4">
        <f t="shared" si="75"/>
        <v>112.43</v>
      </c>
      <c r="J36" s="4">
        <f t="shared" si="75"/>
        <v>116.015</v>
      </c>
      <c r="K36" s="111">
        <f t="shared" si="75"/>
        <v>455.685</v>
      </c>
      <c r="L36" s="4">
        <f t="shared" si="75"/>
        <v>119.36199999999999</v>
      </c>
      <c r="M36" s="4">
        <f t="shared" si="75"/>
        <v>120.667</v>
      </c>
      <c r="N36" s="4">
        <f t="shared" si="75"/>
        <v>124.02800000000001</v>
      </c>
      <c r="O36" s="4">
        <f t="shared" si="75"/>
        <v>126.249</v>
      </c>
      <c r="P36" s="111">
        <f t="shared" si="75"/>
        <v>490.30599999999998</v>
      </c>
      <c r="Q36" s="4">
        <f t="shared" si="75"/>
        <v>126.61199999999999</v>
      </c>
      <c r="R36" s="4">
        <f t="shared" si="75"/>
        <v>126.623</v>
      </c>
      <c r="S36" s="4">
        <f t="shared" si="75"/>
        <v>125.605</v>
      </c>
      <c r="T36" s="4">
        <f t="shared" si="75"/>
        <v>125.191</v>
      </c>
      <c r="U36" s="111">
        <f t="shared" si="75"/>
        <v>504.03100000000001</v>
      </c>
      <c r="V36" s="4">
        <f t="shared" si="75"/>
        <v>130.773</v>
      </c>
      <c r="W36" s="4">
        <f t="shared" si="75"/>
        <v>126.93300000000001</v>
      </c>
      <c r="X36" s="4">
        <f t="shared" si="75"/>
        <v>128.83799999999999</v>
      </c>
      <c r="Y36" s="4">
        <f t="shared" si="75"/>
        <v>140.084</v>
      </c>
      <c r="Z36" s="111">
        <f t="shared" si="75"/>
        <v>526.62800000000004</v>
      </c>
      <c r="AA36" s="4">
        <f t="shared" si="75"/>
        <v>129.13900000000001</v>
      </c>
      <c r="AB36" s="4">
        <f t="shared" si="75"/>
        <v>128.78100000000001</v>
      </c>
      <c r="AC36" s="4">
        <f t="shared" si="75"/>
        <v>127.453</v>
      </c>
      <c r="AD36" s="4">
        <f t="shared" si="75"/>
        <v>134.01499999999999</v>
      </c>
      <c r="AE36" s="111">
        <f t="shared" si="75"/>
        <v>519.38800000000003</v>
      </c>
      <c r="AF36" s="4">
        <f t="shared" si="75"/>
        <v>135.71899999999999</v>
      </c>
      <c r="AG36" s="4">
        <f t="shared" si="75"/>
        <v>133.136</v>
      </c>
      <c r="AH36" s="4">
        <f t="shared" si="75"/>
        <v>133.59800000000001</v>
      </c>
      <c r="AI36" s="4">
        <f t="shared" si="75"/>
        <v>134.821</v>
      </c>
      <c r="AJ36" s="111">
        <f t="shared" si="75"/>
        <v>532.88</v>
      </c>
      <c r="AK36" s="4">
        <f t="shared" si="75"/>
        <v>136.18700000000001</v>
      </c>
      <c r="AL36" s="4">
        <f t="shared" si="75"/>
        <v>134.43799999999999</v>
      </c>
      <c r="AM36" s="4">
        <f t="shared" si="75"/>
        <v>132.941</v>
      </c>
      <c r="AN36" s="4">
        <f t="shared" si="75"/>
        <v>158.21699999999998</v>
      </c>
      <c r="AO36" s="111">
        <f t="shared" si="75"/>
        <v>561.78300000000002</v>
      </c>
      <c r="AP36" s="4">
        <f t="shared" si="75"/>
        <v>140.905</v>
      </c>
      <c r="AQ36" s="4">
        <f t="shared" si="75"/>
        <v>72.138999999999996</v>
      </c>
      <c r="AR36" s="4">
        <f t="shared" si="75"/>
        <v>118.093</v>
      </c>
      <c r="AS36" s="4">
        <f t="shared" si="75"/>
        <v>127.19499999999999</v>
      </c>
      <c r="AT36" s="111">
        <f t="shared" si="75"/>
        <v>458.33199999999999</v>
      </c>
      <c r="AU36" s="4">
        <f t="shared" si="75"/>
        <v>135.875</v>
      </c>
      <c r="AV36" s="4">
        <f t="shared" si="75"/>
        <v>168.94399999999999</v>
      </c>
      <c r="AW36" s="4">
        <f t="shared" si="75"/>
        <v>169.41800000000001</v>
      </c>
      <c r="AX36" s="4">
        <f t="shared" si="75"/>
        <v>178.89600000000007</v>
      </c>
      <c r="AY36" s="111">
        <f t="shared" si="75"/>
        <v>653.13300000000004</v>
      </c>
      <c r="AZ36" s="4">
        <f t="shared" si="75"/>
        <v>188.501</v>
      </c>
      <c r="BA36" s="4">
        <f t="shared" si="75"/>
        <v>204.18199999999999</v>
      </c>
      <c r="BB36" s="4">
        <f t="shared" si="75"/>
        <v>197.774</v>
      </c>
      <c r="BC36" s="4">
        <f t="shared" si="75"/>
        <v>220.46900000000005</v>
      </c>
      <c r="BD36" s="111">
        <f t="shared" si="75"/>
        <v>810.92600000000004</v>
      </c>
      <c r="BE36" s="4">
        <f t="shared" si="75"/>
        <v>206.22399999999999</v>
      </c>
      <c r="BF36" s="4">
        <f t="shared" si="75"/>
        <v>201.09399999999999</v>
      </c>
      <c r="BG36" s="4">
        <f t="shared" si="75"/>
        <v>194.733</v>
      </c>
      <c r="BH36" s="4">
        <f t="shared" si="75"/>
        <v>201.44900000000007</v>
      </c>
      <c r="BI36" s="112">
        <f t="shared" si="75"/>
        <v>803.5</v>
      </c>
      <c r="BJ36" s="2">
        <f t="shared" ref="BJ36:BM38" si="76">BJ313*BJ$380</f>
        <v>215.77668565466442</v>
      </c>
      <c r="BK36" s="2">
        <f t="shared" si="76"/>
        <v>206.10525761220768</v>
      </c>
      <c r="BL36" s="2">
        <f t="shared" si="76"/>
        <v>199.82839746329691</v>
      </c>
      <c r="BM36" s="2">
        <f t="shared" si="76"/>
        <v>206.55186868517876</v>
      </c>
      <c r="BN36" s="86">
        <f t="shared" ref="BN36:BN41" si="77">SUM(BJ36,BK36,BL36,BM36)</f>
        <v>828.2622094153478</v>
      </c>
      <c r="BO36" s="2">
        <f t="shared" ref="BO36:BR38" si="78">BO313*BO$380</f>
        <v>226.86706139860763</v>
      </c>
      <c r="BP36" s="2">
        <f t="shared" si="78"/>
        <v>216.41990513256494</v>
      </c>
      <c r="BQ36" s="2">
        <f t="shared" si="78"/>
        <v>210.00248621333637</v>
      </c>
      <c r="BR36" s="2">
        <f t="shared" si="78"/>
        <v>217.47413254459551</v>
      </c>
      <c r="BS36" s="86">
        <f t="shared" ref="BS36:BS41" si="79">SUM(BO36,BP36,BQ36,BR36)</f>
        <v>870.76358528910441</v>
      </c>
      <c r="BT36" s="86">
        <f t="shared" ref="BT36:BV38" si="80">BT313*BT$380</f>
        <v>938.3729633113411</v>
      </c>
      <c r="BU36" s="86">
        <f t="shared" si="80"/>
        <v>1013.2763603241252</v>
      </c>
      <c r="BV36" s="86">
        <f t="shared" si="80"/>
        <v>1108.7871820246821</v>
      </c>
      <c r="BW36" s="4"/>
    </row>
    <row r="37" spans="1:75" ht="15.75" customHeight="1" outlineLevel="1" x14ac:dyDescent="0.2">
      <c r="A37" s="84" t="s">
        <v>505</v>
      </c>
      <c r="B37" s="85"/>
      <c r="C37" s="111">
        <f t="shared" si="75"/>
        <v>528.57799999999997</v>
      </c>
      <c r="D37" s="111">
        <f t="shared" si="75"/>
        <v>536.95399999999995</v>
      </c>
      <c r="E37" s="111">
        <f t="shared" si="75"/>
        <v>567.35799999999995</v>
      </c>
      <c r="F37" s="111">
        <f t="shared" si="75"/>
        <v>580.19200000000001</v>
      </c>
      <c r="G37" s="4">
        <f t="shared" si="75"/>
        <v>150.983</v>
      </c>
      <c r="H37" s="4">
        <f t="shared" si="75"/>
        <v>151.16200000000001</v>
      </c>
      <c r="I37" s="4">
        <f t="shared" si="75"/>
        <v>150.91</v>
      </c>
      <c r="J37" s="4">
        <f t="shared" si="75"/>
        <v>150.01400000000001</v>
      </c>
      <c r="K37" s="111">
        <f t="shared" si="75"/>
        <v>603.06899999999996</v>
      </c>
      <c r="L37" s="4">
        <f t="shared" si="75"/>
        <v>159.44999999999999</v>
      </c>
      <c r="M37" s="4">
        <f t="shared" si="75"/>
        <v>160.77699999999999</v>
      </c>
      <c r="N37" s="4">
        <f t="shared" si="75"/>
        <v>163.279</v>
      </c>
      <c r="O37" s="4">
        <f t="shared" si="75"/>
        <v>162.596</v>
      </c>
      <c r="P37" s="111">
        <f t="shared" si="75"/>
        <v>646.10199999999998</v>
      </c>
      <c r="Q37" s="4">
        <f t="shared" si="75"/>
        <v>171.16900000000001</v>
      </c>
      <c r="R37" s="4">
        <f t="shared" si="75"/>
        <v>168.495</v>
      </c>
      <c r="S37" s="4">
        <f t="shared" si="75"/>
        <v>172.101</v>
      </c>
      <c r="T37" s="4">
        <f t="shared" si="75"/>
        <v>173.053</v>
      </c>
      <c r="U37" s="111">
        <f t="shared" si="75"/>
        <v>684.81799999999998</v>
      </c>
      <c r="V37" s="4">
        <f t="shared" si="75"/>
        <v>185.65799999999999</v>
      </c>
      <c r="W37" s="4">
        <f t="shared" si="75"/>
        <v>185.21100000000001</v>
      </c>
      <c r="X37" s="4">
        <f t="shared" si="75"/>
        <v>186.56700000000001</v>
      </c>
      <c r="Y37" s="4">
        <f t="shared" si="75"/>
        <v>202.56200000000001</v>
      </c>
      <c r="Z37" s="111">
        <f t="shared" si="75"/>
        <v>759.99800000000005</v>
      </c>
      <c r="AA37" s="4">
        <f t="shared" si="75"/>
        <v>193.83500000000001</v>
      </c>
      <c r="AB37" s="4">
        <f t="shared" si="75"/>
        <v>193.06299999999999</v>
      </c>
      <c r="AC37" s="4">
        <f t="shared" si="75"/>
        <v>193.46600000000001</v>
      </c>
      <c r="AD37" s="4">
        <f t="shared" si="75"/>
        <v>197.23099999999999</v>
      </c>
      <c r="AE37" s="111">
        <f t="shared" si="75"/>
        <v>777.59500000000003</v>
      </c>
      <c r="AF37" s="4">
        <f t="shared" si="75"/>
        <v>210.714</v>
      </c>
      <c r="AG37" s="4">
        <f t="shared" si="75"/>
        <v>212.52099999999999</v>
      </c>
      <c r="AH37" s="4">
        <f t="shared" si="75"/>
        <v>204.53700000000001</v>
      </c>
      <c r="AI37" s="4">
        <f t="shared" si="75"/>
        <v>209.702</v>
      </c>
      <c r="AJ37" s="111">
        <f t="shared" si="75"/>
        <v>834.13400000000001</v>
      </c>
      <c r="AK37" s="4">
        <f t="shared" si="75"/>
        <v>217.31</v>
      </c>
      <c r="AL37" s="4">
        <f t="shared" si="75"/>
        <v>217.92099999999999</v>
      </c>
      <c r="AM37" s="4">
        <f t="shared" si="75"/>
        <v>213.6</v>
      </c>
      <c r="AN37" s="4">
        <f t="shared" si="75"/>
        <v>250.83600000000001</v>
      </c>
      <c r="AO37" s="111">
        <f t="shared" si="75"/>
        <v>899.66700000000003</v>
      </c>
      <c r="AP37" s="4">
        <f t="shared" si="75"/>
        <v>236.982</v>
      </c>
      <c r="AQ37" s="4">
        <f t="shared" si="75"/>
        <v>122.812</v>
      </c>
      <c r="AR37" s="4">
        <f t="shared" si="75"/>
        <v>200.666</v>
      </c>
      <c r="AS37" s="4">
        <f t="shared" si="75"/>
        <v>218.12599999999998</v>
      </c>
      <c r="AT37" s="111">
        <f t="shared" si="75"/>
        <v>778.58600000000001</v>
      </c>
      <c r="AU37" s="4">
        <f t="shared" si="75"/>
        <v>229.732</v>
      </c>
      <c r="AV37" s="4">
        <f t="shared" si="75"/>
        <v>274.81200000000001</v>
      </c>
      <c r="AW37" s="4">
        <f t="shared" si="75"/>
        <v>279.95699999999999</v>
      </c>
      <c r="AX37" s="4">
        <f t="shared" si="75"/>
        <v>288.12699999999995</v>
      </c>
      <c r="AY37" s="111">
        <f t="shared" si="75"/>
        <v>1072.6279999999999</v>
      </c>
      <c r="AZ37" s="4">
        <f t="shared" si="75"/>
        <v>295.76299999999998</v>
      </c>
      <c r="BA37" s="4">
        <f t="shared" si="75"/>
        <v>304.51900000000001</v>
      </c>
      <c r="BB37" s="4">
        <f t="shared" si="75"/>
        <v>293.04000000000002</v>
      </c>
      <c r="BC37" s="4">
        <f t="shared" si="75"/>
        <v>318.62900000000013</v>
      </c>
      <c r="BD37" s="111">
        <f t="shared" si="75"/>
        <v>1211.951</v>
      </c>
      <c r="BE37" s="4">
        <f t="shared" si="75"/>
        <v>311.52800000000002</v>
      </c>
      <c r="BF37" s="4">
        <f t="shared" si="75"/>
        <v>306.149</v>
      </c>
      <c r="BG37" s="4">
        <f t="shared" si="75"/>
        <v>301.66300000000001</v>
      </c>
      <c r="BH37" s="4">
        <f t="shared" si="75"/>
        <v>308.55499999999995</v>
      </c>
      <c r="BI37" s="112">
        <f t="shared" si="75"/>
        <v>1227.895</v>
      </c>
      <c r="BJ37" s="2">
        <f t="shared" si="76"/>
        <v>325.95856606712266</v>
      </c>
      <c r="BK37" s="2">
        <f t="shared" si="76"/>
        <v>327.4957445310605</v>
      </c>
      <c r="BL37" s="2">
        <f t="shared" si="76"/>
        <v>322.91139111587296</v>
      </c>
      <c r="BM37" s="2">
        <f t="shared" si="76"/>
        <v>330.31963352918939</v>
      </c>
      <c r="BN37" s="86">
        <f t="shared" si="77"/>
        <v>1306.6853352432454</v>
      </c>
      <c r="BO37" s="2">
        <f t="shared" si="78"/>
        <v>342.71201171243621</v>
      </c>
      <c r="BP37" s="2">
        <f t="shared" si="78"/>
        <v>343.88544369929156</v>
      </c>
      <c r="BQ37" s="2">
        <f t="shared" si="78"/>
        <v>339.35214324778661</v>
      </c>
      <c r="BR37" s="2">
        <f t="shared" si="78"/>
        <v>347.78661757691361</v>
      </c>
      <c r="BS37" s="86">
        <f t="shared" si="79"/>
        <v>1373.7362162364279</v>
      </c>
      <c r="BT37" s="86">
        <f t="shared" si="80"/>
        <v>1480.3982915866843</v>
      </c>
      <c r="BU37" s="86">
        <f t="shared" si="80"/>
        <v>1598.567575344036</v>
      </c>
      <c r="BV37" s="86">
        <f t="shared" si="80"/>
        <v>1749.2475957642662</v>
      </c>
      <c r="BW37" s="4"/>
    </row>
    <row r="38" spans="1:75" ht="15.75" customHeight="1" outlineLevel="1" x14ac:dyDescent="0.2">
      <c r="A38" s="84" t="s">
        <v>506</v>
      </c>
      <c r="B38" s="85"/>
      <c r="C38" s="111">
        <f t="shared" si="75"/>
        <v>402.87700000000001</v>
      </c>
      <c r="D38" s="111">
        <f t="shared" si="75"/>
        <v>408.36200000000002</v>
      </c>
      <c r="E38" s="111">
        <f t="shared" si="75"/>
        <v>428.44200000000001</v>
      </c>
      <c r="F38" s="111">
        <f t="shared" si="75"/>
        <v>439.55900000000003</v>
      </c>
      <c r="G38" s="4">
        <f t="shared" si="75"/>
        <v>110.97799999999999</v>
      </c>
      <c r="H38" s="4">
        <f t="shared" si="75"/>
        <v>113.80500000000001</v>
      </c>
      <c r="I38" s="4">
        <f t="shared" si="75"/>
        <v>113.955</v>
      </c>
      <c r="J38" s="4">
        <f t="shared" si="75"/>
        <v>113.833</v>
      </c>
      <c r="K38" s="111">
        <f t="shared" si="75"/>
        <v>452.57100000000003</v>
      </c>
      <c r="L38" s="4">
        <f t="shared" si="75"/>
        <v>115.633</v>
      </c>
      <c r="M38" s="4">
        <f t="shared" si="75"/>
        <v>119.577</v>
      </c>
      <c r="N38" s="4">
        <f t="shared" si="75"/>
        <v>123.095</v>
      </c>
      <c r="O38" s="4">
        <f t="shared" si="75"/>
        <v>120.199</v>
      </c>
      <c r="P38" s="111">
        <f t="shared" si="75"/>
        <v>478.50400000000002</v>
      </c>
      <c r="Q38" s="4">
        <f t="shared" si="75"/>
        <v>123.435</v>
      </c>
      <c r="R38" s="4">
        <f t="shared" si="75"/>
        <v>123.675</v>
      </c>
      <c r="S38" s="4">
        <f t="shared" si="75"/>
        <v>128.42699999999999</v>
      </c>
      <c r="T38" s="4">
        <f t="shared" si="75"/>
        <v>125.10299999999999</v>
      </c>
      <c r="U38" s="111">
        <f t="shared" si="75"/>
        <v>500.64</v>
      </c>
      <c r="V38" s="4">
        <f t="shared" si="75"/>
        <v>129.55699999999999</v>
      </c>
      <c r="W38" s="4">
        <f t="shared" si="75"/>
        <v>131.97999999999999</v>
      </c>
      <c r="X38" s="4">
        <f t="shared" si="75"/>
        <v>134.87700000000001</v>
      </c>
      <c r="Y38" s="4">
        <f t="shared" si="75"/>
        <v>143.95099999999999</v>
      </c>
      <c r="Z38" s="111">
        <f t="shared" si="75"/>
        <v>540.36500000000001</v>
      </c>
      <c r="AA38" s="4">
        <f t="shared" si="75"/>
        <v>135.65</v>
      </c>
      <c r="AB38" s="4">
        <f t="shared" si="75"/>
        <v>137.46100000000001</v>
      </c>
      <c r="AC38" s="4">
        <f t="shared" si="75"/>
        <v>138.423</v>
      </c>
      <c r="AD38" s="4">
        <f t="shared" si="75"/>
        <v>141.25700000000001</v>
      </c>
      <c r="AE38" s="111">
        <f t="shared" si="75"/>
        <v>552.79100000000005</v>
      </c>
      <c r="AF38" s="4">
        <f t="shared" si="75"/>
        <v>148.33199999999999</v>
      </c>
      <c r="AG38" s="4">
        <f t="shared" si="75"/>
        <v>143.79599999999999</v>
      </c>
      <c r="AH38" s="4">
        <f t="shared" si="75"/>
        <v>144.18</v>
      </c>
      <c r="AI38" s="4">
        <f t="shared" si="75"/>
        <v>140.35900000000001</v>
      </c>
      <c r="AJ38" s="111">
        <f t="shared" si="75"/>
        <v>566.82500000000005</v>
      </c>
      <c r="AK38" s="4">
        <f t="shared" si="75"/>
        <v>153.221</v>
      </c>
      <c r="AL38" s="4">
        <f t="shared" si="75"/>
        <v>149.10599999999999</v>
      </c>
      <c r="AM38" s="4">
        <f t="shared" si="75"/>
        <v>149.39699999999999</v>
      </c>
      <c r="AN38" s="4">
        <f t="shared" si="75"/>
        <v>179.88900000000007</v>
      </c>
      <c r="AO38" s="111">
        <f t="shared" si="75"/>
        <v>631.61300000000006</v>
      </c>
      <c r="AP38" s="4">
        <f t="shared" si="75"/>
        <v>167.97</v>
      </c>
      <c r="AQ38" s="4">
        <f t="shared" si="75"/>
        <v>121.675</v>
      </c>
      <c r="AR38" s="4">
        <f t="shared" si="75"/>
        <v>159.095</v>
      </c>
      <c r="AS38" s="4">
        <f t="shared" si="75"/>
        <v>167.32899999999995</v>
      </c>
      <c r="AT38" s="111">
        <f t="shared" si="75"/>
        <v>616.06899999999996</v>
      </c>
      <c r="AU38" s="4">
        <f t="shared" si="75"/>
        <v>181.53299999999999</v>
      </c>
      <c r="AV38" s="4">
        <f t="shared" si="75"/>
        <v>199.495</v>
      </c>
      <c r="AW38" s="4">
        <f t="shared" si="75"/>
        <v>201.49</v>
      </c>
      <c r="AX38" s="4">
        <f t="shared" si="75"/>
        <v>209.79300000000001</v>
      </c>
      <c r="AY38" s="111">
        <f t="shared" si="75"/>
        <v>792.31100000000004</v>
      </c>
      <c r="AZ38" s="4">
        <f t="shared" si="75"/>
        <v>207.63499999999999</v>
      </c>
      <c r="BA38" s="4">
        <f t="shared" si="75"/>
        <v>219.2</v>
      </c>
      <c r="BB38" s="4">
        <f t="shared" si="75"/>
        <v>217.00899999999999</v>
      </c>
      <c r="BC38" s="4">
        <f t="shared" si="75"/>
        <v>237.78300000000002</v>
      </c>
      <c r="BD38" s="111">
        <f t="shared" si="75"/>
        <v>881.62699999999995</v>
      </c>
      <c r="BE38" s="4">
        <f t="shared" si="75"/>
        <v>230.929</v>
      </c>
      <c r="BF38" s="4">
        <f t="shared" si="75"/>
        <v>226.99600000000001</v>
      </c>
      <c r="BG38" s="4">
        <f t="shared" si="75"/>
        <v>229.53399999999999</v>
      </c>
      <c r="BH38" s="4">
        <f t="shared" si="75"/>
        <v>234.96899999999994</v>
      </c>
      <c r="BI38" s="112">
        <f t="shared" si="75"/>
        <v>922.428</v>
      </c>
      <c r="BJ38" s="2">
        <f t="shared" si="76"/>
        <v>239.86615208889185</v>
      </c>
      <c r="BK38" s="2">
        <f t="shared" si="76"/>
        <v>242.82367091048025</v>
      </c>
      <c r="BL38" s="2">
        <f t="shared" si="76"/>
        <v>245.70180382874523</v>
      </c>
      <c r="BM38" s="2">
        <f t="shared" si="76"/>
        <v>251.54307650409197</v>
      </c>
      <c r="BN38" s="86">
        <f t="shared" si="77"/>
        <v>979.93470333220921</v>
      </c>
      <c r="BO38" s="2">
        <f t="shared" si="78"/>
        <v>252.19466546302493</v>
      </c>
      <c r="BP38" s="2">
        <f t="shared" si="78"/>
        <v>254.9759110040026</v>
      </c>
      <c r="BQ38" s="2">
        <f t="shared" si="78"/>
        <v>258.21149709522695</v>
      </c>
      <c r="BR38" s="2">
        <f t="shared" si="78"/>
        <v>264.84443209615728</v>
      </c>
      <c r="BS38" s="86">
        <f t="shared" si="79"/>
        <v>1030.2265056584117</v>
      </c>
      <c r="BT38" s="86">
        <f t="shared" si="80"/>
        <v>1110.21718791284</v>
      </c>
      <c r="BU38" s="86">
        <f t="shared" si="80"/>
        <v>1198.8376427298667</v>
      </c>
      <c r="BV38" s="86">
        <f t="shared" si="80"/>
        <v>1311.8393595626385</v>
      </c>
      <c r="BW38" s="4"/>
    </row>
    <row r="39" spans="1:75" ht="15.75" customHeight="1" outlineLevel="1" x14ac:dyDescent="0.2">
      <c r="A39" s="84" t="s">
        <v>507</v>
      </c>
      <c r="B39" s="85"/>
      <c r="C39" s="111">
        <f t="shared" si="75"/>
        <v>97.432000000000002</v>
      </c>
      <c r="D39" s="111">
        <f t="shared" si="75"/>
        <v>95.728999999999999</v>
      </c>
      <c r="E39" s="111">
        <f t="shared" si="75"/>
        <v>96.263000000000005</v>
      </c>
      <c r="F39" s="111">
        <f t="shared" si="75"/>
        <v>104.15600000000001</v>
      </c>
      <c r="G39" s="4">
        <f t="shared" si="75"/>
        <v>28.789000000000001</v>
      </c>
      <c r="H39" s="4">
        <f t="shared" si="75"/>
        <v>27.811</v>
      </c>
      <c r="I39" s="4">
        <f t="shared" si="75"/>
        <v>28.805</v>
      </c>
      <c r="J39" s="4">
        <f t="shared" si="75"/>
        <v>29.323</v>
      </c>
      <c r="K39" s="111">
        <f t="shared" si="75"/>
        <v>114.72799999999999</v>
      </c>
      <c r="L39" s="4">
        <f t="shared" si="75"/>
        <v>31.242000000000001</v>
      </c>
      <c r="M39" s="4">
        <f t="shared" si="75"/>
        <v>29.042000000000002</v>
      </c>
      <c r="N39" s="4">
        <f t="shared" si="75"/>
        <v>29.640999999999998</v>
      </c>
      <c r="O39" s="4">
        <f t="shared" si="75"/>
        <v>29.169</v>
      </c>
      <c r="P39" s="111">
        <f t="shared" si="75"/>
        <v>119.09399999999999</v>
      </c>
      <c r="Q39" s="4">
        <f t="shared" si="75"/>
        <v>33.075000000000003</v>
      </c>
      <c r="R39" s="4">
        <f t="shared" si="75"/>
        <v>35.344999999999999</v>
      </c>
      <c r="S39" s="4">
        <f t="shared" si="75"/>
        <v>33.277000000000001</v>
      </c>
      <c r="T39" s="4">
        <f t="shared" si="75"/>
        <v>35.704999999999998</v>
      </c>
      <c r="U39" s="111">
        <f t="shared" si="75"/>
        <v>137.40199999999999</v>
      </c>
      <c r="V39" s="4">
        <f t="shared" si="75"/>
        <v>35.337000000000003</v>
      </c>
      <c r="W39" s="4">
        <f t="shared" si="75"/>
        <v>35.784999999999997</v>
      </c>
      <c r="X39" s="4">
        <f t="shared" si="75"/>
        <v>36.057000000000002</v>
      </c>
      <c r="Y39" s="4">
        <f t="shared" si="75"/>
        <v>38.863</v>
      </c>
      <c r="Z39" s="111">
        <f t="shared" si="75"/>
        <v>146.042</v>
      </c>
      <c r="AA39" s="4">
        <f t="shared" si="75"/>
        <v>36.286999999999999</v>
      </c>
      <c r="AB39" s="4">
        <f t="shared" si="75"/>
        <v>35.295000000000002</v>
      </c>
      <c r="AC39" s="4">
        <f t="shared" si="75"/>
        <v>35.363999999999997</v>
      </c>
      <c r="AD39" s="4">
        <f t="shared" si="75"/>
        <v>34.587000000000003</v>
      </c>
      <c r="AE39" s="111">
        <f t="shared" si="75"/>
        <v>141.53299999999999</v>
      </c>
      <c r="AF39" s="4">
        <f t="shared" si="75"/>
        <v>39.274000000000001</v>
      </c>
      <c r="AG39" s="4">
        <f t="shared" si="75"/>
        <v>41.423000000000002</v>
      </c>
      <c r="AH39" s="4">
        <f t="shared" si="75"/>
        <v>37.469000000000001</v>
      </c>
      <c r="AI39" s="4">
        <f t="shared" si="75"/>
        <v>36.603999999999999</v>
      </c>
      <c r="AJ39" s="111">
        <f t="shared" si="75"/>
        <v>154.77000000000001</v>
      </c>
      <c r="AK39" s="4">
        <f t="shared" si="75"/>
        <v>39.122999999999998</v>
      </c>
      <c r="AL39" s="4">
        <f t="shared" si="75"/>
        <v>37.247</v>
      </c>
      <c r="AM39" s="4">
        <f t="shared" si="75"/>
        <v>39.746000000000002</v>
      </c>
      <c r="AN39" s="4">
        <f t="shared" si="75"/>
        <v>47.273000000000003</v>
      </c>
      <c r="AO39" s="111">
        <f t="shared" si="75"/>
        <v>160.19900000000001</v>
      </c>
      <c r="AP39" s="4">
        <f t="shared" si="75"/>
        <v>43.96</v>
      </c>
      <c r="AQ39" s="4">
        <f t="shared" si="75"/>
        <v>35.712000000000003</v>
      </c>
      <c r="AR39" s="4">
        <f t="shared" si="75"/>
        <v>37.795000000000002</v>
      </c>
      <c r="AS39" s="4">
        <f t="shared" si="75"/>
        <v>40.177000000000007</v>
      </c>
      <c r="AT39" s="111">
        <f t="shared" si="75"/>
        <v>157.64400000000001</v>
      </c>
      <c r="AU39" s="4">
        <f t="shared" si="75"/>
        <v>44.427</v>
      </c>
      <c r="AV39" s="4">
        <f t="shared" si="75"/>
        <v>48.228000000000002</v>
      </c>
      <c r="AW39" s="4">
        <f t="shared" si="75"/>
        <v>45.802</v>
      </c>
      <c r="AX39" s="4">
        <f t="shared" si="75"/>
        <v>47.679000000000002</v>
      </c>
      <c r="AY39" s="111">
        <f t="shared" si="75"/>
        <v>186.136</v>
      </c>
      <c r="AZ39" s="4">
        <f t="shared" si="75"/>
        <v>49.122999999999998</v>
      </c>
      <c r="BA39" s="4">
        <f t="shared" si="75"/>
        <v>50.191000000000003</v>
      </c>
      <c r="BB39" s="4">
        <f t="shared" si="75"/>
        <v>50.323999999999998</v>
      </c>
      <c r="BC39" s="4">
        <f t="shared" si="75"/>
        <v>56.115000000000009</v>
      </c>
      <c r="BD39" s="111">
        <f t="shared" si="75"/>
        <v>205.75299999999999</v>
      </c>
      <c r="BE39" s="4">
        <f t="shared" si="75"/>
        <v>54.069000000000003</v>
      </c>
      <c r="BF39" s="4">
        <f t="shared" si="75"/>
        <v>54.488</v>
      </c>
      <c r="BG39" s="4">
        <f t="shared" si="75"/>
        <v>54.209000000000003</v>
      </c>
      <c r="BH39" s="4">
        <f t="shared" si="75"/>
        <v>54.682999999999993</v>
      </c>
      <c r="BI39" s="112">
        <f t="shared" si="75"/>
        <v>217.44900000000001</v>
      </c>
      <c r="BJ39" s="2">
        <f t="shared" ref="BJ39:BM39" si="81">BJ324*BJ382</f>
        <v>57.103492650592031</v>
      </c>
      <c r="BK39" s="2">
        <f t="shared" si="81"/>
        <v>58.348613558729369</v>
      </c>
      <c r="BL39" s="2">
        <f t="shared" si="81"/>
        <v>55.962393339985965</v>
      </c>
      <c r="BM39" s="2">
        <f t="shared" si="81"/>
        <v>59.089441819315724</v>
      </c>
      <c r="BN39" s="86">
        <f t="shared" si="77"/>
        <v>230.50394136862309</v>
      </c>
      <c r="BO39" s="2">
        <f t="shared" ref="BO39:BR39" si="82">BO324*BO382</f>
        <v>59.986921946061429</v>
      </c>
      <c r="BP39" s="2">
        <f t="shared" si="82"/>
        <v>61.22103613303458</v>
      </c>
      <c r="BQ39" s="2">
        <f t="shared" si="82"/>
        <v>58.762076052969711</v>
      </c>
      <c r="BR39" s="2">
        <f t="shared" si="82"/>
        <v>62.159087557187917</v>
      </c>
      <c r="BS39" s="86">
        <f t="shared" si="79"/>
        <v>242.12912168925365</v>
      </c>
      <c r="BT39" s="86">
        <f t="shared" ref="BT39:BV39" si="83">BT324*BT382</f>
        <v>256.49993580564069</v>
      </c>
      <c r="BU39" s="86">
        <f t="shared" si="83"/>
        <v>276.66214235233412</v>
      </c>
      <c r="BV39" s="86">
        <f t="shared" si="83"/>
        <v>302.35909530487578</v>
      </c>
      <c r="BW39" s="4"/>
    </row>
    <row r="40" spans="1:75" ht="15.75" customHeight="1" outlineLevel="1" x14ac:dyDescent="0.2">
      <c r="A40" s="84" t="s">
        <v>508</v>
      </c>
      <c r="B40" s="85"/>
      <c r="C40" s="111">
        <f t="shared" si="75"/>
        <v>75.183999999999997</v>
      </c>
      <c r="D40" s="111">
        <f t="shared" si="75"/>
        <v>72.14</v>
      </c>
      <c r="E40" s="111">
        <f t="shared" si="75"/>
        <v>71.957999999999998</v>
      </c>
      <c r="F40" s="111">
        <f t="shared" si="75"/>
        <v>74.433000000000007</v>
      </c>
      <c r="G40" s="4">
        <f t="shared" si="75"/>
        <v>19.23</v>
      </c>
      <c r="H40" s="4">
        <f t="shared" si="75"/>
        <v>19.215</v>
      </c>
      <c r="I40" s="4">
        <f t="shared" si="75"/>
        <v>19.661000000000001</v>
      </c>
      <c r="J40" s="4">
        <f t="shared" si="75"/>
        <v>20.452000000000002</v>
      </c>
      <c r="K40" s="111">
        <f t="shared" si="75"/>
        <v>78.558000000000007</v>
      </c>
      <c r="L40" s="4">
        <f t="shared" si="75"/>
        <v>20.251000000000001</v>
      </c>
      <c r="M40" s="4">
        <f t="shared" si="75"/>
        <v>20.533999999999999</v>
      </c>
      <c r="N40" s="4">
        <f t="shared" si="75"/>
        <v>20.93</v>
      </c>
      <c r="O40" s="4">
        <f t="shared" si="75"/>
        <v>21.12</v>
      </c>
      <c r="P40" s="111">
        <f t="shared" si="75"/>
        <v>82.834999999999994</v>
      </c>
      <c r="Q40" s="4">
        <f t="shared" si="75"/>
        <v>21.177</v>
      </c>
      <c r="R40" s="4">
        <f t="shared" si="75"/>
        <v>21.158000000000001</v>
      </c>
      <c r="S40" s="4">
        <f t="shared" si="75"/>
        <v>21.317</v>
      </c>
      <c r="T40" s="4">
        <f t="shared" si="75"/>
        <v>21.911000000000001</v>
      </c>
      <c r="U40" s="111">
        <f t="shared" si="75"/>
        <v>85.563000000000002</v>
      </c>
      <c r="V40" s="4">
        <f t="shared" ref="V40:BI40" si="84">V341</f>
        <v>21.463999999999999</v>
      </c>
      <c r="W40" s="4">
        <f t="shared" si="84"/>
        <v>21.460999999999999</v>
      </c>
      <c r="X40" s="4">
        <f t="shared" si="84"/>
        <v>21.634</v>
      </c>
      <c r="Y40" s="4">
        <f t="shared" si="84"/>
        <v>23.451000000000001</v>
      </c>
      <c r="Z40" s="111">
        <f t="shared" si="84"/>
        <v>88.01</v>
      </c>
      <c r="AA40" s="4">
        <f t="shared" si="84"/>
        <v>23.196000000000002</v>
      </c>
      <c r="AB40" s="4">
        <f t="shared" si="84"/>
        <v>23.297000000000001</v>
      </c>
      <c r="AC40" s="4">
        <f t="shared" si="84"/>
        <v>22.998999999999999</v>
      </c>
      <c r="AD40" s="4">
        <f t="shared" si="84"/>
        <v>23.236999999999998</v>
      </c>
      <c r="AE40" s="111">
        <f t="shared" si="84"/>
        <v>92.728999999999999</v>
      </c>
      <c r="AF40" s="4">
        <f t="shared" si="84"/>
        <v>24.001999999999999</v>
      </c>
      <c r="AG40" s="4">
        <f t="shared" si="84"/>
        <v>23.727</v>
      </c>
      <c r="AH40" s="4">
        <f t="shared" si="84"/>
        <v>24.09</v>
      </c>
      <c r="AI40" s="4">
        <f t="shared" si="84"/>
        <v>24.157</v>
      </c>
      <c r="AJ40" s="111">
        <f t="shared" si="84"/>
        <v>95.975999999999999</v>
      </c>
      <c r="AK40" s="4">
        <f t="shared" si="84"/>
        <v>21.361999999999998</v>
      </c>
      <c r="AL40" s="4">
        <f t="shared" si="84"/>
        <v>21.658999999999999</v>
      </c>
      <c r="AM40" s="4">
        <f t="shared" si="84"/>
        <v>21.341999999999999</v>
      </c>
      <c r="AN40" s="4">
        <f t="shared" si="84"/>
        <v>23.769999999999996</v>
      </c>
      <c r="AO40" s="111">
        <f t="shared" si="84"/>
        <v>88.132999999999996</v>
      </c>
      <c r="AP40" s="4">
        <f t="shared" si="84"/>
        <v>23.562000000000001</v>
      </c>
      <c r="AQ40" s="4">
        <f t="shared" si="84"/>
        <v>22.59</v>
      </c>
      <c r="AR40" s="4">
        <f t="shared" si="84"/>
        <v>22.651</v>
      </c>
      <c r="AS40" s="4">
        <f t="shared" si="84"/>
        <v>22.612000000000009</v>
      </c>
      <c r="AT40" s="111">
        <f t="shared" si="84"/>
        <v>91.415000000000006</v>
      </c>
      <c r="AU40" s="4">
        <f t="shared" si="84"/>
        <v>22.006</v>
      </c>
      <c r="AV40" s="4">
        <f t="shared" si="84"/>
        <v>22.222999999999999</v>
      </c>
      <c r="AW40" s="4">
        <f t="shared" si="84"/>
        <v>22.576000000000001</v>
      </c>
      <c r="AX40" s="4">
        <f t="shared" si="84"/>
        <v>22.84899999999999</v>
      </c>
      <c r="AY40" s="111">
        <f t="shared" si="84"/>
        <v>89.653999999999996</v>
      </c>
      <c r="AZ40" s="4">
        <f t="shared" si="84"/>
        <v>21.504999999999999</v>
      </c>
      <c r="BA40" s="4">
        <f t="shared" si="84"/>
        <v>22.608000000000001</v>
      </c>
      <c r="BB40" s="4">
        <f t="shared" si="84"/>
        <v>22.651</v>
      </c>
      <c r="BC40" s="4">
        <f t="shared" si="84"/>
        <v>25.616</v>
      </c>
      <c r="BD40" s="111">
        <f t="shared" si="84"/>
        <v>92.38</v>
      </c>
      <c r="BE40" s="4">
        <f t="shared" si="84"/>
        <v>22.954999999999998</v>
      </c>
      <c r="BF40" s="4">
        <f t="shared" si="84"/>
        <v>23.332000000000001</v>
      </c>
      <c r="BG40" s="4">
        <f t="shared" si="84"/>
        <v>22.837</v>
      </c>
      <c r="BH40" s="4">
        <f t="shared" si="84"/>
        <v>24.012</v>
      </c>
      <c r="BI40" s="112">
        <f t="shared" si="84"/>
        <v>93.135999999999996</v>
      </c>
      <c r="BJ40" s="2">
        <f t="shared" ref="BJ40:BM40" si="85">BJ392</f>
        <v>25.350973750000001</v>
      </c>
      <c r="BK40" s="2">
        <f t="shared" si="85"/>
        <v>25.970161198437495</v>
      </c>
      <c r="BL40" s="2">
        <f t="shared" si="85"/>
        <v>26.647392400666011</v>
      </c>
      <c r="BM40" s="2">
        <f t="shared" si="85"/>
        <v>27.303449068475683</v>
      </c>
      <c r="BN40" s="86">
        <f t="shared" si="77"/>
        <v>105.2719764175792</v>
      </c>
      <c r="BO40" s="2">
        <f t="shared" ref="BO40:BR40" si="86">BO392</f>
        <v>27.938992933715486</v>
      </c>
      <c r="BP40" s="2">
        <f t="shared" si="86"/>
        <v>28.477258799044961</v>
      </c>
      <c r="BQ40" s="2">
        <f t="shared" si="86"/>
        <v>29.076097332596625</v>
      </c>
      <c r="BR40" s="2">
        <f t="shared" si="86"/>
        <v>29.656211217297248</v>
      </c>
      <c r="BS40" s="86">
        <f t="shared" si="79"/>
        <v>115.14856028265433</v>
      </c>
      <c r="BT40" s="86">
        <f t="shared" ref="BT40:BV40" si="87">BT392</f>
        <v>120.87274250314043</v>
      </c>
      <c r="BU40" s="86">
        <f t="shared" si="87"/>
        <v>126.48692159434118</v>
      </c>
      <c r="BV40" s="86">
        <f t="shared" si="87"/>
        <v>131.39834558010091</v>
      </c>
      <c r="BW40" s="4"/>
    </row>
    <row r="41" spans="1:75" ht="15.75" customHeight="1" outlineLevel="1" x14ac:dyDescent="0.2">
      <c r="A41" s="91" t="s">
        <v>509</v>
      </c>
      <c r="B41" s="92"/>
      <c r="C41" s="96">
        <f t="shared" ref="C41:BI41" si="88">C345</f>
        <v>3.282</v>
      </c>
      <c r="D41" s="96">
        <f t="shared" si="88"/>
        <v>5.1529999999999996</v>
      </c>
      <c r="E41" s="96">
        <f t="shared" si="88"/>
        <v>10.138</v>
      </c>
      <c r="F41" s="96">
        <f t="shared" si="88"/>
        <v>12.289</v>
      </c>
      <c r="G41" s="95">
        <f t="shared" si="88"/>
        <v>1.3140000000000001</v>
      </c>
      <c r="H41" s="95">
        <f t="shared" si="88"/>
        <v>2.5030000000000001</v>
      </c>
      <c r="I41" s="95">
        <f t="shared" si="88"/>
        <v>4.21</v>
      </c>
      <c r="J41" s="95">
        <f t="shared" si="88"/>
        <v>4.8789999999999996</v>
      </c>
      <c r="K41" s="96">
        <f t="shared" si="88"/>
        <v>12.906000000000001</v>
      </c>
      <c r="L41" s="95">
        <f t="shared" si="88"/>
        <v>2.234</v>
      </c>
      <c r="M41" s="95">
        <f t="shared" si="88"/>
        <v>2.6080000000000001</v>
      </c>
      <c r="N41" s="95">
        <f t="shared" si="88"/>
        <v>3.9660000000000002</v>
      </c>
      <c r="O41" s="95">
        <f t="shared" si="88"/>
        <v>5.548</v>
      </c>
      <c r="P41" s="96">
        <f t="shared" si="88"/>
        <v>14.356</v>
      </c>
      <c r="Q41" s="95">
        <f t="shared" si="88"/>
        <v>1.4510000000000001</v>
      </c>
      <c r="R41" s="95">
        <f t="shared" si="88"/>
        <v>4.0579999999999998</v>
      </c>
      <c r="S41" s="95">
        <f t="shared" si="88"/>
        <v>4.306</v>
      </c>
      <c r="T41" s="95">
        <f t="shared" si="88"/>
        <v>7.0830000000000002</v>
      </c>
      <c r="U41" s="96">
        <f t="shared" si="88"/>
        <v>16.898</v>
      </c>
      <c r="V41" s="95">
        <f t="shared" si="88"/>
        <v>2.31</v>
      </c>
      <c r="W41" s="95">
        <f t="shared" si="88"/>
        <v>2.302</v>
      </c>
      <c r="X41" s="95">
        <f t="shared" si="88"/>
        <v>1.982</v>
      </c>
      <c r="Y41" s="95">
        <f t="shared" si="88"/>
        <v>6.9749999999999996</v>
      </c>
      <c r="Z41" s="96">
        <f t="shared" si="88"/>
        <v>13.569000000000001</v>
      </c>
      <c r="AA41" s="95">
        <f t="shared" si="88"/>
        <v>0.97</v>
      </c>
      <c r="AB41" s="95">
        <f t="shared" si="88"/>
        <v>1.3089999999999999</v>
      </c>
      <c r="AC41" s="95">
        <f t="shared" si="88"/>
        <v>3.37</v>
      </c>
      <c r="AD41" s="95">
        <f t="shared" si="88"/>
        <v>7.6289999999999996</v>
      </c>
      <c r="AE41" s="96">
        <f t="shared" si="88"/>
        <v>13.278</v>
      </c>
      <c r="AF41" s="95">
        <f t="shared" si="88"/>
        <v>1.099</v>
      </c>
      <c r="AG41" s="95">
        <f t="shared" si="88"/>
        <v>1.4490000000000001</v>
      </c>
      <c r="AH41" s="95">
        <f t="shared" si="88"/>
        <v>3.25</v>
      </c>
      <c r="AI41" s="95">
        <f t="shared" si="88"/>
        <v>5.1379999999999999</v>
      </c>
      <c r="AJ41" s="96">
        <f t="shared" si="88"/>
        <v>10.936999999999999</v>
      </c>
      <c r="AK41" s="95">
        <f t="shared" si="88"/>
        <v>2.13</v>
      </c>
      <c r="AL41" s="95">
        <f t="shared" si="88"/>
        <v>2.1749999999999998</v>
      </c>
      <c r="AM41" s="95">
        <f t="shared" si="88"/>
        <v>2.5459999999999998</v>
      </c>
      <c r="AN41" s="95">
        <f t="shared" si="88"/>
        <v>6.298</v>
      </c>
      <c r="AO41" s="96">
        <f t="shared" si="88"/>
        <v>13.148999999999999</v>
      </c>
      <c r="AP41" s="95">
        <f t="shared" si="88"/>
        <v>3.1190000000000002</v>
      </c>
      <c r="AQ41" s="95">
        <f t="shared" si="88"/>
        <v>2.097</v>
      </c>
      <c r="AR41" s="95">
        <f t="shared" si="88"/>
        <v>2.3940000000000001</v>
      </c>
      <c r="AS41" s="95">
        <f t="shared" si="88"/>
        <v>2.8459999999999992</v>
      </c>
      <c r="AT41" s="96">
        <f t="shared" si="88"/>
        <v>10.456</v>
      </c>
      <c r="AU41" s="95">
        <f t="shared" si="88"/>
        <v>3.8559999999999999</v>
      </c>
      <c r="AV41" s="95">
        <f t="shared" si="88"/>
        <v>2.7789999999999999</v>
      </c>
      <c r="AW41" s="95">
        <f t="shared" si="88"/>
        <v>3.169</v>
      </c>
      <c r="AX41" s="95">
        <f t="shared" si="88"/>
        <v>3.907</v>
      </c>
      <c r="AY41" s="96">
        <f t="shared" si="88"/>
        <v>13.711</v>
      </c>
      <c r="AZ41" s="95">
        <f t="shared" si="88"/>
        <v>1.764</v>
      </c>
      <c r="BA41" s="95">
        <f t="shared" si="88"/>
        <v>2.9470000000000001</v>
      </c>
      <c r="BB41" s="95">
        <f t="shared" si="88"/>
        <v>4.327</v>
      </c>
      <c r="BC41" s="95">
        <f t="shared" si="88"/>
        <v>7.7910000000000004</v>
      </c>
      <c r="BD41" s="96">
        <f t="shared" si="88"/>
        <v>16.829000000000001</v>
      </c>
      <c r="BE41" s="95">
        <f t="shared" si="88"/>
        <v>3.052</v>
      </c>
      <c r="BF41" s="95">
        <f t="shared" si="88"/>
        <v>6.0060000000000002</v>
      </c>
      <c r="BG41" s="95">
        <f t="shared" si="88"/>
        <v>6.742</v>
      </c>
      <c r="BH41" s="95">
        <f t="shared" si="88"/>
        <v>9.5790000000000006</v>
      </c>
      <c r="BI41" s="113">
        <f t="shared" si="88"/>
        <v>25.379000000000001</v>
      </c>
      <c r="BJ41" s="99">
        <v>5</v>
      </c>
      <c r="BK41" s="99">
        <v>5</v>
      </c>
      <c r="BL41" s="99">
        <v>9</v>
      </c>
      <c r="BM41" s="99">
        <v>9</v>
      </c>
      <c r="BN41" s="93">
        <f t="shared" si="77"/>
        <v>28</v>
      </c>
      <c r="BO41" s="99">
        <v>5</v>
      </c>
      <c r="BP41" s="99">
        <v>5</v>
      </c>
      <c r="BQ41" s="99">
        <v>5</v>
      </c>
      <c r="BR41" s="99">
        <v>5</v>
      </c>
      <c r="BS41" s="93">
        <f t="shared" si="79"/>
        <v>20</v>
      </c>
      <c r="BT41" s="98">
        <v>23</v>
      </c>
      <c r="BU41" s="98">
        <v>23</v>
      </c>
      <c r="BV41" s="98">
        <v>23</v>
      </c>
      <c r="BW41" s="4"/>
    </row>
    <row r="42" spans="1:75" ht="15.75" customHeight="1" outlineLevel="1" x14ac:dyDescent="0.2">
      <c r="A42" s="101" t="s">
        <v>510</v>
      </c>
      <c r="B42" s="102"/>
      <c r="C42" s="104">
        <f t="shared" ref="C42:BV42" si="89">SUM(C36:C41)</f>
        <v>1501.7619999999999</v>
      </c>
      <c r="D42" s="104">
        <f t="shared" si="89"/>
        <v>1531.1930000000002</v>
      </c>
      <c r="E42" s="104">
        <f t="shared" si="89"/>
        <v>1622.627</v>
      </c>
      <c r="F42" s="104">
        <f t="shared" si="89"/>
        <v>1660.7819999999999</v>
      </c>
      <c r="G42" s="105">
        <f t="shared" si="89"/>
        <v>425.58700000000005</v>
      </c>
      <c r="H42" s="105">
        <f t="shared" si="89"/>
        <v>427.44299999999998</v>
      </c>
      <c r="I42" s="105">
        <f t="shared" si="89"/>
        <v>429.971</v>
      </c>
      <c r="J42" s="105">
        <f t="shared" si="89"/>
        <v>434.51599999999996</v>
      </c>
      <c r="K42" s="104">
        <f t="shared" si="89"/>
        <v>1717.5169999999998</v>
      </c>
      <c r="L42" s="105">
        <f t="shared" si="89"/>
        <v>448.17199999999997</v>
      </c>
      <c r="M42" s="105">
        <f t="shared" si="89"/>
        <v>453.20499999999998</v>
      </c>
      <c r="N42" s="105">
        <f t="shared" si="89"/>
        <v>464.93900000000008</v>
      </c>
      <c r="O42" s="105">
        <f t="shared" si="89"/>
        <v>464.88100000000003</v>
      </c>
      <c r="P42" s="104">
        <f t="shared" si="89"/>
        <v>1831.1969999999999</v>
      </c>
      <c r="Q42" s="105">
        <f t="shared" si="89"/>
        <v>476.91900000000004</v>
      </c>
      <c r="R42" s="105">
        <f t="shared" si="89"/>
        <v>479.35400000000004</v>
      </c>
      <c r="S42" s="105">
        <f t="shared" si="89"/>
        <v>485.03300000000002</v>
      </c>
      <c r="T42" s="105">
        <f t="shared" si="89"/>
        <v>488.04600000000005</v>
      </c>
      <c r="U42" s="104">
        <f t="shared" si="89"/>
        <v>1929.3520000000001</v>
      </c>
      <c r="V42" s="105">
        <f t="shared" si="89"/>
        <v>505.09899999999993</v>
      </c>
      <c r="W42" s="105">
        <f t="shared" si="89"/>
        <v>503.67200000000003</v>
      </c>
      <c r="X42" s="105">
        <f t="shared" si="89"/>
        <v>509.95500000000004</v>
      </c>
      <c r="Y42" s="105">
        <f t="shared" si="89"/>
        <v>555.88600000000008</v>
      </c>
      <c r="Z42" s="104">
        <f t="shared" si="89"/>
        <v>2074.6120000000001</v>
      </c>
      <c r="AA42" s="105">
        <f t="shared" si="89"/>
        <v>519.077</v>
      </c>
      <c r="AB42" s="105">
        <f t="shared" si="89"/>
        <v>519.20600000000002</v>
      </c>
      <c r="AC42" s="105">
        <f t="shared" si="89"/>
        <v>521.07499999999993</v>
      </c>
      <c r="AD42" s="105">
        <f t="shared" si="89"/>
        <v>537.95600000000002</v>
      </c>
      <c r="AE42" s="104">
        <f t="shared" si="89"/>
        <v>2097.3139999999999</v>
      </c>
      <c r="AF42" s="105">
        <f t="shared" si="89"/>
        <v>559.14</v>
      </c>
      <c r="AG42" s="105">
        <f t="shared" si="89"/>
        <v>556.05199999999991</v>
      </c>
      <c r="AH42" s="105">
        <f t="shared" si="89"/>
        <v>547.12400000000002</v>
      </c>
      <c r="AI42" s="105">
        <f t="shared" si="89"/>
        <v>550.78100000000018</v>
      </c>
      <c r="AJ42" s="104">
        <f t="shared" si="89"/>
        <v>2195.5220000000004</v>
      </c>
      <c r="AK42" s="105">
        <f t="shared" si="89"/>
        <v>569.33299999999997</v>
      </c>
      <c r="AL42" s="105">
        <f t="shared" si="89"/>
        <v>562.54599999999994</v>
      </c>
      <c r="AM42" s="105">
        <f t="shared" si="89"/>
        <v>559.572</v>
      </c>
      <c r="AN42" s="105">
        <f t="shared" si="89"/>
        <v>666.28300000000002</v>
      </c>
      <c r="AO42" s="104">
        <f t="shared" si="89"/>
        <v>2354.5439999999999</v>
      </c>
      <c r="AP42" s="105">
        <f t="shared" si="89"/>
        <v>616.49800000000005</v>
      </c>
      <c r="AQ42" s="105">
        <f t="shared" si="89"/>
        <v>377.02499999999992</v>
      </c>
      <c r="AR42" s="105">
        <f t="shared" si="89"/>
        <v>540.69399999999996</v>
      </c>
      <c r="AS42" s="105">
        <f t="shared" si="89"/>
        <v>578.28499999999985</v>
      </c>
      <c r="AT42" s="104">
        <f t="shared" si="89"/>
        <v>2112.5020000000004</v>
      </c>
      <c r="AU42" s="105">
        <f t="shared" si="89"/>
        <v>617.42899999999997</v>
      </c>
      <c r="AV42" s="105">
        <f t="shared" si="89"/>
        <v>716.48099999999988</v>
      </c>
      <c r="AW42" s="105">
        <f t="shared" si="89"/>
        <v>722.41200000000003</v>
      </c>
      <c r="AX42" s="105">
        <f t="shared" si="89"/>
        <v>751.25100000000009</v>
      </c>
      <c r="AY42" s="104">
        <f t="shared" si="89"/>
        <v>2807.5729999999999</v>
      </c>
      <c r="AZ42" s="105">
        <f t="shared" si="89"/>
        <v>764.29100000000005</v>
      </c>
      <c r="BA42" s="105">
        <f t="shared" si="89"/>
        <v>803.64700000000005</v>
      </c>
      <c r="BB42" s="105">
        <f t="shared" si="89"/>
        <v>785.12499999999989</v>
      </c>
      <c r="BC42" s="105">
        <f t="shared" si="89"/>
        <v>866.40300000000025</v>
      </c>
      <c r="BD42" s="104">
        <f t="shared" si="89"/>
        <v>3219.4660000000003</v>
      </c>
      <c r="BE42" s="105">
        <f t="shared" si="89"/>
        <v>828.75699999999995</v>
      </c>
      <c r="BF42" s="105">
        <f t="shared" si="89"/>
        <v>818.06500000000005</v>
      </c>
      <c r="BG42" s="105">
        <f t="shared" si="89"/>
        <v>809.71800000000007</v>
      </c>
      <c r="BH42" s="105">
        <f t="shared" si="89"/>
        <v>833.24699999999984</v>
      </c>
      <c r="BI42" s="114">
        <f t="shared" si="89"/>
        <v>3289.7869999999998</v>
      </c>
      <c r="BJ42" s="106">
        <f t="shared" si="89"/>
        <v>869.05587021127087</v>
      </c>
      <c r="BK42" s="106">
        <f t="shared" si="89"/>
        <v>865.7434478109152</v>
      </c>
      <c r="BL42" s="106">
        <f t="shared" si="89"/>
        <v>860.0513781485671</v>
      </c>
      <c r="BM42" s="106">
        <f t="shared" si="89"/>
        <v>883.8074696062514</v>
      </c>
      <c r="BN42" s="103">
        <f t="shared" si="89"/>
        <v>3478.6581657770043</v>
      </c>
      <c r="BO42" s="106">
        <f t="shared" si="89"/>
        <v>914.69965345384571</v>
      </c>
      <c r="BP42" s="106">
        <f t="shared" si="89"/>
        <v>909.97955476793857</v>
      </c>
      <c r="BQ42" s="106">
        <f t="shared" si="89"/>
        <v>900.40429994191629</v>
      </c>
      <c r="BR42" s="106">
        <f t="shared" si="89"/>
        <v>926.92048099215162</v>
      </c>
      <c r="BS42" s="103">
        <f t="shared" si="89"/>
        <v>3652.0039891558522</v>
      </c>
      <c r="BT42" s="103">
        <f t="shared" si="89"/>
        <v>3929.3611211196462</v>
      </c>
      <c r="BU42" s="103">
        <f t="shared" si="89"/>
        <v>4236.8306423447029</v>
      </c>
      <c r="BV42" s="103">
        <f t="shared" si="89"/>
        <v>4626.6315782365637</v>
      </c>
      <c r="BW42" s="83"/>
    </row>
    <row r="43" spans="1:75" ht="15.75" customHeight="1" outlineLevel="1" x14ac:dyDescent="0.2">
      <c r="A43" s="108"/>
      <c r="B43" s="108"/>
      <c r="C43" s="109"/>
      <c r="D43" s="109"/>
      <c r="E43" s="109"/>
      <c r="F43" s="109"/>
      <c r="G43" s="110"/>
      <c r="H43" s="110"/>
      <c r="I43" s="110"/>
      <c r="J43" s="110"/>
      <c r="K43" s="109"/>
      <c r="L43" s="110"/>
      <c r="M43" s="110"/>
      <c r="N43" s="110"/>
      <c r="O43" s="110"/>
      <c r="P43" s="109"/>
      <c r="Q43" s="110"/>
      <c r="R43" s="110"/>
      <c r="S43" s="110"/>
      <c r="T43" s="110"/>
      <c r="U43" s="109"/>
      <c r="V43" s="110"/>
      <c r="W43" s="110"/>
      <c r="X43" s="110"/>
      <c r="Y43" s="110"/>
      <c r="Z43" s="109"/>
      <c r="AA43" s="110"/>
      <c r="AB43" s="110"/>
      <c r="AC43" s="110"/>
      <c r="AD43" s="110"/>
      <c r="AE43" s="109"/>
      <c r="AF43" s="110"/>
      <c r="AG43" s="110"/>
      <c r="AH43" s="110"/>
      <c r="AI43" s="110"/>
      <c r="AJ43" s="109"/>
      <c r="AK43" s="110"/>
      <c r="AL43" s="110"/>
      <c r="AM43" s="110"/>
      <c r="AN43" s="110"/>
      <c r="AO43" s="109"/>
      <c r="AP43" s="110"/>
      <c r="AQ43" s="110"/>
      <c r="AR43" s="110"/>
      <c r="AS43" s="110"/>
      <c r="AT43" s="109"/>
      <c r="AU43" s="110"/>
      <c r="AV43" s="110"/>
      <c r="AW43" s="110"/>
      <c r="AX43" s="110"/>
      <c r="AY43" s="109"/>
      <c r="AZ43" s="110"/>
      <c r="BA43" s="110"/>
      <c r="BB43" s="110"/>
      <c r="BC43" s="110"/>
      <c r="BD43" s="109"/>
      <c r="BE43" s="110"/>
      <c r="BF43" s="110"/>
      <c r="BG43" s="110"/>
      <c r="BH43" s="110"/>
      <c r="BI43" s="107"/>
      <c r="BJ43" s="110"/>
      <c r="BK43" s="110"/>
      <c r="BL43" s="110"/>
      <c r="BM43" s="110"/>
      <c r="BN43" s="109"/>
      <c r="BO43" s="110"/>
      <c r="BP43" s="110"/>
      <c r="BQ43" s="110"/>
      <c r="BR43" s="110"/>
      <c r="BS43" s="109"/>
      <c r="BT43" s="109"/>
      <c r="BU43" s="109"/>
      <c r="BV43" s="109"/>
      <c r="BW43" s="83"/>
    </row>
    <row r="44" spans="1:75" ht="15.75" customHeight="1" outlineLevel="1" x14ac:dyDescent="0.2">
      <c r="A44" s="85" t="s">
        <v>511</v>
      </c>
      <c r="B44" s="85"/>
      <c r="C44" s="87">
        <v>5.9379999999999997</v>
      </c>
      <c r="D44" s="87">
        <v>3.2050000000000001</v>
      </c>
      <c r="E44" s="87">
        <v>3.1859999999999999</v>
      </c>
      <c r="F44" s="87">
        <v>3.4449999999999998</v>
      </c>
      <c r="G44" s="88">
        <v>1.044</v>
      </c>
      <c r="H44" s="88">
        <v>1.0489999999999999</v>
      </c>
      <c r="I44" s="88">
        <v>1.1579999999999999</v>
      </c>
      <c r="J44" s="2">
        <f t="shared" ref="J44:J46" si="90">K44-SUM(G44,H44,I44)</f>
        <v>1.2269999999999999</v>
      </c>
      <c r="K44" s="87">
        <v>4.4779999999999998</v>
      </c>
      <c r="L44" s="88">
        <v>1.34</v>
      </c>
      <c r="M44" s="88">
        <v>1.196</v>
      </c>
      <c r="N44" s="88">
        <v>1.3089999999999999</v>
      </c>
      <c r="O44" s="2">
        <f t="shared" ref="O44:O46" si="91">P44-SUM(L44,M44,N44)</f>
        <v>1.4000000000000004</v>
      </c>
      <c r="P44" s="87">
        <v>5.2450000000000001</v>
      </c>
      <c r="Q44" s="88">
        <v>1.546</v>
      </c>
      <c r="R44" s="88">
        <v>1.556</v>
      </c>
      <c r="S44" s="88">
        <v>1.6379999999999999</v>
      </c>
      <c r="T44" s="2">
        <f t="shared" ref="T44:T46" si="92">U44-SUM(Q44,R44,S44)</f>
        <v>1.008</v>
      </c>
      <c r="U44" s="87">
        <v>5.7480000000000002</v>
      </c>
      <c r="V44" s="88">
        <v>1.256</v>
      </c>
      <c r="W44" s="88">
        <v>1.708</v>
      </c>
      <c r="X44" s="88">
        <v>1.494</v>
      </c>
      <c r="Y44" s="2">
        <f t="shared" ref="Y44:Y46" si="93">Z44-SUM(V44,W44,X44)</f>
        <v>1.5649999999999995</v>
      </c>
      <c r="Z44" s="87">
        <v>6.0229999999999997</v>
      </c>
      <c r="AA44" s="88">
        <v>1.746</v>
      </c>
      <c r="AB44" s="88">
        <v>1.716</v>
      </c>
      <c r="AC44" s="88">
        <v>1.726</v>
      </c>
      <c r="AD44" s="2">
        <f t="shared" ref="AD44:AD46" si="94">AE44-SUM(AA44,AB44,AC44)</f>
        <v>4.8000000000000043E-2</v>
      </c>
      <c r="AE44" s="87">
        <v>5.2359999999999998</v>
      </c>
      <c r="AF44" s="88">
        <v>1.599</v>
      </c>
      <c r="AG44" s="88">
        <v>2.5760000000000001</v>
      </c>
      <c r="AH44" s="88">
        <v>-0.129</v>
      </c>
      <c r="AI44" s="2">
        <f t="shared" ref="AI44:AI46" si="95">AJ44-SUM(AF44,AG44,AH44)</f>
        <v>1.6350000000000007</v>
      </c>
      <c r="AJ44" s="87">
        <v>5.681</v>
      </c>
      <c r="AK44" s="88">
        <v>1.72</v>
      </c>
      <c r="AL44" s="88">
        <v>1.7210000000000001</v>
      </c>
      <c r="AM44" s="88">
        <v>1.742</v>
      </c>
      <c r="AN44" s="2">
        <f t="shared" ref="AN44:AN46" si="96">AO44-SUM(AK44,AL44,AM44)</f>
        <v>1.0499999999999998</v>
      </c>
      <c r="AO44" s="87">
        <v>6.2329999999999997</v>
      </c>
      <c r="AP44" s="88">
        <v>1.966</v>
      </c>
      <c r="AQ44" s="88">
        <v>1.9259999999999999</v>
      </c>
      <c r="AR44" s="88">
        <v>1.8680000000000001</v>
      </c>
      <c r="AS44" s="2">
        <f t="shared" ref="AS44:AS46" si="97">AT44-SUM(AP44,AQ44,AR44)</f>
        <v>1.9930000000000003</v>
      </c>
      <c r="AT44" s="87">
        <v>7.7530000000000001</v>
      </c>
      <c r="AU44" s="88">
        <v>2.0430000000000001</v>
      </c>
      <c r="AV44" s="88">
        <v>2.0609999999999999</v>
      </c>
      <c r="AW44" s="88">
        <v>2.137</v>
      </c>
      <c r="AX44" s="2">
        <f t="shared" ref="AX44:AX46" si="98">AY44-SUM(AU44,AV44,AW44)</f>
        <v>2.6150000000000002</v>
      </c>
      <c r="AY44" s="87">
        <v>8.8559999999999999</v>
      </c>
      <c r="AZ44" s="88">
        <v>2.19</v>
      </c>
      <c r="BA44" s="88">
        <v>2.194</v>
      </c>
      <c r="BB44" s="88">
        <v>2.2370000000000001</v>
      </c>
      <c r="BC44" s="2">
        <f t="shared" ref="BC44:BC46" si="99">BD44-SUM(AZ44,BA44,BB44)</f>
        <v>2.9689999999999994</v>
      </c>
      <c r="BD44" s="87">
        <v>9.59</v>
      </c>
      <c r="BE44" s="88">
        <v>2.3620000000000001</v>
      </c>
      <c r="BF44" s="88">
        <v>2.4260000000000002</v>
      </c>
      <c r="BG44" s="88">
        <v>2.3650000000000002</v>
      </c>
      <c r="BH44" s="2">
        <f t="shared" ref="BH44:BH46" si="100">BI44-SUM(BE44,BF44,BG44)</f>
        <v>2.7609999999999992</v>
      </c>
      <c r="BI44" s="89">
        <v>9.9139999999999997</v>
      </c>
      <c r="BJ44" s="2"/>
      <c r="BK44" s="2"/>
      <c r="BL44" s="2"/>
      <c r="BM44" s="2"/>
      <c r="BN44" s="86"/>
      <c r="BO44" s="2"/>
      <c r="BP44" s="2"/>
      <c r="BQ44" s="2"/>
      <c r="BR44" s="2"/>
      <c r="BS44" s="86"/>
      <c r="BT44" s="86"/>
      <c r="BU44" s="86"/>
      <c r="BV44" s="86"/>
      <c r="BW44" s="4"/>
    </row>
    <row r="45" spans="1:75" ht="15.75" customHeight="1" outlineLevel="1" x14ac:dyDescent="0.2">
      <c r="A45" s="85" t="s">
        <v>512</v>
      </c>
      <c r="B45" s="85"/>
      <c r="C45" s="87">
        <v>0.246</v>
      </c>
      <c r="D45" s="87">
        <v>0.16500000000000001</v>
      </c>
      <c r="E45" s="87">
        <v>0.13800000000000001</v>
      </c>
      <c r="F45" s="87">
        <v>0.187</v>
      </c>
      <c r="G45" s="88">
        <v>4.5999999999999999E-2</v>
      </c>
      <c r="H45" s="88">
        <v>5.1999999999999998E-2</v>
      </c>
      <c r="I45" s="88">
        <v>3.5000000000000003E-2</v>
      </c>
      <c r="J45" s="2">
        <f t="shared" si="90"/>
        <v>6.2E-2</v>
      </c>
      <c r="K45" s="87">
        <v>0.19500000000000001</v>
      </c>
      <c r="L45" s="88">
        <v>4.7E-2</v>
      </c>
      <c r="M45" s="88">
        <v>4.2000000000000003E-2</v>
      </c>
      <c r="N45" s="88">
        <v>5.1999999999999998E-2</v>
      </c>
      <c r="O45" s="2">
        <f t="shared" si="91"/>
        <v>7.5000000000000011E-2</v>
      </c>
      <c r="P45" s="87">
        <v>0.216</v>
      </c>
      <c r="Q45" s="88">
        <v>7.2999999999999995E-2</v>
      </c>
      <c r="R45" s="88">
        <v>6.4000000000000001E-2</v>
      </c>
      <c r="S45" s="88">
        <v>6.0999999999999999E-2</v>
      </c>
      <c r="T45" s="2">
        <f t="shared" si="92"/>
        <v>7.0000000000000007E-2</v>
      </c>
      <c r="U45" s="87">
        <v>0.26800000000000002</v>
      </c>
      <c r="V45" s="88">
        <v>0.05</v>
      </c>
      <c r="W45" s="88">
        <v>7.4999999999999997E-2</v>
      </c>
      <c r="X45" s="88">
        <v>6.0999999999999999E-2</v>
      </c>
      <c r="Y45" s="2">
        <f t="shared" si="93"/>
        <v>6.5000000000000002E-2</v>
      </c>
      <c r="Z45" s="87">
        <v>0.251</v>
      </c>
      <c r="AA45" s="88">
        <v>9.8000000000000004E-2</v>
      </c>
      <c r="AB45" s="88">
        <v>6.4000000000000001E-2</v>
      </c>
      <c r="AC45" s="88">
        <v>6.4000000000000001E-2</v>
      </c>
      <c r="AD45" s="2">
        <f t="shared" si="94"/>
        <v>1.6999999999999987E-2</v>
      </c>
      <c r="AE45" s="87">
        <v>0.24299999999999999</v>
      </c>
      <c r="AF45" s="88">
        <v>6.4000000000000001E-2</v>
      </c>
      <c r="AG45" s="88">
        <v>4.5999999999999999E-2</v>
      </c>
      <c r="AH45" s="88">
        <v>0.11</v>
      </c>
      <c r="AI45" s="2">
        <f t="shared" si="95"/>
        <v>6.6999999999999976E-2</v>
      </c>
      <c r="AJ45" s="87">
        <v>0.28699999999999998</v>
      </c>
      <c r="AK45" s="88">
        <v>6.9000000000000006E-2</v>
      </c>
      <c r="AL45" s="88">
        <v>6.8000000000000005E-2</v>
      </c>
      <c r="AM45" s="88">
        <v>6.8000000000000005E-2</v>
      </c>
      <c r="AN45" s="2">
        <f t="shared" si="96"/>
        <v>6.9000000000000006E-2</v>
      </c>
      <c r="AO45" s="87">
        <v>0.27400000000000002</v>
      </c>
      <c r="AP45" s="88">
        <v>7.0000000000000007E-2</v>
      </c>
      <c r="AQ45" s="88">
        <v>7.0000000000000007E-2</v>
      </c>
      <c r="AR45" s="88">
        <v>7.0000000000000007E-2</v>
      </c>
      <c r="AS45" s="2">
        <f t="shared" si="97"/>
        <v>9.8999999999999977E-2</v>
      </c>
      <c r="AT45" s="87">
        <v>0.309</v>
      </c>
      <c r="AU45" s="88">
        <v>7.3999999999999996E-2</v>
      </c>
      <c r="AV45" s="88">
        <v>7.1999999999999995E-2</v>
      </c>
      <c r="AW45" s="88">
        <v>7.1999999999999995E-2</v>
      </c>
      <c r="AX45" s="2">
        <f t="shared" si="98"/>
        <v>9.3000000000000027E-2</v>
      </c>
      <c r="AY45" s="87">
        <v>0.311</v>
      </c>
      <c r="AZ45" s="88">
        <v>7.5999999999999998E-2</v>
      </c>
      <c r="BA45" s="88">
        <v>7.3999999999999996E-2</v>
      </c>
      <c r="BB45" s="88">
        <v>7.3999999999999996E-2</v>
      </c>
      <c r="BC45" s="2">
        <f t="shared" si="99"/>
        <v>9.7000000000000031E-2</v>
      </c>
      <c r="BD45" s="87">
        <v>0.32100000000000001</v>
      </c>
      <c r="BE45" s="88">
        <v>7.4999999999999997E-2</v>
      </c>
      <c r="BF45" s="88">
        <v>7.5999999999999998E-2</v>
      </c>
      <c r="BG45" s="88">
        <v>7.5999999999999998E-2</v>
      </c>
      <c r="BH45" s="2">
        <f t="shared" si="100"/>
        <v>9.1000000000000025E-2</v>
      </c>
      <c r="BI45" s="89">
        <v>0.318</v>
      </c>
      <c r="BJ45" s="2"/>
      <c r="BK45" s="2"/>
      <c r="BL45" s="2"/>
      <c r="BM45" s="2"/>
      <c r="BN45" s="86"/>
      <c r="BO45" s="2"/>
      <c r="BP45" s="2"/>
      <c r="BQ45" s="2"/>
      <c r="BR45" s="2"/>
      <c r="BS45" s="86"/>
      <c r="BT45" s="86"/>
      <c r="BU45" s="86"/>
      <c r="BV45" s="86"/>
      <c r="BW45" s="4"/>
    </row>
    <row r="46" spans="1:75" ht="15.75" customHeight="1" outlineLevel="1" x14ac:dyDescent="0.2">
      <c r="A46" s="92" t="s">
        <v>513</v>
      </c>
      <c r="B46" s="92"/>
      <c r="C46" s="98">
        <v>8.4260000000000002</v>
      </c>
      <c r="D46" s="98">
        <v>7.5430000000000001</v>
      </c>
      <c r="E46" s="98">
        <v>6.3109999999999999</v>
      </c>
      <c r="F46" s="98">
        <v>7.2060000000000004</v>
      </c>
      <c r="G46" s="99">
        <v>2.3149999999999999</v>
      </c>
      <c r="H46" s="99">
        <v>2.3069999999999999</v>
      </c>
      <c r="I46" s="99">
        <v>2.2669999999999999</v>
      </c>
      <c r="J46" s="94">
        <f t="shared" si="90"/>
        <v>2.5730000000000004</v>
      </c>
      <c r="K46" s="98">
        <v>9.4619999999999997</v>
      </c>
      <c r="L46" s="99">
        <v>2.452</v>
      </c>
      <c r="M46" s="99">
        <v>2.661</v>
      </c>
      <c r="N46" s="99">
        <v>2.694</v>
      </c>
      <c r="O46" s="94">
        <f t="shared" si="91"/>
        <v>3.5490000000000004</v>
      </c>
      <c r="P46" s="98">
        <v>11.356</v>
      </c>
      <c r="Q46" s="99">
        <v>3.1120000000000001</v>
      </c>
      <c r="R46" s="99">
        <v>3.3260000000000001</v>
      </c>
      <c r="S46" s="99">
        <v>3.173</v>
      </c>
      <c r="T46" s="94">
        <f t="shared" si="92"/>
        <v>4.4260000000000002</v>
      </c>
      <c r="U46" s="98">
        <v>14.037000000000001</v>
      </c>
      <c r="V46" s="99">
        <v>3.879</v>
      </c>
      <c r="W46" s="99">
        <v>4.3360000000000003</v>
      </c>
      <c r="X46" s="99">
        <v>3.3180000000000001</v>
      </c>
      <c r="Y46" s="94">
        <f t="shared" si="93"/>
        <v>3.6660000000000004</v>
      </c>
      <c r="Z46" s="98">
        <v>15.199</v>
      </c>
      <c r="AA46" s="99">
        <v>2.7709999999999999</v>
      </c>
      <c r="AB46" s="99">
        <v>3.3929999999999998</v>
      </c>
      <c r="AC46" s="99">
        <v>3.4889999999999999</v>
      </c>
      <c r="AD46" s="94">
        <f t="shared" si="94"/>
        <v>1.3250000000000011</v>
      </c>
      <c r="AE46" s="98">
        <v>10.978</v>
      </c>
      <c r="AF46" s="99">
        <v>4.3499999999999996</v>
      </c>
      <c r="AG46" s="99">
        <v>2.44</v>
      </c>
      <c r="AH46" s="99">
        <v>4.7510000000000003</v>
      </c>
      <c r="AI46" s="94">
        <f t="shared" si="95"/>
        <v>2.4789999999999992</v>
      </c>
      <c r="AJ46" s="98">
        <v>14.02</v>
      </c>
      <c r="AK46" s="99">
        <v>4.0579999999999998</v>
      </c>
      <c r="AL46" s="99">
        <v>2.8519999999999999</v>
      </c>
      <c r="AM46" s="99">
        <v>2.8370000000000002</v>
      </c>
      <c r="AN46" s="94">
        <f t="shared" si="96"/>
        <v>3.1189999999999998</v>
      </c>
      <c r="AO46" s="98">
        <v>12.866</v>
      </c>
      <c r="AP46" s="99">
        <v>3.4710000000000001</v>
      </c>
      <c r="AQ46" s="99">
        <v>3.1139999999999999</v>
      </c>
      <c r="AR46" s="99">
        <v>2.9790000000000001</v>
      </c>
      <c r="AS46" s="94">
        <f t="shared" si="97"/>
        <v>3.7240000000000002</v>
      </c>
      <c r="AT46" s="98">
        <v>13.288</v>
      </c>
      <c r="AU46" s="99">
        <v>3.327</v>
      </c>
      <c r="AV46" s="99">
        <v>3.359</v>
      </c>
      <c r="AW46" s="99">
        <v>3.1850000000000001</v>
      </c>
      <c r="AX46" s="2">
        <f t="shared" si="98"/>
        <v>3.9499999999999993</v>
      </c>
      <c r="AY46" s="98">
        <v>13.821</v>
      </c>
      <c r="AZ46" s="99">
        <v>3.2519999999999998</v>
      </c>
      <c r="BA46" s="99">
        <v>3.8210000000000002</v>
      </c>
      <c r="BB46" s="99">
        <v>3.302</v>
      </c>
      <c r="BC46" s="2">
        <f t="shared" si="99"/>
        <v>4.1400000000000006</v>
      </c>
      <c r="BD46" s="98">
        <v>14.515000000000001</v>
      </c>
      <c r="BE46" s="99">
        <v>3.4649999999999999</v>
      </c>
      <c r="BF46" s="99">
        <v>3.823</v>
      </c>
      <c r="BG46" s="99">
        <v>4.1820000000000004</v>
      </c>
      <c r="BH46" s="2">
        <f t="shared" si="100"/>
        <v>4.0789999999999988</v>
      </c>
      <c r="BI46" s="100">
        <v>15.548999999999999</v>
      </c>
      <c r="BJ46" s="94"/>
      <c r="BK46" s="94"/>
      <c r="BL46" s="94"/>
      <c r="BM46" s="94"/>
      <c r="BN46" s="93"/>
      <c r="BO46" s="94"/>
      <c r="BP46" s="94"/>
      <c r="BQ46" s="94"/>
      <c r="BR46" s="94"/>
      <c r="BS46" s="93"/>
      <c r="BT46" s="93"/>
      <c r="BU46" s="93"/>
      <c r="BV46" s="93"/>
      <c r="BW46" s="4"/>
    </row>
    <row r="47" spans="1:75" ht="15.75" customHeight="1" outlineLevel="1" x14ac:dyDescent="0.2">
      <c r="A47" s="102" t="s">
        <v>514</v>
      </c>
      <c r="B47" s="102"/>
      <c r="C47" s="103">
        <f t="shared" ref="C47:BI47" si="101">SUM(C44:C46)</f>
        <v>14.61</v>
      </c>
      <c r="D47" s="103">
        <f t="shared" si="101"/>
        <v>10.913</v>
      </c>
      <c r="E47" s="103">
        <f t="shared" si="101"/>
        <v>9.6349999999999998</v>
      </c>
      <c r="F47" s="103">
        <f t="shared" si="101"/>
        <v>10.838000000000001</v>
      </c>
      <c r="G47" s="106">
        <f t="shared" si="101"/>
        <v>3.4050000000000002</v>
      </c>
      <c r="H47" s="106">
        <f t="shared" si="101"/>
        <v>3.4079999999999999</v>
      </c>
      <c r="I47" s="106">
        <f t="shared" si="101"/>
        <v>3.46</v>
      </c>
      <c r="J47" s="106">
        <f t="shared" si="101"/>
        <v>3.8620000000000001</v>
      </c>
      <c r="K47" s="103">
        <f t="shared" si="101"/>
        <v>14.135</v>
      </c>
      <c r="L47" s="106">
        <f t="shared" si="101"/>
        <v>3.839</v>
      </c>
      <c r="M47" s="106">
        <f t="shared" si="101"/>
        <v>3.899</v>
      </c>
      <c r="N47" s="106">
        <f t="shared" si="101"/>
        <v>4.0549999999999997</v>
      </c>
      <c r="O47" s="106">
        <f t="shared" si="101"/>
        <v>5.0240000000000009</v>
      </c>
      <c r="P47" s="103">
        <f t="shared" si="101"/>
        <v>16.817</v>
      </c>
      <c r="Q47" s="106">
        <f t="shared" si="101"/>
        <v>4.7309999999999999</v>
      </c>
      <c r="R47" s="106">
        <f t="shared" si="101"/>
        <v>4.9459999999999997</v>
      </c>
      <c r="S47" s="106">
        <f t="shared" si="101"/>
        <v>4.8719999999999999</v>
      </c>
      <c r="T47" s="106">
        <f t="shared" si="101"/>
        <v>5.5040000000000004</v>
      </c>
      <c r="U47" s="103">
        <f t="shared" si="101"/>
        <v>20.053000000000001</v>
      </c>
      <c r="V47" s="106">
        <f t="shared" si="101"/>
        <v>5.1850000000000005</v>
      </c>
      <c r="W47" s="106">
        <f t="shared" si="101"/>
        <v>6.1189999999999998</v>
      </c>
      <c r="X47" s="106">
        <f t="shared" si="101"/>
        <v>4.8730000000000002</v>
      </c>
      <c r="Y47" s="106">
        <f t="shared" si="101"/>
        <v>5.2959999999999994</v>
      </c>
      <c r="Z47" s="103">
        <f t="shared" si="101"/>
        <v>21.472999999999999</v>
      </c>
      <c r="AA47" s="106">
        <f t="shared" si="101"/>
        <v>4.6150000000000002</v>
      </c>
      <c r="AB47" s="106">
        <f t="shared" si="101"/>
        <v>5.173</v>
      </c>
      <c r="AC47" s="106">
        <f t="shared" si="101"/>
        <v>5.2789999999999999</v>
      </c>
      <c r="AD47" s="106">
        <f t="shared" si="101"/>
        <v>1.390000000000001</v>
      </c>
      <c r="AE47" s="103">
        <f t="shared" si="101"/>
        <v>16.457000000000001</v>
      </c>
      <c r="AF47" s="106">
        <f t="shared" si="101"/>
        <v>6.0129999999999999</v>
      </c>
      <c r="AG47" s="106">
        <f t="shared" si="101"/>
        <v>5.0619999999999994</v>
      </c>
      <c r="AH47" s="106">
        <f t="shared" si="101"/>
        <v>4.7320000000000002</v>
      </c>
      <c r="AI47" s="106">
        <f t="shared" si="101"/>
        <v>4.181</v>
      </c>
      <c r="AJ47" s="103">
        <f t="shared" si="101"/>
        <v>19.988</v>
      </c>
      <c r="AK47" s="106">
        <f t="shared" si="101"/>
        <v>5.8469999999999995</v>
      </c>
      <c r="AL47" s="106">
        <f t="shared" si="101"/>
        <v>4.641</v>
      </c>
      <c r="AM47" s="106">
        <f t="shared" si="101"/>
        <v>4.6470000000000002</v>
      </c>
      <c r="AN47" s="106">
        <f t="shared" si="101"/>
        <v>4.2379999999999995</v>
      </c>
      <c r="AO47" s="103">
        <f t="shared" si="101"/>
        <v>19.372999999999998</v>
      </c>
      <c r="AP47" s="106">
        <f t="shared" si="101"/>
        <v>5.5069999999999997</v>
      </c>
      <c r="AQ47" s="106">
        <f t="shared" si="101"/>
        <v>5.1099999999999994</v>
      </c>
      <c r="AR47" s="106">
        <f t="shared" si="101"/>
        <v>4.9169999999999998</v>
      </c>
      <c r="AS47" s="106">
        <f t="shared" si="101"/>
        <v>5.8160000000000007</v>
      </c>
      <c r="AT47" s="103">
        <f t="shared" si="101"/>
        <v>21.35</v>
      </c>
      <c r="AU47" s="106">
        <f t="shared" si="101"/>
        <v>5.444</v>
      </c>
      <c r="AV47" s="106">
        <f t="shared" si="101"/>
        <v>5.492</v>
      </c>
      <c r="AW47" s="106">
        <f t="shared" si="101"/>
        <v>5.3940000000000001</v>
      </c>
      <c r="AX47" s="106">
        <f t="shared" si="101"/>
        <v>6.6579999999999995</v>
      </c>
      <c r="AY47" s="103">
        <f t="shared" si="101"/>
        <v>22.988</v>
      </c>
      <c r="AZ47" s="106">
        <f t="shared" si="101"/>
        <v>5.5179999999999998</v>
      </c>
      <c r="BA47" s="106">
        <f t="shared" si="101"/>
        <v>6.0890000000000004</v>
      </c>
      <c r="BB47" s="106">
        <f t="shared" si="101"/>
        <v>5.6129999999999995</v>
      </c>
      <c r="BC47" s="106">
        <f t="shared" si="101"/>
        <v>7.2059999999999995</v>
      </c>
      <c r="BD47" s="103">
        <f t="shared" si="101"/>
        <v>24.426000000000002</v>
      </c>
      <c r="BE47" s="106">
        <f t="shared" si="101"/>
        <v>5.9020000000000001</v>
      </c>
      <c r="BF47" s="106">
        <f t="shared" si="101"/>
        <v>6.3250000000000002</v>
      </c>
      <c r="BG47" s="110">
        <f t="shared" si="101"/>
        <v>6.6230000000000011</v>
      </c>
      <c r="BH47" s="106">
        <f t="shared" si="101"/>
        <v>6.9309999999999983</v>
      </c>
      <c r="BI47" s="115">
        <f t="shared" si="101"/>
        <v>25.780999999999999</v>
      </c>
      <c r="BJ47" s="106">
        <f t="shared" ref="BJ47:BV47" si="102">BJ393</f>
        <v>6</v>
      </c>
      <c r="BK47" s="106">
        <f t="shared" si="102"/>
        <v>6</v>
      </c>
      <c r="BL47" s="106">
        <f t="shared" si="102"/>
        <v>6</v>
      </c>
      <c r="BM47" s="106">
        <f t="shared" si="102"/>
        <v>6</v>
      </c>
      <c r="BN47" s="103">
        <f t="shared" si="102"/>
        <v>24</v>
      </c>
      <c r="BO47" s="106">
        <f t="shared" si="102"/>
        <v>6</v>
      </c>
      <c r="BP47" s="106">
        <f t="shared" si="102"/>
        <v>6</v>
      </c>
      <c r="BQ47" s="106">
        <f t="shared" si="102"/>
        <v>6</v>
      </c>
      <c r="BR47" s="106">
        <f t="shared" si="102"/>
        <v>6</v>
      </c>
      <c r="BS47" s="103">
        <f t="shared" si="102"/>
        <v>24</v>
      </c>
      <c r="BT47" s="103">
        <f t="shared" si="102"/>
        <v>24</v>
      </c>
      <c r="BU47" s="103">
        <f t="shared" si="102"/>
        <v>24</v>
      </c>
      <c r="BV47" s="103">
        <f t="shared" si="102"/>
        <v>24</v>
      </c>
      <c r="BW47" s="83"/>
    </row>
    <row r="48" spans="1:75" ht="15.75" customHeight="1" outlineLevel="1" x14ac:dyDescent="0.2">
      <c r="A48" s="108"/>
      <c r="B48" s="108"/>
      <c r="C48" s="109"/>
      <c r="D48" s="109"/>
      <c r="E48" s="109"/>
      <c r="F48" s="109"/>
      <c r="G48" s="110"/>
      <c r="H48" s="110"/>
      <c r="I48" s="110"/>
      <c r="J48" s="110"/>
      <c r="K48" s="109"/>
      <c r="L48" s="110"/>
      <c r="M48" s="110"/>
      <c r="N48" s="110"/>
      <c r="O48" s="110"/>
      <c r="P48" s="109"/>
      <c r="Q48" s="110"/>
      <c r="R48" s="110"/>
      <c r="S48" s="110"/>
      <c r="T48" s="110"/>
      <c r="U48" s="109"/>
      <c r="V48" s="110"/>
      <c r="W48" s="110"/>
      <c r="X48" s="110"/>
      <c r="Y48" s="110"/>
      <c r="Z48" s="109"/>
      <c r="AA48" s="110"/>
      <c r="AB48" s="110"/>
      <c r="AC48" s="110"/>
      <c r="AD48" s="110"/>
      <c r="AE48" s="109"/>
      <c r="AF48" s="110"/>
      <c r="AG48" s="110"/>
      <c r="AH48" s="110"/>
      <c r="AI48" s="110"/>
      <c r="AJ48" s="109"/>
      <c r="AK48" s="110"/>
      <c r="AL48" s="110"/>
      <c r="AM48" s="110"/>
      <c r="AN48" s="110"/>
      <c r="AO48" s="109"/>
      <c r="AP48" s="110"/>
      <c r="AQ48" s="110"/>
      <c r="AR48" s="110"/>
      <c r="AS48" s="110"/>
      <c r="AT48" s="109"/>
      <c r="AU48" s="110"/>
      <c r="AV48" s="110"/>
      <c r="AW48" s="110"/>
      <c r="AX48" s="110"/>
      <c r="AY48" s="109"/>
      <c r="AZ48" s="110"/>
      <c r="BA48" s="110"/>
      <c r="BB48" s="110"/>
      <c r="BC48" s="110"/>
      <c r="BD48" s="109"/>
      <c r="BE48" s="110"/>
      <c r="BF48" s="110"/>
      <c r="BG48" s="110"/>
      <c r="BH48" s="110"/>
      <c r="BI48" s="107"/>
      <c r="BJ48" s="110"/>
      <c r="BK48" s="110"/>
      <c r="BL48" s="110"/>
      <c r="BM48" s="110"/>
      <c r="BN48" s="109"/>
      <c r="BO48" s="110"/>
      <c r="BP48" s="110"/>
      <c r="BQ48" s="110"/>
      <c r="BR48" s="110"/>
      <c r="BS48" s="109"/>
      <c r="BT48" s="109"/>
      <c r="BU48" s="109"/>
      <c r="BV48" s="109"/>
      <c r="BW48" s="83"/>
    </row>
    <row r="49" spans="1:75" ht="15.75" customHeight="1" outlineLevel="1" x14ac:dyDescent="0.2">
      <c r="A49" s="84" t="s">
        <v>515</v>
      </c>
      <c r="B49" s="85"/>
      <c r="C49" s="86">
        <f t="shared" ref="C49:BI49" si="103">C51-SUM(C50)</f>
        <v>75.183999999999997</v>
      </c>
      <c r="D49" s="86">
        <f t="shared" si="103"/>
        <v>72.14</v>
      </c>
      <c r="E49" s="86">
        <f t="shared" si="103"/>
        <v>71.957999999999998</v>
      </c>
      <c r="F49" s="86">
        <f t="shared" si="103"/>
        <v>74.433000000000007</v>
      </c>
      <c r="G49" s="2">
        <f t="shared" si="103"/>
        <v>19.23</v>
      </c>
      <c r="H49" s="2">
        <f t="shared" si="103"/>
        <v>38.445</v>
      </c>
      <c r="I49" s="2">
        <f t="shared" si="103"/>
        <v>58.106000000000002</v>
      </c>
      <c r="J49" s="2">
        <f t="shared" si="103"/>
        <v>78.558000000000007</v>
      </c>
      <c r="K49" s="86">
        <f t="shared" si="103"/>
        <v>78.558000000000007</v>
      </c>
      <c r="L49" s="2">
        <f t="shared" si="103"/>
        <v>20.251000000000001</v>
      </c>
      <c r="M49" s="2">
        <f t="shared" si="103"/>
        <v>40.784999999999997</v>
      </c>
      <c r="N49" s="2">
        <f t="shared" si="103"/>
        <v>61.715000000000003</v>
      </c>
      <c r="O49" s="2">
        <f t="shared" si="103"/>
        <v>82.834999999999994</v>
      </c>
      <c r="P49" s="86">
        <f t="shared" si="103"/>
        <v>82.834999999999994</v>
      </c>
      <c r="Q49" s="2">
        <f t="shared" si="103"/>
        <v>21.177</v>
      </c>
      <c r="R49" s="2">
        <f t="shared" si="103"/>
        <v>42.335000000000001</v>
      </c>
      <c r="S49" s="2">
        <f t="shared" si="103"/>
        <v>63.652000000000001</v>
      </c>
      <c r="T49" s="2">
        <f t="shared" si="103"/>
        <v>85.563000000000002</v>
      </c>
      <c r="U49" s="86">
        <f t="shared" si="103"/>
        <v>85.563000000000002</v>
      </c>
      <c r="V49" s="2">
        <f t="shared" si="103"/>
        <v>21.463999999999999</v>
      </c>
      <c r="W49" s="2">
        <f t="shared" si="103"/>
        <v>42.924999999999997</v>
      </c>
      <c r="X49" s="2">
        <f t="shared" si="103"/>
        <v>64.558999999999997</v>
      </c>
      <c r="Y49" s="2">
        <f t="shared" si="103"/>
        <v>88.01</v>
      </c>
      <c r="Z49" s="86">
        <f t="shared" si="103"/>
        <v>88.01</v>
      </c>
      <c r="AA49" s="2">
        <f t="shared" si="103"/>
        <v>23.196000000000002</v>
      </c>
      <c r="AB49" s="2">
        <f t="shared" si="103"/>
        <v>46.493000000000002</v>
      </c>
      <c r="AC49" s="2">
        <f t="shared" si="103"/>
        <v>69.492000000000004</v>
      </c>
      <c r="AD49" s="2">
        <f t="shared" si="103"/>
        <v>92.728999999999999</v>
      </c>
      <c r="AE49" s="86">
        <f t="shared" si="103"/>
        <v>92.129000000000005</v>
      </c>
      <c r="AF49" s="2">
        <f t="shared" si="103"/>
        <v>24.001999999999999</v>
      </c>
      <c r="AG49" s="2">
        <f t="shared" si="103"/>
        <v>47.728999999999999</v>
      </c>
      <c r="AH49" s="2">
        <f t="shared" si="103"/>
        <v>71.819000000000003</v>
      </c>
      <c r="AI49" s="2">
        <f t="shared" si="103"/>
        <v>95.975999999999999</v>
      </c>
      <c r="AJ49" s="86">
        <f t="shared" si="103"/>
        <v>95.376000000000005</v>
      </c>
      <c r="AK49" s="2">
        <f t="shared" si="103"/>
        <v>21.361999999999998</v>
      </c>
      <c r="AL49" s="2">
        <f t="shared" si="103"/>
        <v>43.021000000000001</v>
      </c>
      <c r="AM49" s="2">
        <f t="shared" si="103"/>
        <v>64.363</v>
      </c>
      <c r="AN49" s="2">
        <f t="shared" si="103"/>
        <v>88.132999999999996</v>
      </c>
      <c r="AO49" s="86">
        <f t="shared" si="103"/>
        <v>87.832999999999998</v>
      </c>
      <c r="AP49" s="2">
        <f t="shared" si="103"/>
        <v>23.562000000000001</v>
      </c>
      <c r="AQ49" s="2">
        <f t="shared" si="103"/>
        <v>46.152000000000001</v>
      </c>
      <c r="AR49" s="2">
        <f t="shared" si="103"/>
        <v>68.802999999999997</v>
      </c>
      <c r="AS49" s="2">
        <f t="shared" si="103"/>
        <v>91.415000000000006</v>
      </c>
      <c r="AT49" s="86">
        <f t="shared" si="103"/>
        <v>90.715000000000003</v>
      </c>
      <c r="AU49" s="2">
        <f t="shared" si="103"/>
        <v>21.956</v>
      </c>
      <c r="AV49" s="2">
        <f t="shared" si="103"/>
        <v>44.028999999999996</v>
      </c>
      <c r="AW49" s="2">
        <f t="shared" si="103"/>
        <v>66.205000000000013</v>
      </c>
      <c r="AX49" s="2">
        <f t="shared" si="103"/>
        <v>88.554000000000002</v>
      </c>
      <c r="AY49" s="86">
        <f t="shared" si="103"/>
        <v>88.554000000000002</v>
      </c>
      <c r="AZ49" s="2">
        <f t="shared" si="103"/>
        <v>21.004999999999999</v>
      </c>
      <c r="BA49" s="2">
        <f t="shared" si="103"/>
        <v>43.113</v>
      </c>
      <c r="BB49" s="2">
        <f t="shared" si="103"/>
        <v>65.263999999999996</v>
      </c>
      <c r="BC49" s="2">
        <f t="shared" si="103"/>
        <v>90.38</v>
      </c>
      <c r="BD49" s="86">
        <f t="shared" si="103"/>
        <v>90.38</v>
      </c>
      <c r="BE49" s="2">
        <f t="shared" si="103"/>
        <v>22.454999999999998</v>
      </c>
      <c r="BF49" s="2">
        <f t="shared" si="103"/>
        <v>45.286999999999999</v>
      </c>
      <c r="BG49" s="2">
        <f t="shared" si="103"/>
        <v>67.623999999999995</v>
      </c>
      <c r="BH49" s="2">
        <f t="shared" si="103"/>
        <v>91.135999999999996</v>
      </c>
      <c r="BI49" s="90">
        <f t="shared" si="103"/>
        <v>91.135999999999996</v>
      </c>
      <c r="BJ49" s="2"/>
      <c r="BK49" s="2"/>
      <c r="BL49" s="2"/>
      <c r="BM49" s="2"/>
      <c r="BN49" s="86"/>
      <c r="BO49" s="2"/>
      <c r="BP49" s="2"/>
      <c r="BQ49" s="2"/>
      <c r="BR49" s="2"/>
      <c r="BS49" s="86"/>
      <c r="BT49" s="86"/>
      <c r="BU49" s="86"/>
      <c r="BV49" s="86"/>
      <c r="BW49" s="4"/>
    </row>
    <row r="50" spans="1:75" ht="15.75" customHeight="1" outlineLevel="1" x14ac:dyDescent="0.2">
      <c r="A50" s="84" t="s">
        <v>516</v>
      </c>
      <c r="B50" s="85"/>
      <c r="C50" s="86"/>
      <c r="D50" s="86"/>
      <c r="E50" s="86"/>
      <c r="F50" s="86"/>
      <c r="G50" s="2"/>
      <c r="H50" s="2"/>
      <c r="I50" s="2"/>
      <c r="J50" s="2"/>
      <c r="K50" s="86"/>
      <c r="L50" s="2"/>
      <c r="M50" s="2"/>
      <c r="N50" s="2"/>
      <c r="O50" s="2"/>
      <c r="P50" s="86"/>
      <c r="Q50" s="2"/>
      <c r="R50" s="2"/>
      <c r="S50" s="2"/>
      <c r="T50" s="2"/>
      <c r="U50" s="86"/>
      <c r="V50" s="2"/>
      <c r="W50" s="2"/>
      <c r="X50" s="2"/>
      <c r="Y50" s="2"/>
      <c r="Z50" s="86"/>
      <c r="AA50" s="2"/>
      <c r="AB50" s="2"/>
      <c r="AC50" s="2"/>
      <c r="AD50" s="2"/>
      <c r="AE50" s="87">
        <v>0.6</v>
      </c>
      <c r="AF50" s="2"/>
      <c r="AG50" s="2"/>
      <c r="AH50" s="2"/>
      <c r="AI50" s="2"/>
      <c r="AJ50" s="87">
        <v>0.6</v>
      </c>
      <c r="AK50" s="2"/>
      <c r="AL50" s="2"/>
      <c r="AM50" s="2"/>
      <c r="AN50" s="2"/>
      <c r="AO50" s="87">
        <v>0.3</v>
      </c>
      <c r="AP50" s="2"/>
      <c r="AQ50" s="2"/>
      <c r="AR50" s="2"/>
      <c r="AS50" s="2"/>
      <c r="AT50" s="87">
        <v>0.7</v>
      </c>
      <c r="AU50" s="88">
        <v>0.05</v>
      </c>
      <c r="AV50" s="88">
        <v>0.2</v>
      </c>
      <c r="AW50" s="88">
        <v>0.6</v>
      </c>
      <c r="AX50" s="2">
        <f>AY50</f>
        <v>1.1000000000000001</v>
      </c>
      <c r="AY50" s="87">
        <v>1.1000000000000001</v>
      </c>
      <c r="AZ50" s="88">
        <v>0.5</v>
      </c>
      <c r="BA50" s="88">
        <v>1</v>
      </c>
      <c r="BB50" s="88">
        <v>1.5</v>
      </c>
      <c r="BC50" s="2">
        <f>BD50</f>
        <v>2</v>
      </c>
      <c r="BD50" s="87">
        <v>2</v>
      </c>
      <c r="BE50" s="88">
        <v>0.5</v>
      </c>
      <c r="BF50" s="88">
        <v>1</v>
      </c>
      <c r="BG50" s="88">
        <v>1.5</v>
      </c>
      <c r="BH50" s="2">
        <f>BI50</f>
        <v>2</v>
      </c>
      <c r="BI50" s="100">
        <v>2</v>
      </c>
      <c r="BJ50" s="2"/>
      <c r="BK50" s="2"/>
      <c r="BL50" s="2"/>
      <c r="BM50" s="2"/>
      <c r="BN50" s="86"/>
      <c r="BO50" s="2"/>
      <c r="BP50" s="2"/>
      <c r="BQ50" s="2"/>
      <c r="BR50" s="2"/>
      <c r="BS50" s="86"/>
      <c r="BT50" s="86"/>
      <c r="BU50" s="86"/>
      <c r="BV50" s="86"/>
      <c r="BW50" s="4"/>
    </row>
    <row r="51" spans="1:75" ht="15.75" customHeight="1" outlineLevel="1" x14ac:dyDescent="0.2">
      <c r="A51" s="105" t="s">
        <v>517</v>
      </c>
      <c r="B51" s="102"/>
      <c r="C51" s="103">
        <f t="shared" ref="C51:BI51" si="104">C565</f>
        <v>75.183999999999997</v>
      </c>
      <c r="D51" s="103">
        <f t="shared" si="104"/>
        <v>72.14</v>
      </c>
      <c r="E51" s="103">
        <f t="shared" si="104"/>
        <v>71.957999999999998</v>
      </c>
      <c r="F51" s="103">
        <f t="shared" si="104"/>
        <v>74.433000000000007</v>
      </c>
      <c r="G51" s="106">
        <f t="shared" si="104"/>
        <v>19.23</v>
      </c>
      <c r="H51" s="106">
        <f t="shared" si="104"/>
        <v>38.445</v>
      </c>
      <c r="I51" s="106">
        <f t="shared" si="104"/>
        <v>58.106000000000002</v>
      </c>
      <c r="J51" s="106">
        <f t="shared" si="104"/>
        <v>78.558000000000007</v>
      </c>
      <c r="K51" s="103">
        <f t="shared" si="104"/>
        <v>78.558000000000007</v>
      </c>
      <c r="L51" s="106">
        <f t="shared" si="104"/>
        <v>20.251000000000001</v>
      </c>
      <c r="M51" s="106">
        <f t="shared" si="104"/>
        <v>40.784999999999997</v>
      </c>
      <c r="N51" s="106">
        <f t="shared" si="104"/>
        <v>61.715000000000003</v>
      </c>
      <c r="O51" s="106">
        <f t="shared" si="104"/>
        <v>82.834999999999994</v>
      </c>
      <c r="P51" s="103">
        <f t="shared" si="104"/>
        <v>82.834999999999994</v>
      </c>
      <c r="Q51" s="106">
        <f t="shared" si="104"/>
        <v>21.177</v>
      </c>
      <c r="R51" s="106">
        <f t="shared" si="104"/>
        <v>42.335000000000001</v>
      </c>
      <c r="S51" s="106">
        <f t="shared" si="104"/>
        <v>63.652000000000001</v>
      </c>
      <c r="T51" s="106">
        <f t="shared" si="104"/>
        <v>85.563000000000002</v>
      </c>
      <c r="U51" s="103">
        <f t="shared" si="104"/>
        <v>85.563000000000002</v>
      </c>
      <c r="V51" s="106">
        <f t="shared" si="104"/>
        <v>21.463999999999999</v>
      </c>
      <c r="W51" s="106">
        <f t="shared" si="104"/>
        <v>42.924999999999997</v>
      </c>
      <c r="X51" s="106">
        <f t="shared" si="104"/>
        <v>64.558999999999997</v>
      </c>
      <c r="Y51" s="106">
        <f t="shared" si="104"/>
        <v>88.01</v>
      </c>
      <c r="Z51" s="103">
        <f t="shared" si="104"/>
        <v>88.01</v>
      </c>
      <c r="AA51" s="106">
        <f t="shared" si="104"/>
        <v>23.196000000000002</v>
      </c>
      <c r="AB51" s="106">
        <f t="shared" si="104"/>
        <v>46.493000000000002</v>
      </c>
      <c r="AC51" s="106">
        <f t="shared" si="104"/>
        <v>69.492000000000004</v>
      </c>
      <c r="AD51" s="106">
        <f t="shared" si="104"/>
        <v>92.728999999999999</v>
      </c>
      <c r="AE51" s="103">
        <f t="shared" si="104"/>
        <v>92.728999999999999</v>
      </c>
      <c r="AF51" s="106">
        <f t="shared" si="104"/>
        <v>24.001999999999999</v>
      </c>
      <c r="AG51" s="106">
        <f t="shared" si="104"/>
        <v>47.728999999999999</v>
      </c>
      <c r="AH51" s="106">
        <f t="shared" si="104"/>
        <v>71.819000000000003</v>
      </c>
      <c r="AI51" s="106">
        <f t="shared" si="104"/>
        <v>95.975999999999999</v>
      </c>
      <c r="AJ51" s="103">
        <f t="shared" si="104"/>
        <v>95.975999999999999</v>
      </c>
      <c r="AK51" s="106">
        <f t="shared" si="104"/>
        <v>21.361999999999998</v>
      </c>
      <c r="AL51" s="106">
        <f t="shared" si="104"/>
        <v>43.021000000000001</v>
      </c>
      <c r="AM51" s="106">
        <f t="shared" si="104"/>
        <v>64.363</v>
      </c>
      <c r="AN51" s="106">
        <f t="shared" si="104"/>
        <v>88.132999999999996</v>
      </c>
      <c r="AO51" s="103">
        <f t="shared" si="104"/>
        <v>88.132999999999996</v>
      </c>
      <c r="AP51" s="106">
        <f t="shared" si="104"/>
        <v>23.562000000000001</v>
      </c>
      <c r="AQ51" s="106">
        <f t="shared" si="104"/>
        <v>46.152000000000001</v>
      </c>
      <c r="AR51" s="106">
        <f t="shared" si="104"/>
        <v>68.802999999999997</v>
      </c>
      <c r="AS51" s="106">
        <f t="shared" si="104"/>
        <v>91.415000000000006</v>
      </c>
      <c r="AT51" s="103">
        <f t="shared" si="104"/>
        <v>91.415000000000006</v>
      </c>
      <c r="AU51" s="106">
        <f t="shared" si="104"/>
        <v>22.006</v>
      </c>
      <c r="AV51" s="106">
        <f t="shared" si="104"/>
        <v>44.228999999999999</v>
      </c>
      <c r="AW51" s="106">
        <f t="shared" si="104"/>
        <v>66.805000000000007</v>
      </c>
      <c r="AX51" s="106">
        <f t="shared" si="104"/>
        <v>89.653999999999996</v>
      </c>
      <c r="AY51" s="103">
        <f t="shared" si="104"/>
        <v>89.653999999999996</v>
      </c>
      <c r="AZ51" s="106">
        <f t="shared" si="104"/>
        <v>21.504999999999999</v>
      </c>
      <c r="BA51" s="106">
        <f t="shared" si="104"/>
        <v>44.113</v>
      </c>
      <c r="BB51" s="106">
        <f t="shared" si="104"/>
        <v>66.763999999999996</v>
      </c>
      <c r="BC51" s="106">
        <f t="shared" si="104"/>
        <v>92.38</v>
      </c>
      <c r="BD51" s="103">
        <f t="shared" si="104"/>
        <v>92.38</v>
      </c>
      <c r="BE51" s="106">
        <f t="shared" si="104"/>
        <v>22.954999999999998</v>
      </c>
      <c r="BF51" s="106">
        <f t="shared" si="104"/>
        <v>46.286999999999999</v>
      </c>
      <c r="BG51" s="106">
        <f t="shared" si="104"/>
        <v>69.123999999999995</v>
      </c>
      <c r="BH51" s="106">
        <f t="shared" si="104"/>
        <v>93.135999999999996</v>
      </c>
      <c r="BI51" s="107">
        <f t="shared" si="104"/>
        <v>93.135999999999996</v>
      </c>
      <c r="BJ51" s="106"/>
      <c r="BK51" s="106"/>
      <c r="BL51" s="106"/>
      <c r="BM51" s="106"/>
      <c r="BN51" s="103"/>
      <c r="BO51" s="106"/>
      <c r="BP51" s="106"/>
      <c r="BQ51" s="106"/>
      <c r="BR51" s="106"/>
      <c r="BS51" s="103"/>
      <c r="BT51" s="103"/>
      <c r="BU51" s="103"/>
      <c r="BV51" s="103"/>
      <c r="BW51" s="83"/>
    </row>
    <row r="52" spans="1:75" ht="15.75" customHeight="1" x14ac:dyDescent="0.2">
      <c r="A52" s="108"/>
      <c r="B52" s="108"/>
      <c r="C52" s="109"/>
      <c r="D52" s="109"/>
      <c r="E52" s="109"/>
      <c r="F52" s="109"/>
      <c r="G52" s="110"/>
      <c r="H52" s="110"/>
      <c r="I52" s="110"/>
      <c r="J52" s="110"/>
      <c r="K52" s="109"/>
      <c r="L52" s="110"/>
      <c r="M52" s="110"/>
      <c r="N52" s="110"/>
      <c r="O52" s="110"/>
      <c r="P52" s="109"/>
      <c r="Q52" s="110"/>
      <c r="R52" s="110"/>
      <c r="S52" s="110"/>
      <c r="T52" s="110"/>
      <c r="U52" s="109"/>
      <c r="V52" s="110"/>
      <c r="W52" s="110"/>
      <c r="X52" s="110"/>
      <c r="Y52" s="110"/>
      <c r="Z52" s="109"/>
      <c r="AA52" s="110"/>
      <c r="AB52" s="110"/>
      <c r="AC52" s="110"/>
      <c r="AD52" s="110"/>
      <c r="AE52" s="109"/>
      <c r="AF52" s="110"/>
      <c r="AG52" s="110"/>
      <c r="AH52" s="110"/>
      <c r="AI52" s="110"/>
      <c r="AJ52" s="109"/>
      <c r="AK52" s="110"/>
      <c r="AL52" s="110"/>
      <c r="AM52" s="110"/>
      <c r="AN52" s="110"/>
      <c r="AO52" s="109"/>
      <c r="AP52" s="110"/>
      <c r="AQ52" s="110"/>
      <c r="AR52" s="110"/>
      <c r="AS52" s="110"/>
      <c r="AT52" s="109"/>
      <c r="AU52" s="110"/>
      <c r="AV52" s="110"/>
      <c r="AW52" s="110"/>
      <c r="AX52" s="110"/>
      <c r="AY52" s="109"/>
      <c r="AZ52" s="110"/>
      <c r="BA52" s="110"/>
      <c r="BB52" s="110"/>
      <c r="BC52" s="110"/>
      <c r="BD52" s="109"/>
      <c r="BE52" s="110"/>
      <c r="BF52" s="110"/>
      <c r="BG52" s="110"/>
      <c r="BH52" s="110"/>
      <c r="BI52" s="107"/>
      <c r="BJ52" s="110"/>
      <c r="BK52" s="110"/>
      <c r="BL52" s="110"/>
      <c r="BM52" s="110"/>
      <c r="BN52" s="109"/>
      <c r="BO52" s="110"/>
      <c r="BP52" s="110"/>
      <c r="BQ52" s="110"/>
      <c r="BR52" s="110"/>
      <c r="BS52" s="109"/>
      <c r="BT52" s="109"/>
      <c r="BU52" s="109"/>
      <c r="BV52" s="109"/>
      <c r="BW52" s="83"/>
    </row>
    <row r="53" spans="1:75" ht="15.75" customHeight="1" x14ac:dyDescent="0.2">
      <c r="A53" s="81" t="s">
        <v>518</v>
      </c>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2"/>
      <c r="BJ53" s="81"/>
      <c r="BK53" s="81"/>
      <c r="BL53" s="81"/>
      <c r="BM53" s="81"/>
      <c r="BN53" s="81"/>
      <c r="BO53" s="81"/>
      <c r="BP53" s="81"/>
      <c r="BQ53" s="81"/>
      <c r="BR53" s="81"/>
      <c r="BS53" s="81"/>
      <c r="BT53" s="81"/>
      <c r="BU53" s="81"/>
      <c r="BV53" s="81"/>
      <c r="BW53" s="83"/>
    </row>
    <row r="54" spans="1:75" ht="15.75" customHeight="1" outlineLevel="1" x14ac:dyDescent="0.2">
      <c r="A54" s="116" t="s">
        <v>251</v>
      </c>
      <c r="B54" s="117"/>
      <c r="C54" s="118">
        <v>145</v>
      </c>
      <c r="D54" s="119">
        <f t="shared" ref="D54:J54" si="105">C57</f>
        <v>146</v>
      </c>
      <c r="E54" s="119">
        <f t="shared" si="105"/>
        <v>149</v>
      </c>
      <c r="F54" s="119">
        <f t="shared" si="105"/>
        <v>156</v>
      </c>
      <c r="G54" s="120">
        <f t="shared" si="105"/>
        <v>162</v>
      </c>
      <c r="H54" s="120">
        <f t="shared" si="105"/>
        <v>162</v>
      </c>
      <c r="I54" s="120">
        <f t="shared" si="105"/>
        <v>163</v>
      </c>
      <c r="J54" s="120">
        <f t="shared" si="105"/>
        <v>165</v>
      </c>
      <c r="K54" s="119">
        <f>F57</f>
        <v>162</v>
      </c>
      <c r="L54" s="120">
        <f>K57</f>
        <v>168</v>
      </c>
      <c r="M54" s="120">
        <f t="shared" ref="M54:O54" si="106">L57</f>
        <v>169</v>
      </c>
      <c r="N54" s="120">
        <f t="shared" si="106"/>
        <v>170</v>
      </c>
      <c r="O54" s="120">
        <f t="shared" si="106"/>
        <v>172</v>
      </c>
      <c r="P54" s="119">
        <f>K57</f>
        <v>168</v>
      </c>
      <c r="Q54" s="120">
        <f t="shared" ref="Q54:T54" si="107">P57</f>
        <v>177</v>
      </c>
      <c r="R54" s="120">
        <f t="shared" si="107"/>
        <v>177</v>
      </c>
      <c r="S54" s="120">
        <f t="shared" si="107"/>
        <v>179</v>
      </c>
      <c r="T54" s="120">
        <f t="shared" si="107"/>
        <v>181</v>
      </c>
      <c r="U54" s="119">
        <f>P57</f>
        <v>177</v>
      </c>
      <c r="V54" s="120">
        <f t="shared" ref="V54:Y54" si="108">U57</f>
        <v>187</v>
      </c>
      <c r="W54" s="120">
        <f t="shared" si="108"/>
        <v>188</v>
      </c>
      <c r="X54" s="120">
        <f t="shared" si="108"/>
        <v>189</v>
      </c>
      <c r="Y54" s="121">
        <f t="shared" si="108"/>
        <v>189</v>
      </c>
      <c r="Z54" s="122">
        <f>U57</f>
        <v>187</v>
      </c>
      <c r="AA54" s="120">
        <f t="shared" ref="AA54:AD54" si="109">Z57</f>
        <v>194</v>
      </c>
      <c r="AB54" s="120">
        <f t="shared" si="109"/>
        <v>194</v>
      </c>
      <c r="AC54" s="120">
        <f t="shared" si="109"/>
        <v>193</v>
      </c>
      <c r="AD54" s="121">
        <f t="shared" si="109"/>
        <v>194</v>
      </c>
      <c r="AE54" s="122">
        <f>Z57</f>
        <v>194</v>
      </c>
      <c r="AF54" s="120">
        <f t="shared" ref="AF54:AI54" si="110">AE57</f>
        <v>199</v>
      </c>
      <c r="AG54" s="120">
        <f t="shared" si="110"/>
        <v>199</v>
      </c>
      <c r="AH54" s="120">
        <f t="shared" si="110"/>
        <v>198</v>
      </c>
      <c r="AI54" s="121">
        <f t="shared" si="110"/>
        <v>199</v>
      </c>
      <c r="AJ54" s="122">
        <f>AE57</f>
        <v>199</v>
      </c>
      <c r="AK54" s="120">
        <f t="shared" ref="AK54:AN54" si="111">AJ57</f>
        <v>201</v>
      </c>
      <c r="AL54" s="120">
        <f t="shared" si="111"/>
        <v>201</v>
      </c>
      <c r="AM54" s="120">
        <f t="shared" si="111"/>
        <v>202</v>
      </c>
      <c r="AN54" s="121">
        <f t="shared" si="111"/>
        <v>203</v>
      </c>
      <c r="AO54" s="122">
        <f>AJ57</f>
        <v>201</v>
      </c>
      <c r="AP54" s="120">
        <f t="shared" ref="AP54:AS54" si="112">AO57</f>
        <v>206</v>
      </c>
      <c r="AQ54" s="120">
        <f t="shared" si="112"/>
        <v>206</v>
      </c>
      <c r="AR54" s="120">
        <f t="shared" si="112"/>
        <v>206</v>
      </c>
      <c r="AS54" s="121">
        <f t="shared" si="112"/>
        <v>205</v>
      </c>
      <c r="AT54" s="122">
        <f>AO57</f>
        <v>206</v>
      </c>
      <c r="AU54" s="120">
        <f t="shared" ref="AU54:AX54" si="113">AT57</f>
        <v>206</v>
      </c>
      <c r="AV54" s="120">
        <f t="shared" si="113"/>
        <v>207</v>
      </c>
      <c r="AW54" s="120">
        <f t="shared" si="113"/>
        <v>207</v>
      </c>
      <c r="AX54" s="121">
        <f t="shared" si="113"/>
        <v>207</v>
      </c>
      <c r="AY54" s="122">
        <f>AT57</f>
        <v>206</v>
      </c>
      <c r="AZ54" s="120">
        <f t="shared" ref="AZ54:BC54" si="114">AY57</f>
        <v>208</v>
      </c>
      <c r="BA54" s="120">
        <f t="shared" si="114"/>
        <v>208</v>
      </c>
      <c r="BB54" s="120">
        <f t="shared" si="114"/>
        <v>208</v>
      </c>
      <c r="BC54" s="121">
        <f t="shared" si="114"/>
        <v>209</v>
      </c>
      <c r="BD54" s="122">
        <f>AY57</f>
        <v>208</v>
      </c>
      <c r="BE54" s="120">
        <f t="shared" ref="BE54:BH54" si="115">BD57</f>
        <v>211</v>
      </c>
      <c r="BF54" s="120">
        <f t="shared" si="115"/>
        <v>210</v>
      </c>
      <c r="BG54" s="120">
        <f t="shared" si="115"/>
        <v>211</v>
      </c>
      <c r="BH54" s="121">
        <f t="shared" si="115"/>
        <v>213</v>
      </c>
      <c r="BI54" s="123">
        <f>BD57</f>
        <v>211</v>
      </c>
      <c r="BJ54" s="121">
        <f t="shared" ref="BJ54:BM54" si="116">BI57</f>
        <v>216</v>
      </c>
      <c r="BK54" s="121">
        <f t="shared" si="116"/>
        <v>217</v>
      </c>
      <c r="BL54" s="121">
        <f t="shared" si="116"/>
        <v>217</v>
      </c>
      <c r="BM54" s="121">
        <f t="shared" si="116"/>
        <v>217</v>
      </c>
      <c r="BN54" s="122">
        <f>BI57</f>
        <v>216</v>
      </c>
      <c r="BO54" s="121">
        <f t="shared" ref="BO54:BR54" si="117">BN57</f>
        <v>218</v>
      </c>
      <c r="BP54" s="121">
        <f t="shared" si="117"/>
        <v>219</v>
      </c>
      <c r="BQ54" s="121">
        <f t="shared" si="117"/>
        <v>219</v>
      </c>
      <c r="BR54" s="121">
        <f t="shared" si="117"/>
        <v>220</v>
      </c>
      <c r="BS54" s="122">
        <f>BN57</f>
        <v>218</v>
      </c>
      <c r="BT54" s="122">
        <f t="shared" ref="BT54:BV54" si="118">BS57</f>
        <v>221</v>
      </c>
      <c r="BU54" s="122">
        <f t="shared" si="118"/>
        <v>225</v>
      </c>
      <c r="BV54" s="122">
        <f t="shared" si="118"/>
        <v>229</v>
      </c>
      <c r="BW54" s="120"/>
    </row>
    <row r="55" spans="1:75" ht="15.75" customHeight="1" outlineLevel="1" x14ac:dyDescent="0.2">
      <c r="A55" s="124" t="s">
        <v>252</v>
      </c>
      <c r="B55" s="125"/>
      <c r="C55" s="126">
        <v>1</v>
      </c>
      <c r="D55" s="126">
        <v>3</v>
      </c>
      <c r="E55" s="126">
        <v>7</v>
      </c>
      <c r="F55" s="126">
        <v>7</v>
      </c>
      <c r="G55" s="127">
        <v>0</v>
      </c>
      <c r="H55" s="127">
        <v>1</v>
      </c>
      <c r="I55" s="127">
        <v>2</v>
      </c>
      <c r="J55" s="127">
        <v>6</v>
      </c>
      <c r="K55" s="126">
        <v>9</v>
      </c>
      <c r="L55" s="127">
        <v>1</v>
      </c>
      <c r="M55" s="127">
        <v>2</v>
      </c>
      <c r="N55" s="127">
        <v>2</v>
      </c>
      <c r="O55" s="127">
        <v>5</v>
      </c>
      <c r="P55" s="126">
        <v>10</v>
      </c>
      <c r="Q55" s="127">
        <v>0</v>
      </c>
      <c r="R55" s="127">
        <v>2</v>
      </c>
      <c r="S55" s="127">
        <v>2</v>
      </c>
      <c r="T55" s="127">
        <v>6</v>
      </c>
      <c r="U55" s="126">
        <v>10</v>
      </c>
      <c r="V55" s="127">
        <v>1</v>
      </c>
      <c r="W55" s="127">
        <v>1</v>
      </c>
      <c r="X55" s="127">
        <v>0</v>
      </c>
      <c r="Y55" s="127">
        <v>5</v>
      </c>
      <c r="Z55" s="126">
        <v>7</v>
      </c>
      <c r="AA55" s="127">
        <v>0</v>
      </c>
      <c r="AB55" s="127">
        <v>1</v>
      </c>
      <c r="AC55" s="127">
        <v>1</v>
      </c>
      <c r="AD55" s="127">
        <v>5</v>
      </c>
      <c r="AE55" s="126">
        <v>7</v>
      </c>
      <c r="AF55" s="127">
        <v>0</v>
      </c>
      <c r="AG55" s="127">
        <v>0</v>
      </c>
      <c r="AH55" s="127">
        <v>1</v>
      </c>
      <c r="AI55" s="127">
        <v>3</v>
      </c>
      <c r="AJ55" s="126">
        <v>4</v>
      </c>
      <c r="AK55" s="127">
        <v>0</v>
      </c>
      <c r="AL55" s="127">
        <v>1</v>
      </c>
      <c r="AM55" s="127">
        <v>1</v>
      </c>
      <c r="AN55" s="127">
        <v>3</v>
      </c>
      <c r="AO55" s="128">
        <f>SUM(AK55,AL55,AM55,AN55)</f>
        <v>5</v>
      </c>
      <c r="AP55" s="127">
        <v>0</v>
      </c>
      <c r="AQ55" s="127">
        <v>0</v>
      </c>
      <c r="AR55" s="127">
        <v>0</v>
      </c>
      <c r="AS55" s="127">
        <v>1</v>
      </c>
      <c r="AT55" s="128">
        <f>SUM(AP55,AQ55,AR55,AS55)</f>
        <v>1</v>
      </c>
      <c r="AU55" s="127">
        <v>1</v>
      </c>
      <c r="AV55" s="127">
        <v>0</v>
      </c>
      <c r="AW55" s="127">
        <v>0</v>
      </c>
      <c r="AX55" s="127">
        <v>1</v>
      </c>
      <c r="AY55" s="128">
        <f>SUM(AU55,AV55,AW55,AX55)</f>
        <v>2</v>
      </c>
      <c r="AZ55" s="127">
        <v>0</v>
      </c>
      <c r="BA55" s="127">
        <v>0</v>
      </c>
      <c r="BB55" s="127">
        <v>1</v>
      </c>
      <c r="BC55" s="127">
        <v>2</v>
      </c>
      <c r="BD55" s="128">
        <f>SUM(AZ55,BA55,BB55,BC55)</f>
        <v>3</v>
      </c>
      <c r="BE55" s="127">
        <v>0</v>
      </c>
      <c r="BF55" s="127">
        <v>1</v>
      </c>
      <c r="BG55" s="127">
        <v>2</v>
      </c>
      <c r="BH55" s="127">
        <v>3</v>
      </c>
      <c r="BI55" s="129">
        <f>SUM(BE55,BF55,BG55,BH55)</f>
        <v>6</v>
      </c>
      <c r="BJ55" s="127">
        <v>1</v>
      </c>
      <c r="BK55" s="127">
        <v>1</v>
      </c>
      <c r="BL55" s="127">
        <v>0</v>
      </c>
      <c r="BM55" s="127">
        <v>1</v>
      </c>
      <c r="BN55" s="130">
        <f t="shared" ref="BN55:BN56" si="119">SUM(BJ55,BK55,BL55,BM55)</f>
        <v>3</v>
      </c>
      <c r="BO55" s="127">
        <v>1</v>
      </c>
      <c r="BP55" s="127">
        <v>1</v>
      </c>
      <c r="BQ55" s="127">
        <v>1</v>
      </c>
      <c r="BR55" s="127">
        <v>1</v>
      </c>
      <c r="BS55" s="130">
        <f t="shared" ref="BS55:BS56" si="120">SUM(BO55,BP55,BQ55,BR55)</f>
        <v>4</v>
      </c>
      <c r="BT55" s="126">
        <v>5</v>
      </c>
      <c r="BU55" s="126">
        <v>5</v>
      </c>
      <c r="BV55" s="126">
        <v>5</v>
      </c>
      <c r="BW55" s="131"/>
    </row>
    <row r="56" spans="1:75" ht="15.75" customHeight="1" outlineLevel="1" x14ac:dyDescent="0.2">
      <c r="A56" s="132" t="s">
        <v>253</v>
      </c>
      <c r="B56" s="133"/>
      <c r="C56" s="134">
        <f t="shared" ref="C56:J56" si="121">C57-C54-C55</f>
        <v>0</v>
      </c>
      <c r="D56" s="134">
        <f t="shared" si="121"/>
        <v>0</v>
      </c>
      <c r="E56" s="134">
        <f t="shared" si="121"/>
        <v>0</v>
      </c>
      <c r="F56" s="134">
        <f t="shared" si="121"/>
        <v>-1</v>
      </c>
      <c r="G56" s="135">
        <f t="shared" si="121"/>
        <v>0</v>
      </c>
      <c r="H56" s="135">
        <f t="shared" si="121"/>
        <v>0</v>
      </c>
      <c r="I56" s="135">
        <f t="shared" si="121"/>
        <v>0</v>
      </c>
      <c r="J56" s="135">
        <f t="shared" si="121"/>
        <v>-3</v>
      </c>
      <c r="K56" s="134">
        <f>-(K55-(K57-K54))</f>
        <v>-3</v>
      </c>
      <c r="L56" s="135">
        <f t="shared" ref="L56:O56" si="122">L57-L54-L55</f>
        <v>0</v>
      </c>
      <c r="M56" s="135">
        <f t="shared" si="122"/>
        <v>-1</v>
      </c>
      <c r="N56" s="135">
        <f t="shared" si="122"/>
        <v>0</v>
      </c>
      <c r="O56" s="135">
        <f t="shared" si="122"/>
        <v>0</v>
      </c>
      <c r="P56" s="134">
        <f>-(P55-(P57-P54))</f>
        <v>-1</v>
      </c>
      <c r="Q56" s="135">
        <f t="shared" ref="Q56:T56" si="123">Q57-Q54-Q55</f>
        <v>0</v>
      </c>
      <c r="R56" s="135">
        <f t="shared" si="123"/>
        <v>0</v>
      </c>
      <c r="S56" s="135">
        <f t="shared" si="123"/>
        <v>0</v>
      </c>
      <c r="T56" s="135">
        <f t="shared" si="123"/>
        <v>0</v>
      </c>
      <c r="U56" s="134">
        <f>-(U55-(U57-U54))</f>
        <v>0</v>
      </c>
      <c r="V56" s="135">
        <f t="shared" ref="V56:Y56" si="124">V57-V54-V55</f>
        <v>0</v>
      </c>
      <c r="W56" s="135">
        <f t="shared" si="124"/>
        <v>0</v>
      </c>
      <c r="X56" s="135">
        <f t="shared" si="124"/>
        <v>0</v>
      </c>
      <c r="Y56" s="135">
        <f t="shared" si="124"/>
        <v>0</v>
      </c>
      <c r="Z56" s="134">
        <f>-(Z55-(Z57-Z54))</f>
        <v>0</v>
      </c>
      <c r="AA56" s="135">
        <f t="shared" ref="AA56:AD56" si="125">AA57-AA54-AA55</f>
        <v>0</v>
      </c>
      <c r="AB56" s="135">
        <f t="shared" si="125"/>
        <v>-2</v>
      </c>
      <c r="AC56" s="135">
        <f t="shared" si="125"/>
        <v>0</v>
      </c>
      <c r="AD56" s="135">
        <f t="shared" si="125"/>
        <v>0</v>
      </c>
      <c r="AE56" s="134">
        <f>-(AE55-(AE57-AE54))</f>
        <v>-2</v>
      </c>
      <c r="AF56" s="135">
        <f t="shared" ref="AF56:AI56" si="126">AF57-AF54-AF55</f>
        <v>0</v>
      </c>
      <c r="AG56" s="135">
        <f t="shared" si="126"/>
        <v>-1</v>
      </c>
      <c r="AH56" s="135">
        <f t="shared" si="126"/>
        <v>0</v>
      </c>
      <c r="AI56" s="135">
        <f t="shared" si="126"/>
        <v>-1</v>
      </c>
      <c r="AJ56" s="134">
        <f>-(AJ55-(AJ57-AJ54))</f>
        <v>-2</v>
      </c>
      <c r="AK56" s="135">
        <f t="shared" ref="AK56:AN56" si="127">AK57-AK54-AK55</f>
        <v>0</v>
      </c>
      <c r="AL56" s="135">
        <f t="shared" si="127"/>
        <v>0</v>
      </c>
      <c r="AM56" s="135">
        <f t="shared" si="127"/>
        <v>0</v>
      </c>
      <c r="AN56" s="135">
        <f t="shared" si="127"/>
        <v>0</v>
      </c>
      <c r="AO56" s="134">
        <f>-(AO55-(AO57-AO54))</f>
        <v>0</v>
      </c>
      <c r="AP56" s="135">
        <f t="shared" ref="AP56:AS56" si="128">AP57-AP54-AP55</f>
        <v>0</v>
      </c>
      <c r="AQ56" s="135">
        <f t="shared" si="128"/>
        <v>0</v>
      </c>
      <c r="AR56" s="135">
        <f t="shared" si="128"/>
        <v>-1</v>
      </c>
      <c r="AS56" s="135">
        <f t="shared" si="128"/>
        <v>0</v>
      </c>
      <c r="AT56" s="134">
        <f>-(AT55-(AT57-AT54))</f>
        <v>-1</v>
      </c>
      <c r="AU56" s="135">
        <f t="shared" ref="AU56:AX56" si="129">AU57-AU54-AU55</f>
        <v>0</v>
      </c>
      <c r="AV56" s="135">
        <f t="shared" si="129"/>
        <v>0</v>
      </c>
      <c r="AW56" s="135">
        <f t="shared" si="129"/>
        <v>0</v>
      </c>
      <c r="AX56" s="135">
        <f t="shared" si="129"/>
        <v>0</v>
      </c>
      <c r="AY56" s="134">
        <f>-(AY55-(AY57-AY54))</f>
        <v>0</v>
      </c>
      <c r="AZ56" s="135">
        <f t="shared" ref="AZ56:BC56" si="130">AZ57-AZ54-AZ55</f>
        <v>0</v>
      </c>
      <c r="BA56" s="135">
        <f t="shared" si="130"/>
        <v>0</v>
      </c>
      <c r="BB56" s="135">
        <f t="shared" si="130"/>
        <v>0</v>
      </c>
      <c r="BC56" s="135">
        <f t="shared" si="130"/>
        <v>0</v>
      </c>
      <c r="BD56" s="134">
        <f>-(BD55-(BD57-BD54))</f>
        <v>0</v>
      </c>
      <c r="BE56" s="135">
        <f t="shared" ref="BE56:BH56" si="131">BE57-BE54-BE55</f>
        <v>-1</v>
      </c>
      <c r="BF56" s="135">
        <f t="shared" si="131"/>
        <v>0</v>
      </c>
      <c r="BG56" s="131">
        <f t="shared" si="131"/>
        <v>0</v>
      </c>
      <c r="BH56" s="135">
        <f t="shared" si="131"/>
        <v>0</v>
      </c>
      <c r="BI56" s="136">
        <f>-(BI55-(BI57-BI54))</f>
        <v>-1</v>
      </c>
      <c r="BJ56" s="137">
        <v>0</v>
      </c>
      <c r="BK56" s="137">
        <v>-1</v>
      </c>
      <c r="BL56" s="137">
        <v>0</v>
      </c>
      <c r="BM56" s="137">
        <v>0</v>
      </c>
      <c r="BN56" s="138">
        <f t="shared" si="119"/>
        <v>-1</v>
      </c>
      <c r="BO56" s="137">
        <v>0</v>
      </c>
      <c r="BP56" s="137">
        <v>-1</v>
      </c>
      <c r="BQ56" s="137">
        <v>0</v>
      </c>
      <c r="BR56" s="137">
        <v>0</v>
      </c>
      <c r="BS56" s="138">
        <f t="shared" si="120"/>
        <v>-1</v>
      </c>
      <c r="BT56" s="139">
        <v>-1</v>
      </c>
      <c r="BU56" s="139">
        <v>-1</v>
      </c>
      <c r="BV56" s="139">
        <v>-1</v>
      </c>
      <c r="BW56" s="131"/>
    </row>
    <row r="57" spans="1:75" ht="15.75" customHeight="1" outlineLevel="1" x14ac:dyDescent="0.2">
      <c r="A57" s="140" t="s">
        <v>254</v>
      </c>
      <c r="B57" s="141"/>
      <c r="C57" s="142">
        <v>146</v>
      </c>
      <c r="D57" s="142">
        <v>149</v>
      </c>
      <c r="E57" s="142">
        <v>156</v>
      </c>
      <c r="F57" s="142">
        <v>162</v>
      </c>
      <c r="G57" s="143">
        <v>162</v>
      </c>
      <c r="H57" s="143">
        <v>163</v>
      </c>
      <c r="I57" s="143">
        <v>165</v>
      </c>
      <c r="J57" s="144">
        <f>K57</f>
        <v>168</v>
      </c>
      <c r="K57" s="142">
        <v>168</v>
      </c>
      <c r="L57" s="143">
        <v>169</v>
      </c>
      <c r="M57" s="143">
        <v>170</v>
      </c>
      <c r="N57" s="143">
        <v>172</v>
      </c>
      <c r="O57" s="144">
        <f>P57</f>
        <v>177</v>
      </c>
      <c r="P57" s="142">
        <v>177</v>
      </c>
      <c r="Q57" s="143">
        <v>177</v>
      </c>
      <c r="R57" s="143">
        <v>179</v>
      </c>
      <c r="S57" s="143">
        <v>181</v>
      </c>
      <c r="T57" s="144">
        <f>U57</f>
        <v>187</v>
      </c>
      <c r="U57" s="142">
        <v>187</v>
      </c>
      <c r="V57" s="143">
        <v>188</v>
      </c>
      <c r="W57" s="143">
        <v>189</v>
      </c>
      <c r="X57" s="143">
        <v>189</v>
      </c>
      <c r="Y57" s="143">
        <v>194</v>
      </c>
      <c r="Z57" s="142">
        <v>194</v>
      </c>
      <c r="AA57" s="143">
        <v>194</v>
      </c>
      <c r="AB57" s="143">
        <v>193</v>
      </c>
      <c r="AC57" s="143">
        <v>194</v>
      </c>
      <c r="AD57" s="143">
        <v>199</v>
      </c>
      <c r="AE57" s="142">
        <v>199</v>
      </c>
      <c r="AF57" s="143">
        <v>199</v>
      </c>
      <c r="AG57" s="143">
        <v>198</v>
      </c>
      <c r="AH57" s="143">
        <v>199</v>
      </c>
      <c r="AI57" s="143">
        <v>201</v>
      </c>
      <c r="AJ57" s="142">
        <v>201</v>
      </c>
      <c r="AK57" s="143">
        <v>201</v>
      </c>
      <c r="AL57" s="143">
        <v>202</v>
      </c>
      <c r="AM57" s="143">
        <v>203</v>
      </c>
      <c r="AN57" s="143">
        <v>206</v>
      </c>
      <c r="AO57" s="145">
        <f>AN57</f>
        <v>206</v>
      </c>
      <c r="AP57" s="143">
        <v>206</v>
      </c>
      <c r="AQ57" s="143">
        <v>206</v>
      </c>
      <c r="AR57" s="143">
        <v>205</v>
      </c>
      <c r="AS57" s="143">
        <v>206</v>
      </c>
      <c r="AT57" s="145">
        <f>AS57</f>
        <v>206</v>
      </c>
      <c r="AU57" s="143">
        <v>207</v>
      </c>
      <c r="AV57" s="143">
        <v>207</v>
      </c>
      <c r="AW57" s="143">
        <v>207</v>
      </c>
      <c r="AX57" s="143">
        <v>208</v>
      </c>
      <c r="AY57" s="145">
        <f>AX57</f>
        <v>208</v>
      </c>
      <c r="AZ57" s="143">
        <v>208</v>
      </c>
      <c r="BA57" s="143">
        <v>208</v>
      </c>
      <c r="BB57" s="143">
        <v>209</v>
      </c>
      <c r="BC57" s="143">
        <v>211</v>
      </c>
      <c r="BD57" s="145">
        <f>BC57</f>
        <v>211</v>
      </c>
      <c r="BE57" s="143">
        <v>210</v>
      </c>
      <c r="BF57" s="143">
        <v>211</v>
      </c>
      <c r="BG57" s="143">
        <v>213</v>
      </c>
      <c r="BH57" s="143">
        <v>216</v>
      </c>
      <c r="BI57" s="146">
        <f>BH57</f>
        <v>216</v>
      </c>
      <c r="BJ57" s="147">
        <f t="shared" ref="BJ57:BV57" si="132">SUM(BJ54:BJ56)</f>
        <v>217</v>
      </c>
      <c r="BK57" s="147">
        <f t="shared" si="132"/>
        <v>217</v>
      </c>
      <c r="BL57" s="147">
        <f t="shared" si="132"/>
        <v>217</v>
      </c>
      <c r="BM57" s="147">
        <f t="shared" si="132"/>
        <v>218</v>
      </c>
      <c r="BN57" s="145">
        <f t="shared" si="132"/>
        <v>218</v>
      </c>
      <c r="BO57" s="147">
        <f t="shared" si="132"/>
        <v>219</v>
      </c>
      <c r="BP57" s="147">
        <f t="shared" si="132"/>
        <v>219</v>
      </c>
      <c r="BQ57" s="147">
        <f t="shared" si="132"/>
        <v>220</v>
      </c>
      <c r="BR57" s="147">
        <f t="shared" si="132"/>
        <v>221</v>
      </c>
      <c r="BS57" s="145">
        <f t="shared" si="132"/>
        <v>221</v>
      </c>
      <c r="BT57" s="145">
        <f t="shared" si="132"/>
        <v>225</v>
      </c>
      <c r="BU57" s="145">
        <f t="shared" si="132"/>
        <v>229</v>
      </c>
      <c r="BV57" s="145">
        <f t="shared" si="132"/>
        <v>233</v>
      </c>
      <c r="BW57" s="120"/>
    </row>
    <row r="58" spans="1:75" ht="15.75" customHeight="1" outlineLevel="1" x14ac:dyDescent="0.2">
      <c r="A58" s="148" t="s">
        <v>255</v>
      </c>
      <c r="B58" s="149"/>
      <c r="C58" s="150"/>
      <c r="D58" s="150">
        <f t="shared" ref="D58:F58" si="133">D57/C57-1</f>
        <v>2.0547945205479534E-2</v>
      </c>
      <c r="E58" s="150">
        <f t="shared" si="133"/>
        <v>4.6979865771812124E-2</v>
      </c>
      <c r="F58" s="150">
        <f t="shared" si="133"/>
        <v>3.8461538461538547E-2</v>
      </c>
      <c r="G58" s="151"/>
      <c r="H58" s="151"/>
      <c r="I58" s="151"/>
      <c r="J58" s="151"/>
      <c r="K58" s="150">
        <f t="shared" ref="K58:BS58" si="134">K57/F57-1</f>
        <v>3.7037037037036979E-2</v>
      </c>
      <c r="L58" s="152">
        <f t="shared" ref="L58:T58" si="135">L57/G57-1</f>
        <v>4.3209876543209846E-2</v>
      </c>
      <c r="M58" s="152">
        <f t="shared" si="135"/>
        <v>4.2944785276073594E-2</v>
      </c>
      <c r="N58" s="152">
        <f t="shared" si="135"/>
        <v>4.2424242424242475E-2</v>
      </c>
      <c r="O58" s="152">
        <f t="shared" si="135"/>
        <v>5.3571428571428603E-2</v>
      </c>
      <c r="P58" s="150">
        <f t="shared" si="135"/>
        <v>5.3571428571428603E-2</v>
      </c>
      <c r="Q58" s="152">
        <f t="shared" si="135"/>
        <v>4.7337278106508895E-2</v>
      </c>
      <c r="R58" s="152">
        <f t="shared" si="135"/>
        <v>5.2941176470588269E-2</v>
      </c>
      <c r="S58" s="152">
        <f t="shared" si="135"/>
        <v>5.232558139534893E-2</v>
      </c>
      <c r="T58" s="152">
        <f t="shared" si="135"/>
        <v>5.6497175141242861E-2</v>
      </c>
      <c r="U58" s="150">
        <f t="shared" si="134"/>
        <v>5.6497175141242861E-2</v>
      </c>
      <c r="V58" s="152">
        <f t="shared" si="134"/>
        <v>6.2146892655367214E-2</v>
      </c>
      <c r="W58" s="152">
        <f t="shared" si="134"/>
        <v>5.5865921787709549E-2</v>
      </c>
      <c r="X58" s="152">
        <f t="shared" si="134"/>
        <v>4.4198895027624419E-2</v>
      </c>
      <c r="Y58" s="151">
        <f t="shared" si="134"/>
        <v>3.7433155080213831E-2</v>
      </c>
      <c r="Z58" s="150">
        <f t="shared" si="134"/>
        <v>3.7433155080213831E-2</v>
      </c>
      <c r="AA58" s="152">
        <f t="shared" si="134"/>
        <v>3.1914893617021267E-2</v>
      </c>
      <c r="AB58" s="152">
        <f t="shared" si="134"/>
        <v>2.1164021164021163E-2</v>
      </c>
      <c r="AC58" s="152">
        <f t="shared" si="134"/>
        <v>2.6455026455026509E-2</v>
      </c>
      <c r="AD58" s="151">
        <f t="shared" si="134"/>
        <v>2.5773195876288568E-2</v>
      </c>
      <c r="AE58" s="150">
        <f t="shared" si="134"/>
        <v>2.5773195876288568E-2</v>
      </c>
      <c r="AF58" s="152">
        <f t="shared" si="134"/>
        <v>2.5773195876288568E-2</v>
      </c>
      <c r="AG58" s="152">
        <f t="shared" si="134"/>
        <v>2.5906735751295429E-2</v>
      </c>
      <c r="AH58" s="152">
        <f t="shared" si="134"/>
        <v>2.5773195876288568E-2</v>
      </c>
      <c r="AI58" s="151">
        <f t="shared" si="134"/>
        <v>1.0050251256281451E-2</v>
      </c>
      <c r="AJ58" s="150">
        <f t="shared" si="134"/>
        <v>1.0050251256281451E-2</v>
      </c>
      <c r="AK58" s="152">
        <f t="shared" si="134"/>
        <v>1.0050251256281451E-2</v>
      </c>
      <c r="AL58" s="152">
        <f t="shared" si="134"/>
        <v>2.020202020202011E-2</v>
      </c>
      <c r="AM58" s="152">
        <f t="shared" si="134"/>
        <v>2.0100502512562901E-2</v>
      </c>
      <c r="AN58" s="151">
        <f t="shared" si="134"/>
        <v>2.4875621890547261E-2</v>
      </c>
      <c r="AO58" s="150">
        <f t="shared" si="134"/>
        <v>2.4875621890547261E-2</v>
      </c>
      <c r="AP58" s="152">
        <f t="shared" si="134"/>
        <v>2.4875621890547261E-2</v>
      </c>
      <c r="AQ58" s="152">
        <f t="shared" si="134"/>
        <v>1.980198019801982E-2</v>
      </c>
      <c r="AR58" s="152">
        <f t="shared" si="134"/>
        <v>9.8522167487684609E-3</v>
      </c>
      <c r="AS58" s="151">
        <f t="shared" si="134"/>
        <v>0</v>
      </c>
      <c r="AT58" s="150">
        <f t="shared" si="134"/>
        <v>0</v>
      </c>
      <c r="AU58" s="152">
        <f t="shared" si="134"/>
        <v>4.8543689320388328E-3</v>
      </c>
      <c r="AV58" s="152">
        <f t="shared" si="134"/>
        <v>4.8543689320388328E-3</v>
      </c>
      <c r="AW58" s="152">
        <f t="shared" si="134"/>
        <v>9.7560975609756184E-3</v>
      </c>
      <c r="AX58" s="151">
        <f t="shared" si="134"/>
        <v>9.7087378640776656E-3</v>
      </c>
      <c r="AY58" s="150">
        <f t="shared" si="134"/>
        <v>9.7087378640776656E-3</v>
      </c>
      <c r="AZ58" s="152">
        <f t="shared" si="134"/>
        <v>4.8309178743961567E-3</v>
      </c>
      <c r="BA58" s="152">
        <f t="shared" si="134"/>
        <v>4.8309178743961567E-3</v>
      </c>
      <c r="BB58" s="152">
        <f t="shared" si="134"/>
        <v>9.6618357487923134E-3</v>
      </c>
      <c r="BC58" s="151">
        <f t="shared" si="134"/>
        <v>1.4423076923076872E-2</v>
      </c>
      <c r="BD58" s="150">
        <f t="shared" si="134"/>
        <v>1.4423076923076872E-2</v>
      </c>
      <c r="BE58" s="152">
        <f t="shared" si="134"/>
        <v>9.6153846153845812E-3</v>
      </c>
      <c r="BF58" s="152">
        <f t="shared" si="134"/>
        <v>1.4423076923076872E-2</v>
      </c>
      <c r="BG58" s="152">
        <f t="shared" si="134"/>
        <v>1.9138755980861344E-2</v>
      </c>
      <c r="BH58" s="151">
        <f t="shared" si="134"/>
        <v>2.3696682464454888E-2</v>
      </c>
      <c r="BI58" s="153">
        <f t="shared" si="134"/>
        <v>2.3696682464454888E-2</v>
      </c>
      <c r="BJ58" s="151">
        <f t="shared" si="134"/>
        <v>3.3333333333333437E-2</v>
      </c>
      <c r="BK58" s="151">
        <f t="shared" si="134"/>
        <v>2.8436018957346043E-2</v>
      </c>
      <c r="BL58" s="151">
        <f t="shared" si="134"/>
        <v>1.8779342723004744E-2</v>
      </c>
      <c r="BM58" s="151">
        <f t="shared" si="134"/>
        <v>9.2592592592593004E-3</v>
      </c>
      <c r="BN58" s="150">
        <f t="shared" si="134"/>
        <v>9.2592592592593004E-3</v>
      </c>
      <c r="BO58" s="151">
        <f t="shared" si="134"/>
        <v>9.2165898617511122E-3</v>
      </c>
      <c r="BP58" s="151">
        <f t="shared" si="134"/>
        <v>9.2165898617511122E-3</v>
      </c>
      <c r="BQ58" s="151">
        <f t="shared" si="134"/>
        <v>1.3824884792626779E-2</v>
      </c>
      <c r="BR58" s="151">
        <f t="shared" si="134"/>
        <v>1.3761467889908285E-2</v>
      </c>
      <c r="BS58" s="150">
        <f t="shared" si="134"/>
        <v>1.3761467889908285E-2</v>
      </c>
      <c r="BT58" s="150">
        <f t="shared" ref="BT58:BV58" si="136">BT57/BS57-1</f>
        <v>1.8099547511312153E-2</v>
      </c>
      <c r="BU58" s="150">
        <f t="shared" si="136"/>
        <v>1.777777777777767E-2</v>
      </c>
      <c r="BV58" s="150">
        <f t="shared" si="136"/>
        <v>1.7467248908296984E-2</v>
      </c>
      <c r="BW58" s="152"/>
    </row>
    <row r="59" spans="1:75" ht="15.75" customHeight="1" outlineLevel="1" x14ac:dyDescent="0.2">
      <c r="A59" s="116" t="s">
        <v>256</v>
      </c>
      <c r="B59" s="117"/>
      <c r="C59" s="119">
        <f t="shared" ref="C59:J59" si="137">AVERAGE(C54,C57)</f>
        <v>145.5</v>
      </c>
      <c r="D59" s="119">
        <f t="shared" si="137"/>
        <v>147.5</v>
      </c>
      <c r="E59" s="119">
        <f t="shared" si="137"/>
        <v>152.5</v>
      </c>
      <c r="F59" s="119">
        <f t="shared" si="137"/>
        <v>159</v>
      </c>
      <c r="G59" s="120">
        <f t="shared" si="137"/>
        <v>162</v>
      </c>
      <c r="H59" s="120">
        <f t="shared" si="137"/>
        <v>162.5</v>
      </c>
      <c r="I59" s="120">
        <f t="shared" si="137"/>
        <v>164</v>
      </c>
      <c r="J59" s="120">
        <f t="shared" si="137"/>
        <v>166.5</v>
      </c>
      <c r="K59" s="122">
        <f>AVERAGE(G59,H59,I59,J59)</f>
        <v>163.75</v>
      </c>
      <c r="L59" s="120">
        <f t="shared" ref="L59:O59" si="138">AVERAGE(L54,L57)</f>
        <v>168.5</v>
      </c>
      <c r="M59" s="120">
        <f t="shared" si="138"/>
        <v>169.5</v>
      </c>
      <c r="N59" s="120">
        <f t="shared" si="138"/>
        <v>171</v>
      </c>
      <c r="O59" s="120">
        <f t="shared" si="138"/>
        <v>174.5</v>
      </c>
      <c r="P59" s="122">
        <f>AVERAGE(L59,M59,N59,O59)</f>
        <v>170.875</v>
      </c>
      <c r="Q59" s="120">
        <f t="shared" ref="Q59:T59" si="139">AVERAGE(Q54,Q57)</f>
        <v>177</v>
      </c>
      <c r="R59" s="120">
        <f t="shared" si="139"/>
        <v>178</v>
      </c>
      <c r="S59" s="120">
        <f t="shared" si="139"/>
        <v>180</v>
      </c>
      <c r="T59" s="120">
        <f t="shared" si="139"/>
        <v>184</v>
      </c>
      <c r="U59" s="122">
        <f>AVERAGE(Q59,R59,S59,T59)</f>
        <v>179.75</v>
      </c>
      <c r="V59" s="120">
        <f t="shared" ref="V59:Y59" si="140">AVERAGE(V54,V57)</f>
        <v>187.5</v>
      </c>
      <c r="W59" s="120">
        <f t="shared" si="140"/>
        <v>188.5</v>
      </c>
      <c r="X59" s="120">
        <f t="shared" si="140"/>
        <v>189</v>
      </c>
      <c r="Y59" s="121">
        <f t="shared" si="140"/>
        <v>191.5</v>
      </c>
      <c r="Z59" s="122">
        <f>AVERAGE(V59,W59,X59,Y59)</f>
        <v>189.125</v>
      </c>
      <c r="AA59" s="120">
        <f t="shared" ref="AA59:AD59" si="141">AVERAGE(AA54,AA57)</f>
        <v>194</v>
      </c>
      <c r="AB59" s="120">
        <f t="shared" si="141"/>
        <v>193.5</v>
      </c>
      <c r="AC59" s="120">
        <f t="shared" si="141"/>
        <v>193.5</v>
      </c>
      <c r="AD59" s="121">
        <f t="shared" si="141"/>
        <v>196.5</v>
      </c>
      <c r="AE59" s="122">
        <f>AVERAGE(AA59,AB59,AC59,AD59)</f>
        <v>194.375</v>
      </c>
      <c r="AF59" s="120">
        <f t="shared" ref="AF59:AI59" si="142">AVERAGE(AF54,AF57)</f>
        <v>199</v>
      </c>
      <c r="AG59" s="120">
        <f t="shared" si="142"/>
        <v>198.5</v>
      </c>
      <c r="AH59" s="120">
        <f t="shared" si="142"/>
        <v>198.5</v>
      </c>
      <c r="AI59" s="121">
        <f t="shared" si="142"/>
        <v>200</v>
      </c>
      <c r="AJ59" s="122">
        <f>AVERAGE(AF59,AG59,AH59,AI59)</f>
        <v>199</v>
      </c>
      <c r="AK59" s="120">
        <f t="shared" ref="AK59:AN59" si="143">AVERAGE(AK54,AK57)</f>
        <v>201</v>
      </c>
      <c r="AL59" s="120">
        <f t="shared" si="143"/>
        <v>201.5</v>
      </c>
      <c r="AM59" s="120">
        <f t="shared" si="143"/>
        <v>202.5</v>
      </c>
      <c r="AN59" s="121">
        <f t="shared" si="143"/>
        <v>204.5</v>
      </c>
      <c r="AO59" s="122">
        <f>AVERAGE(AK59,AL59,AM59,AN59)</f>
        <v>202.375</v>
      </c>
      <c r="AP59" s="120">
        <f t="shared" ref="AP59:AS59" si="144">AVERAGE(AP54,AP57)</f>
        <v>206</v>
      </c>
      <c r="AQ59" s="120">
        <f t="shared" si="144"/>
        <v>206</v>
      </c>
      <c r="AR59" s="120">
        <f t="shared" si="144"/>
        <v>205.5</v>
      </c>
      <c r="AS59" s="121">
        <f t="shared" si="144"/>
        <v>205.5</v>
      </c>
      <c r="AT59" s="122">
        <f>AVERAGE(AP59,AQ59,AR59,AS59)</f>
        <v>205.75</v>
      </c>
      <c r="AU59" s="120">
        <f t="shared" ref="AU59:AX59" si="145">AVERAGE(AU54,AU57)</f>
        <v>206.5</v>
      </c>
      <c r="AV59" s="120">
        <f t="shared" si="145"/>
        <v>207</v>
      </c>
      <c r="AW59" s="120">
        <f t="shared" si="145"/>
        <v>207</v>
      </c>
      <c r="AX59" s="121">
        <f t="shared" si="145"/>
        <v>207.5</v>
      </c>
      <c r="AY59" s="122">
        <f>AVERAGE(AU59,AV59,AW59,AX59)</f>
        <v>207</v>
      </c>
      <c r="AZ59" s="120">
        <f t="shared" ref="AZ59:BC59" si="146">AVERAGE(AZ54,AZ57)</f>
        <v>208</v>
      </c>
      <c r="BA59" s="120">
        <f t="shared" si="146"/>
        <v>208</v>
      </c>
      <c r="BB59" s="120">
        <f t="shared" si="146"/>
        <v>208.5</v>
      </c>
      <c r="BC59" s="121">
        <f t="shared" si="146"/>
        <v>210</v>
      </c>
      <c r="BD59" s="122">
        <f>AVERAGE(AZ59,BA59,BB59,BC59)</f>
        <v>208.625</v>
      </c>
      <c r="BE59" s="120">
        <f t="shared" ref="BE59:BH59" si="147">AVERAGE(BE54,BE57)</f>
        <v>210.5</v>
      </c>
      <c r="BF59" s="120">
        <f t="shared" si="147"/>
        <v>210.5</v>
      </c>
      <c r="BG59" s="120">
        <f t="shared" si="147"/>
        <v>212</v>
      </c>
      <c r="BH59" s="121">
        <f t="shared" si="147"/>
        <v>214.5</v>
      </c>
      <c r="BI59" s="123">
        <f>AVERAGE(BE59,BF59,BG59,BH59)</f>
        <v>211.875</v>
      </c>
      <c r="BJ59" s="121">
        <f t="shared" ref="BJ59:BM59" si="148">AVERAGE(BJ54,BJ57)</f>
        <v>216.5</v>
      </c>
      <c r="BK59" s="121">
        <f t="shared" si="148"/>
        <v>217</v>
      </c>
      <c r="BL59" s="121">
        <f t="shared" si="148"/>
        <v>217</v>
      </c>
      <c r="BM59" s="121">
        <f t="shared" si="148"/>
        <v>217.5</v>
      </c>
      <c r="BN59" s="122">
        <f>AVERAGE(BJ59,BK59,BL59,BM59)</f>
        <v>217</v>
      </c>
      <c r="BO59" s="121">
        <f t="shared" ref="BO59:BR59" si="149">AVERAGE(BO54,BO57)</f>
        <v>218.5</v>
      </c>
      <c r="BP59" s="121">
        <f t="shared" si="149"/>
        <v>219</v>
      </c>
      <c r="BQ59" s="121">
        <f t="shared" si="149"/>
        <v>219.5</v>
      </c>
      <c r="BR59" s="121">
        <f t="shared" si="149"/>
        <v>220.5</v>
      </c>
      <c r="BS59" s="122">
        <f>AVERAGE(BO59,BP59,BQ59,BR59)</f>
        <v>219.375</v>
      </c>
      <c r="BT59" s="122">
        <f t="shared" ref="BT59:BV59" si="150">AVERAGE(BT54,BT57)</f>
        <v>223</v>
      </c>
      <c r="BU59" s="122">
        <f t="shared" si="150"/>
        <v>227</v>
      </c>
      <c r="BV59" s="122">
        <f t="shared" si="150"/>
        <v>231</v>
      </c>
      <c r="BW59" s="120"/>
    </row>
    <row r="60" spans="1:75" ht="15.75" customHeight="1" outlineLevel="1" x14ac:dyDescent="0.2">
      <c r="A60" s="85"/>
      <c r="B60" s="85"/>
      <c r="C60" s="86"/>
      <c r="D60" s="86"/>
      <c r="E60" s="86"/>
      <c r="F60" s="86"/>
      <c r="G60" s="2"/>
      <c r="H60" s="2"/>
      <c r="I60" s="2"/>
      <c r="J60" s="2"/>
      <c r="K60" s="86"/>
      <c r="L60" s="2"/>
      <c r="M60" s="2"/>
      <c r="N60" s="2"/>
      <c r="O60" s="2"/>
      <c r="P60" s="86"/>
      <c r="Q60" s="2"/>
      <c r="R60" s="2"/>
      <c r="S60" s="2"/>
      <c r="T60" s="2"/>
      <c r="U60" s="86"/>
      <c r="V60" s="2"/>
      <c r="W60" s="2"/>
      <c r="X60" s="2"/>
      <c r="Y60" s="2"/>
      <c r="Z60" s="86"/>
      <c r="AA60" s="2"/>
      <c r="AB60" s="2"/>
      <c r="AC60" s="2"/>
      <c r="AD60" s="2"/>
      <c r="AE60" s="86"/>
      <c r="AF60" s="2"/>
      <c r="AG60" s="2"/>
      <c r="AH60" s="2"/>
      <c r="AI60" s="2"/>
      <c r="AJ60" s="86"/>
      <c r="AK60" s="2"/>
      <c r="AL60" s="2"/>
      <c r="AM60" s="2"/>
      <c r="AN60" s="2"/>
      <c r="AO60" s="86"/>
      <c r="AP60" s="2"/>
      <c r="AQ60" s="2"/>
      <c r="AR60" s="2"/>
      <c r="AS60" s="2"/>
      <c r="AT60" s="86"/>
      <c r="AU60" s="2"/>
      <c r="AV60" s="2"/>
      <c r="AW60" s="2"/>
      <c r="AX60" s="2"/>
      <c r="AY60" s="86"/>
      <c r="AZ60" s="2"/>
      <c r="BA60" s="2"/>
      <c r="BB60" s="2"/>
      <c r="BC60" s="2"/>
      <c r="BD60" s="86"/>
      <c r="BE60" s="2"/>
      <c r="BF60" s="2"/>
      <c r="BG60" s="2"/>
      <c r="BH60" s="2"/>
      <c r="BI60" s="90"/>
      <c r="BJ60" s="2"/>
      <c r="BK60" s="2"/>
      <c r="BL60" s="2"/>
      <c r="BM60" s="2"/>
      <c r="BN60" s="86"/>
      <c r="BO60" s="2"/>
      <c r="BP60" s="2"/>
      <c r="BQ60" s="2"/>
      <c r="BR60" s="2"/>
      <c r="BS60" s="86"/>
      <c r="BT60" s="86"/>
      <c r="BU60" s="86"/>
      <c r="BV60" s="86"/>
      <c r="BW60" s="4"/>
    </row>
    <row r="61" spans="1:75" ht="15.75" customHeight="1" outlineLevel="1" x14ac:dyDescent="0.2">
      <c r="A61" s="124" t="s">
        <v>519</v>
      </c>
      <c r="B61" s="125"/>
      <c r="C61" s="130"/>
      <c r="D61" s="130"/>
      <c r="E61" s="130"/>
      <c r="F61" s="130"/>
      <c r="G61" s="154"/>
      <c r="H61" s="154"/>
      <c r="I61" s="154"/>
      <c r="J61" s="154"/>
      <c r="K61" s="130"/>
      <c r="L61" s="154"/>
      <c r="M61" s="131">
        <f>G54+SUM(M56,L56,J56,I56,H56,G56)</f>
        <v>158</v>
      </c>
      <c r="N61" s="131">
        <f>H54+SUM(N56,M56,L56,J56,I56,H56)</f>
        <v>158</v>
      </c>
      <c r="O61" s="131">
        <f>I54+SUM(O56,N56,M56,L56,J56,I56)</f>
        <v>159</v>
      </c>
      <c r="P61" s="128">
        <f>I54+SUM(O56,N56,M56,L56,J56,I56)</f>
        <v>159</v>
      </c>
      <c r="Q61" s="131">
        <f>J54+SUM(Q56,O56,N56,M56,L56,J56)</f>
        <v>161</v>
      </c>
      <c r="R61" s="131">
        <f>L54+SUM(R56,Q56,O56,N56,M56,L56)</f>
        <v>167</v>
      </c>
      <c r="S61" s="131">
        <f>M54+SUM(S56,R56,Q56,O56,N56,M56)</f>
        <v>168</v>
      </c>
      <c r="T61" s="131">
        <f>N54+SUM(T56,S56,R56,Q56,O56,N56)</f>
        <v>170</v>
      </c>
      <c r="U61" s="128">
        <f>N54+SUM(T56,S56,R56,Q56,O56,N56)</f>
        <v>170</v>
      </c>
      <c r="V61" s="131">
        <f>O54+SUM(V56,T56,S56,R56,Q56,O56)</f>
        <v>172</v>
      </c>
      <c r="W61" s="131">
        <f>Q54+SUM(W56,V56,T56,S56,R56,Q56)</f>
        <v>177</v>
      </c>
      <c r="X61" s="131">
        <f>R54+SUM(X56,W56,V56,T56,S56,R56)</f>
        <v>177</v>
      </c>
      <c r="Y61" s="131">
        <f>S54+SUM(Y56,X56,W56,V56,T56,S56)</f>
        <v>179</v>
      </c>
      <c r="Z61" s="128">
        <f>S54+SUM(Y56,X56,W56,V56,T56,S56)</f>
        <v>179</v>
      </c>
      <c r="AA61" s="131">
        <f>T54+SUM(AA56,Y56,X56,W56,V56,T56)</f>
        <v>181</v>
      </c>
      <c r="AB61" s="131">
        <f>V54+SUM(AB56,AA56,Y56,X56,W56,V56)</f>
        <v>185</v>
      </c>
      <c r="AC61" s="131">
        <f>W54+SUM(AC56,AB56,AA56,Y56,X56,W56)</f>
        <v>186</v>
      </c>
      <c r="AD61" s="131">
        <f>X54+SUM(AD56,AC56,AB56,AA56,Y56,X56)</f>
        <v>187</v>
      </c>
      <c r="AE61" s="128">
        <f>X54+SUM(AD56,AC56,AB56,AA56,Y56,X56)</f>
        <v>187</v>
      </c>
      <c r="AF61" s="131">
        <f>Y54+SUM(AF56,AD56,AC56,AB56,AA56,Y56)</f>
        <v>187</v>
      </c>
      <c r="AG61" s="131">
        <f>AA54+SUM(AG56,AF56,AD56,AC56,AB56,AA56)</f>
        <v>191</v>
      </c>
      <c r="AH61" s="131">
        <f>AB54+SUM(AH56,AG56,AF56,AD56,AC56,AB56)</f>
        <v>191</v>
      </c>
      <c r="AI61" s="131">
        <f>AC54+SUM(AI56,AH56,AG56,AF56,AD56,AC56)</f>
        <v>191</v>
      </c>
      <c r="AJ61" s="128">
        <f>AC54+SUM(AI56,AH56,AG56,AF56,AD56,AC56)</f>
        <v>191</v>
      </c>
      <c r="AK61" s="131">
        <f>AD54+SUM(AK56,AI56,AH56,AG56,AF56,AD56)</f>
        <v>192</v>
      </c>
      <c r="AL61" s="131">
        <f>AF54+SUM(AL56,AK56,AI56,AH56,AG56,AF56)</f>
        <v>197</v>
      </c>
      <c r="AM61" s="131">
        <f>AG54+SUM(AM56,AL56,AK56,AI56,AH56,AG56)</f>
        <v>197</v>
      </c>
      <c r="AN61" s="131">
        <f>AH54+SUM(AN56,AM56,AL56,AK56,AI56,AH56)</f>
        <v>197</v>
      </c>
      <c r="AO61" s="128">
        <f>AH54+SUM(AN56,AM56,AL56,AK56,AI56,AH56)</f>
        <v>197</v>
      </c>
      <c r="AP61" s="131">
        <f>AI54+SUM(AP56,AN56,AM56,AL56,AK56,AI56)</f>
        <v>198</v>
      </c>
      <c r="AQ61" s="131">
        <f>AK54+SUM(AQ56,AP56,AN56,AM56,AL56,AK56)</f>
        <v>201</v>
      </c>
      <c r="AR61" s="131">
        <f>AL54+SUM(AR56,AQ56,AP56,AN56,AM56,AL56)</f>
        <v>200</v>
      </c>
      <c r="AS61" s="131">
        <f>AM54+SUM(AS56,AR56,AQ56,AP56,AN56,AM56)</f>
        <v>201</v>
      </c>
      <c r="AT61" s="128">
        <f>AM54+SUM(AS56,AR56,AQ56,AP56,AN56,AM56)</f>
        <v>201</v>
      </c>
      <c r="AU61" s="131">
        <f>AN54+SUM(AU56,AS56,AR56,AQ56,AP56,AN56)</f>
        <v>202</v>
      </c>
      <c r="AV61" s="131">
        <f>AP54+SUM(AV56,AU56,AS56,AR56,AQ56,AP56)</f>
        <v>205</v>
      </c>
      <c r="AW61" s="131">
        <f>AQ54+SUM(AW56,AV56,AU56,AS56,AR56,AQ56)</f>
        <v>205</v>
      </c>
      <c r="AX61" s="131">
        <f>AR54+SUM(AX56,AW56,AV56,AU56,AS56,AR56)</f>
        <v>205</v>
      </c>
      <c r="AY61" s="128">
        <f>AR54+SUM(AX56,AW56,AV56,AU56,AS56,AR56)</f>
        <v>205</v>
      </c>
      <c r="AZ61" s="131">
        <f>AS54+SUM(AZ56,AX56,AW56,AV56,AU56,AS56)</f>
        <v>205</v>
      </c>
      <c r="BA61" s="131">
        <f>AU54+SUM(BA56,AZ56,AX56,AW56,AV56,AU56)</f>
        <v>206</v>
      </c>
      <c r="BB61" s="131">
        <f>AV54+SUM(BB56,BA56,AZ56,AX56,AW56,AV56)</f>
        <v>207</v>
      </c>
      <c r="BC61" s="131">
        <f>AW54+SUM(BC56,BB56,BA56,AZ56,AX56,AW56)</f>
        <v>207</v>
      </c>
      <c r="BD61" s="128">
        <f>AW54+SUM(BC56,BB56,BA56,AZ56,AX56,AW56)</f>
        <v>207</v>
      </c>
      <c r="BE61" s="131">
        <f>AX54+SUM(BE56,BC56,BB56,BA56,AZ56,AX56)</f>
        <v>206</v>
      </c>
      <c r="BF61" s="131">
        <f>AZ54+SUM(BF56,BE56,BC56,BB56,BA56,AZ56)</f>
        <v>207</v>
      </c>
      <c r="BG61" s="131">
        <f>BA54+SUM(BG56,BF56,BE56,BC56,BB56,BA56)</f>
        <v>207</v>
      </c>
      <c r="BH61" s="131">
        <f>BB54+SUM(BH56,BG56,BF56,BE56,BC56,BB56)</f>
        <v>207</v>
      </c>
      <c r="BI61" s="129">
        <f>BB54+SUM(BH56,BG56,BF56,BE56,BC56,BB56)</f>
        <v>207</v>
      </c>
      <c r="BJ61" s="154">
        <f>BC54+SUM(BJ56,BH56,BG56,BF56,BE56,BC56)</f>
        <v>208</v>
      </c>
      <c r="BK61" s="154">
        <f>BE54+SUM(BK56,BJ56,BH56,BG56,BF56,BE56)</f>
        <v>209</v>
      </c>
      <c r="BL61" s="154">
        <f>BF54+SUM(BL56,BK56,BJ56,BH56,BG56,BF56)</f>
        <v>209</v>
      </c>
      <c r="BM61" s="154">
        <f>BG54+SUM(BM56,BL56,BK56,BJ56,BH56,BG56)</f>
        <v>210</v>
      </c>
      <c r="BN61" s="130">
        <f>BG54+SUM(BM56,BL56,BK56,BJ56,BH56,BG56)</f>
        <v>210</v>
      </c>
      <c r="BO61" s="154">
        <f>BH54+SUM(BO56,BM56,BL56,BK56,BJ56,BH56)</f>
        <v>212</v>
      </c>
      <c r="BP61" s="154">
        <f>BJ54+SUM(BP56,BO56,BM56,BL56,BK56,BJ56)</f>
        <v>214</v>
      </c>
      <c r="BQ61" s="154">
        <f>BK54+SUM(BQ56,BP56,BO56,BM56,BL56,BK56)</f>
        <v>215</v>
      </c>
      <c r="BR61" s="154">
        <f>BL54+SUM(BR56,BQ56,BP56,BO56,BM56,BL56)</f>
        <v>216</v>
      </c>
      <c r="BS61" s="130">
        <f>BL54+SUM(BR56,BQ56,BP56,BO56,BM56,BL56)</f>
        <v>216</v>
      </c>
      <c r="BT61" s="130">
        <f>BQ54+SUM(BT56,BQ56,BR56)</f>
        <v>218</v>
      </c>
      <c r="BU61" s="130">
        <f t="shared" ref="BU61:BV61" si="151">BT54+SUM(BT55/2,BU56,BT56)</f>
        <v>221.5</v>
      </c>
      <c r="BV61" s="130">
        <f t="shared" si="151"/>
        <v>225.5</v>
      </c>
      <c r="BW61" s="131"/>
    </row>
    <row r="62" spans="1:75" ht="15.75" customHeight="1" outlineLevel="1" x14ac:dyDescent="0.2">
      <c r="A62" s="124" t="s">
        <v>520</v>
      </c>
      <c r="B62" s="125"/>
      <c r="C62" s="130"/>
      <c r="D62" s="130"/>
      <c r="E62" s="130"/>
      <c r="F62" s="130"/>
      <c r="G62" s="154"/>
      <c r="H62" s="154"/>
      <c r="I62" s="154"/>
      <c r="J62" s="154"/>
      <c r="K62" s="130"/>
      <c r="L62" s="154"/>
      <c r="M62" s="154"/>
      <c r="N62" s="154"/>
      <c r="O62" s="154"/>
      <c r="P62" s="130"/>
      <c r="Q62" s="131">
        <f t="shared" ref="Q62:BI62" si="152">Q71/Q$3*7</f>
        <v>160</v>
      </c>
      <c r="R62" s="131">
        <f t="shared" si="152"/>
        <v>163.69230769230768</v>
      </c>
      <c r="S62" s="131">
        <f t="shared" si="152"/>
        <v>167.19230769230768</v>
      </c>
      <c r="T62" s="131">
        <f t="shared" si="152"/>
        <v>169.15384615384616</v>
      </c>
      <c r="U62" s="128">
        <f t="shared" si="152"/>
        <v>165.00961538461539</v>
      </c>
      <c r="V62" s="131">
        <f t="shared" si="152"/>
        <v>170.88461538461539</v>
      </c>
      <c r="W62" s="131">
        <f t="shared" si="152"/>
        <v>174.30769230769232</v>
      </c>
      <c r="X62" s="131">
        <f t="shared" si="152"/>
        <v>177</v>
      </c>
      <c r="Y62" s="131">
        <f t="shared" si="152"/>
        <v>178.64285714285714</v>
      </c>
      <c r="Z62" s="128">
        <f t="shared" si="152"/>
        <v>175.27358490566039</v>
      </c>
      <c r="AA62" s="131">
        <f t="shared" si="152"/>
        <v>180</v>
      </c>
      <c r="AB62" s="131">
        <f t="shared" si="152"/>
        <v>183.11538461538461</v>
      </c>
      <c r="AC62" s="131">
        <f t="shared" si="152"/>
        <v>185.15384615384613</v>
      </c>
      <c r="AD62" s="131">
        <f t="shared" si="152"/>
        <v>186.30769230769232</v>
      </c>
      <c r="AE62" s="128">
        <f t="shared" si="152"/>
        <v>183.64423076923077</v>
      </c>
      <c r="AF62" s="131">
        <f t="shared" si="152"/>
        <v>187</v>
      </c>
      <c r="AG62" s="131">
        <f t="shared" si="152"/>
        <v>189.11538461538464</v>
      </c>
      <c r="AH62" s="131">
        <f t="shared" si="152"/>
        <v>190.96153846153845</v>
      </c>
      <c r="AI62" s="131">
        <f t="shared" si="152"/>
        <v>190.61538461538461</v>
      </c>
      <c r="AJ62" s="128">
        <f t="shared" si="152"/>
        <v>189.42307692307693</v>
      </c>
      <c r="AK62" s="131">
        <f t="shared" si="152"/>
        <v>191.5</v>
      </c>
      <c r="AL62" s="131">
        <f t="shared" si="152"/>
        <v>194.84615384615384</v>
      </c>
      <c r="AM62" s="131">
        <f t="shared" si="152"/>
        <v>196.65384615384616</v>
      </c>
      <c r="AN62" s="131">
        <f t="shared" si="152"/>
        <v>196.73076923076923</v>
      </c>
      <c r="AO62" s="128">
        <f t="shared" si="152"/>
        <v>194.93269230769229</v>
      </c>
      <c r="AP62" s="131">
        <f t="shared" si="152"/>
        <v>197.19230769230771</v>
      </c>
      <c r="AQ62" s="131">
        <f t="shared" si="152"/>
        <v>196.57692307692309</v>
      </c>
      <c r="AR62" s="131">
        <f t="shared" si="152"/>
        <v>199.76923076923077</v>
      </c>
      <c r="AS62" s="131">
        <f t="shared" si="152"/>
        <v>200.07692307692309</v>
      </c>
      <c r="AT62" s="128">
        <f t="shared" si="152"/>
        <v>198.40384615384616</v>
      </c>
      <c r="AU62" s="131">
        <f t="shared" si="152"/>
        <v>201</v>
      </c>
      <c r="AV62" s="131">
        <f t="shared" si="152"/>
        <v>203.5</v>
      </c>
      <c r="AW62" s="131">
        <f t="shared" si="152"/>
        <v>204.84615384615384</v>
      </c>
      <c r="AX62" s="131">
        <f t="shared" si="152"/>
        <v>205.19230769230771</v>
      </c>
      <c r="AY62" s="128">
        <f t="shared" si="152"/>
        <v>203.63461538461539</v>
      </c>
      <c r="AZ62" s="131">
        <f t="shared" si="152"/>
        <v>205</v>
      </c>
      <c r="BA62" s="131">
        <f t="shared" si="152"/>
        <v>205.5</v>
      </c>
      <c r="BB62" s="131">
        <f t="shared" si="152"/>
        <v>206.07692307692307</v>
      </c>
      <c r="BC62" s="131">
        <f t="shared" si="152"/>
        <v>206.92857142857144</v>
      </c>
      <c r="BD62" s="128">
        <f t="shared" si="152"/>
        <v>205.89622641509433</v>
      </c>
      <c r="BE62" s="131">
        <f t="shared" si="152"/>
        <v>208.87777777777777</v>
      </c>
      <c r="BF62" s="131">
        <f t="shared" si="152"/>
        <v>204.02173913043478</v>
      </c>
      <c r="BG62" s="131">
        <f t="shared" si="152"/>
        <v>207</v>
      </c>
      <c r="BH62" s="131">
        <f t="shared" si="152"/>
        <v>206.57692307692307</v>
      </c>
      <c r="BI62" s="129">
        <f t="shared" si="152"/>
        <v>206.60576923076923</v>
      </c>
      <c r="BJ62" s="154">
        <f t="shared" ref="BJ62:BK62" si="153">BJ61-(BB55+BJ56)/2</f>
        <v>207.5</v>
      </c>
      <c r="BK62" s="154">
        <f t="shared" si="153"/>
        <v>208.5</v>
      </c>
      <c r="BL62" s="154">
        <f t="shared" ref="BL62:BM62" si="154">BL61-(BE55+BL56)/2</f>
        <v>209</v>
      </c>
      <c r="BM62" s="154">
        <f t="shared" si="154"/>
        <v>209.5</v>
      </c>
      <c r="BN62" s="130">
        <f>BN71/BN$3*7</f>
        <v>208.625</v>
      </c>
      <c r="BO62" s="154">
        <f t="shared" ref="BO62:BP62" si="155">BO61-(BG55+BO56)/2</f>
        <v>211</v>
      </c>
      <c r="BP62" s="154">
        <f t="shared" si="155"/>
        <v>213</v>
      </c>
      <c r="BQ62" s="154">
        <f t="shared" ref="BQ62:BR62" si="156">BQ61-(BJ55+BQ56)/2</f>
        <v>214.5</v>
      </c>
      <c r="BR62" s="154">
        <f t="shared" si="156"/>
        <v>215.5</v>
      </c>
      <c r="BS62" s="130">
        <f>BS71/BS$3*7</f>
        <v>213.5</v>
      </c>
      <c r="BT62" s="130">
        <f>BT61-SUM(BP55*7/8,BO55*5/8,BM55*3/8,BL55/8,BT56/2)</f>
        <v>216.625</v>
      </c>
      <c r="BU62" s="130">
        <f>BU61-SUM(BU56/2,BT55*(12/32),BR55*3/8,BQ55/8)</f>
        <v>219.625</v>
      </c>
      <c r="BV62" s="130">
        <f>BV61-SUM(BV56/2,BU55*(12/32),BT55*4/32)</f>
        <v>223.5</v>
      </c>
      <c r="BW62" s="131"/>
    </row>
    <row r="63" spans="1:75" ht="7.5" customHeight="1" outlineLevel="1" x14ac:dyDescent="0.2">
      <c r="A63" s="125"/>
      <c r="B63" s="125"/>
      <c r="C63" s="130"/>
      <c r="D63" s="130"/>
      <c r="E63" s="130"/>
      <c r="F63" s="130"/>
      <c r="G63" s="154"/>
      <c r="H63" s="154"/>
      <c r="I63" s="154"/>
      <c r="J63" s="154"/>
      <c r="K63" s="130"/>
      <c r="L63" s="154"/>
      <c r="M63" s="154"/>
      <c r="N63" s="154"/>
      <c r="O63" s="154"/>
      <c r="P63" s="130"/>
      <c r="Q63" s="154"/>
      <c r="R63" s="154"/>
      <c r="S63" s="154"/>
      <c r="T63" s="154"/>
      <c r="U63" s="130"/>
      <c r="V63" s="154"/>
      <c r="W63" s="154"/>
      <c r="X63" s="154"/>
      <c r="Y63" s="154"/>
      <c r="Z63" s="130"/>
      <c r="AA63" s="154"/>
      <c r="AB63" s="154"/>
      <c r="AC63" s="154"/>
      <c r="AD63" s="154"/>
      <c r="AE63" s="130"/>
      <c r="AF63" s="154"/>
      <c r="AG63" s="154"/>
      <c r="AH63" s="154"/>
      <c r="AI63" s="154"/>
      <c r="AJ63" s="130"/>
      <c r="AK63" s="154"/>
      <c r="AL63" s="154"/>
      <c r="AM63" s="154"/>
      <c r="AN63" s="154"/>
      <c r="AO63" s="130"/>
      <c r="AP63" s="154"/>
      <c r="AQ63" s="154"/>
      <c r="AR63" s="154"/>
      <c r="AS63" s="154"/>
      <c r="AT63" s="130"/>
      <c r="AU63" s="154"/>
      <c r="AV63" s="154"/>
      <c r="AW63" s="154"/>
      <c r="AX63" s="154"/>
      <c r="AY63" s="130"/>
      <c r="AZ63" s="154"/>
      <c r="BA63" s="154"/>
      <c r="BB63" s="154"/>
      <c r="BC63" s="154"/>
      <c r="BD63" s="130"/>
      <c r="BE63" s="154"/>
      <c r="BF63" s="154"/>
      <c r="BG63" s="154"/>
      <c r="BH63" s="154"/>
      <c r="BI63" s="155"/>
      <c r="BJ63" s="154"/>
      <c r="BK63" s="154"/>
      <c r="BL63" s="154"/>
      <c r="BM63" s="154"/>
      <c r="BN63" s="130"/>
      <c r="BO63" s="154"/>
      <c r="BP63" s="154"/>
      <c r="BQ63" s="154"/>
      <c r="BR63" s="154"/>
      <c r="BS63" s="130"/>
      <c r="BT63" s="130"/>
      <c r="BU63" s="130"/>
      <c r="BV63" s="130"/>
      <c r="BW63" s="131"/>
    </row>
    <row r="64" spans="1:75" ht="15.75" customHeight="1" outlineLevel="1" x14ac:dyDescent="0.2">
      <c r="A64" s="124" t="s">
        <v>521</v>
      </c>
      <c r="B64" s="125"/>
      <c r="C64" s="130"/>
      <c r="D64" s="130"/>
      <c r="E64" s="130"/>
      <c r="F64" s="130"/>
      <c r="G64" s="154"/>
      <c r="H64" s="154"/>
      <c r="I64" s="154"/>
      <c r="J64" s="154"/>
      <c r="K64" s="130"/>
      <c r="L64" s="154"/>
      <c r="M64" s="131">
        <f>SUM(M55,L55,J55,I55,H55,G55)</f>
        <v>12</v>
      </c>
      <c r="N64" s="131">
        <f>SUM(N55,M55,L55,J55,I55,H55)</f>
        <v>14</v>
      </c>
      <c r="O64" s="131">
        <f>SUM(O55,N55,M55,L55,J55,I55)</f>
        <v>18</v>
      </c>
      <c r="P64" s="128">
        <f>SUM(O55,N55,M55,L55,J55,I55)</f>
        <v>18</v>
      </c>
      <c r="Q64" s="131">
        <f>SUM(Q55,O55,N55,M55,L55,J55)</f>
        <v>16</v>
      </c>
      <c r="R64" s="131">
        <f>SUM(R55,Q55,O55,N55,M55,L55)</f>
        <v>12</v>
      </c>
      <c r="S64" s="131">
        <f>SUM(S55,R55,Q55,O55,N55,M55)</f>
        <v>13</v>
      </c>
      <c r="T64" s="131">
        <f>SUM(T55,S55,R55,Q55,O55,N55)</f>
        <v>17</v>
      </c>
      <c r="U64" s="128">
        <f>SUM(T55,S55,R55,Q55,O55,N55)</f>
        <v>17</v>
      </c>
      <c r="V64" s="131">
        <f>SUM(V55,T55,S55,R55,Q55,O55)</f>
        <v>16</v>
      </c>
      <c r="W64" s="131">
        <f>SUM(W55,V55,T55,S55,R55,Q55)</f>
        <v>12</v>
      </c>
      <c r="X64" s="131">
        <f>SUM(X55,W55,V55,T55,S55,R55)</f>
        <v>12</v>
      </c>
      <c r="Y64" s="131">
        <f>SUM(Y55,X55,W55,V55,T55,S55)</f>
        <v>15</v>
      </c>
      <c r="Z64" s="128">
        <f>SUM(Y55,X55,W55,V55,T55,S55)</f>
        <v>15</v>
      </c>
      <c r="AA64" s="131">
        <f>SUM(AA55,Y55,X55,W55,V55,T55)</f>
        <v>13</v>
      </c>
      <c r="AB64" s="131">
        <f>SUM(AB55,AA55,Y55,X55,W55,V55)</f>
        <v>8</v>
      </c>
      <c r="AC64" s="131">
        <f>SUM(AC55,AB55,AA55,Y55,X55,W55)</f>
        <v>8</v>
      </c>
      <c r="AD64" s="131">
        <f>SUM(AD55,AC55,AB55,AA55,Y55,X55)</f>
        <v>12</v>
      </c>
      <c r="AE64" s="128">
        <f>SUM(AD55,AC55,AB55,AA55,Y55,X55)</f>
        <v>12</v>
      </c>
      <c r="AF64" s="131">
        <f>SUM(AF55,AD55,AC55,AB55,AA55,Y55)</f>
        <v>12</v>
      </c>
      <c r="AG64" s="131">
        <f>SUM(AG55,AF55,AD55,AC55,AB55,AA55)</f>
        <v>7</v>
      </c>
      <c r="AH64" s="131">
        <f>SUM(AH55,AG55,AF55,AD55,AC55,AB55)</f>
        <v>8</v>
      </c>
      <c r="AI64" s="131">
        <f>SUM(AI55,AH55,AG55,AF55,AD55,AC55)</f>
        <v>10</v>
      </c>
      <c r="AJ64" s="128">
        <f>SUM(AI55,AH55,AG55,AF55,AD55,AC55)</f>
        <v>10</v>
      </c>
      <c r="AK64" s="131">
        <f>SUM(AK55,AI55,AH55,AG55,AF55,AD55)</f>
        <v>9</v>
      </c>
      <c r="AL64" s="131">
        <f>SUM(AL55,AK55,AI55,AH55,AG55,AF55)</f>
        <v>5</v>
      </c>
      <c r="AM64" s="131">
        <f>SUM(AM55,AL55,AK55,AI55,AH55,AG55)</f>
        <v>6</v>
      </c>
      <c r="AN64" s="131">
        <f>SUM(AN55,AM55,AL55,AK55,AI55,AH55)</f>
        <v>9</v>
      </c>
      <c r="AO64" s="128">
        <f>SUM(AN55,AM55,AL55,AK55,AI55,AH55)</f>
        <v>9</v>
      </c>
      <c r="AP64" s="131">
        <f>SUM(AP55,AN55,AM55,AL55,AK55,AI55)</f>
        <v>8</v>
      </c>
      <c r="AQ64" s="131">
        <f>SUM(AQ55,AP55,AN55,AM55,AL55,AK55)</f>
        <v>5</v>
      </c>
      <c r="AR64" s="131">
        <f>SUM(AR55,AQ55,AP55,AN55,AM55,AL55)</f>
        <v>5</v>
      </c>
      <c r="AS64" s="131">
        <f>SUM(AS55,AR55,AQ55,AP55,AN55,AM55)</f>
        <v>5</v>
      </c>
      <c r="AT64" s="128">
        <f>SUM(AS55,AR55,AQ55,AP55,AN55,AM55)</f>
        <v>5</v>
      </c>
      <c r="AU64" s="131">
        <f>SUM(AU55,AS55,AR55,AQ55,AP55,AN55)</f>
        <v>5</v>
      </c>
      <c r="AV64" s="131">
        <f>SUM(AV55,AU55,AS55,AR55,AQ55,AP55)</f>
        <v>2</v>
      </c>
      <c r="AW64" s="131">
        <f>SUM(AW55,AV55,AU55,AS55,AR55,AQ55)</f>
        <v>2</v>
      </c>
      <c r="AX64" s="131">
        <f>SUM(AX55,AW55,AV55,AU55,AS55,AR55)</f>
        <v>3</v>
      </c>
      <c r="AY64" s="128">
        <f>SUM(AX55,AW55,AV55,AU55,AS55,AR55)</f>
        <v>3</v>
      </c>
      <c r="AZ64" s="131">
        <f>SUM(AZ55,AX55,AW55,AV55,AU55,AS55)</f>
        <v>3</v>
      </c>
      <c r="BA64" s="131">
        <f>SUM(BA55,AZ55,AX55,AW55,AV55,AU55)</f>
        <v>2</v>
      </c>
      <c r="BB64" s="131">
        <f>SUM(BB55,BA55,AZ55,AX55,AW55,AV55)</f>
        <v>2</v>
      </c>
      <c r="BC64" s="131">
        <f>SUM(BC55,BB55,BA55,AZ55,AX55,AW55)</f>
        <v>4</v>
      </c>
      <c r="BD64" s="128">
        <f>SUM(BC55,BB55,BA55,AZ55,AX55,AW55)</f>
        <v>4</v>
      </c>
      <c r="BE64" s="131">
        <f>SUM(BE55,BC55,BB55,BA55,AZ55,AX55)</f>
        <v>4</v>
      </c>
      <c r="BF64" s="131">
        <f>SUM(BF55,BE55,BC55,BB55,BA55,AZ55)</f>
        <v>4</v>
      </c>
      <c r="BG64" s="131">
        <f>SUM(BG55,BF55,BE55,BC55,BB55,BA55)</f>
        <v>6</v>
      </c>
      <c r="BH64" s="131">
        <f>SUM(BH55,BG55,BF55,BE55,BC55,BB55)</f>
        <v>9</v>
      </c>
      <c r="BI64" s="129">
        <f>SUM(BH55,BG55,BF55,BE55,BC55,BB55)</f>
        <v>9</v>
      </c>
      <c r="BJ64" s="154">
        <f>SUM(BJ55,BH55,BG55,BF55,BE55,BC55)</f>
        <v>9</v>
      </c>
      <c r="BK64" s="154">
        <f>SUM(BK55,BJ55,BH55,BG55,BF55,BE55)</f>
        <v>8</v>
      </c>
      <c r="BL64" s="154">
        <f>SUM(BL55,BK55,BJ55,BH55,BG55,BF55)</f>
        <v>8</v>
      </c>
      <c r="BM64" s="154">
        <f>SUM(BM55,BL55,BK55,BJ55,BH55,BG55)</f>
        <v>8</v>
      </c>
      <c r="BN64" s="130">
        <f>SUM(BM55,BL55,BK55,BJ55,BH55,BG55)</f>
        <v>8</v>
      </c>
      <c r="BO64" s="154">
        <f>SUM(BO55,BM55,BL55,BK55,BJ55,BH55)</f>
        <v>7</v>
      </c>
      <c r="BP64" s="154">
        <f>SUM(BP55,BO55,BM55,BL55,BK55,BJ55)</f>
        <v>5</v>
      </c>
      <c r="BQ64" s="154">
        <f>SUM(BQ55,BP55,BO55,BM55,BL55,BK55)</f>
        <v>5</v>
      </c>
      <c r="BR64" s="154">
        <f>SUM(BR55,BQ55,BP55,BO55,BM55,BL55)</f>
        <v>5</v>
      </c>
      <c r="BS64" s="130">
        <f>SUM(BR55,BQ55,BP55,BO55,BM55,BL55)</f>
        <v>5</v>
      </c>
      <c r="BT64" s="130">
        <f>SUM(BT55,BR55,BQ55)</f>
        <v>7</v>
      </c>
      <c r="BU64" s="130">
        <f t="shared" ref="BU64:BV64" si="157">SUM(BU55,BT55/2)</f>
        <v>7.5</v>
      </c>
      <c r="BV64" s="130">
        <f t="shared" si="157"/>
        <v>7.5</v>
      </c>
      <c r="BW64" s="131"/>
    </row>
    <row r="65" spans="1:75" ht="15.75" customHeight="1" outlineLevel="1" x14ac:dyDescent="0.2">
      <c r="A65" s="124" t="s">
        <v>522</v>
      </c>
      <c r="B65" s="125"/>
      <c r="C65" s="130"/>
      <c r="D65" s="130"/>
      <c r="E65" s="130"/>
      <c r="F65" s="130"/>
      <c r="G65" s="154"/>
      <c r="H65" s="154"/>
      <c r="I65" s="154"/>
      <c r="J65" s="154"/>
      <c r="K65" s="130"/>
      <c r="L65" s="154"/>
      <c r="M65" s="154"/>
      <c r="N65" s="154"/>
      <c r="O65" s="154"/>
      <c r="P65" s="130"/>
      <c r="Q65" s="131">
        <f>Q64-(Q55-I55)/2</f>
        <v>17</v>
      </c>
      <c r="R65" s="131">
        <f>R64-(R55-J55)/2</f>
        <v>14</v>
      </c>
      <c r="S65" s="131">
        <f>S64-(S55-L55)/2</f>
        <v>12.5</v>
      </c>
      <c r="T65" s="131">
        <f>T64-(T55-M55)/2</f>
        <v>15</v>
      </c>
      <c r="U65" s="128">
        <f>U74/U$3*7</f>
        <v>14.625</v>
      </c>
      <c r="V65" s="131">
        <f>V64-(V55-N55)/2</f>
        <v>16.5</v>
      </c>
      <c r="W65" s="131">
        <f>W64-(W55-O55)/2</f>
        <v>14</v>
      </c>
      <c r="X65" s="131">
        <f t="shared" ref="X65:Y65" si="158">X64-(X55-Q55)/2</f>
        <v>12</v>
      </c>
      <c r="Y65" s="131">
        <f t="shared" si="158"/>
        <v>13.5</v>
      </c>
      <c r="Z65" s="128">
        <f>Z74/Z$3*7</f>
        <v>13.990566037735849</v>
      </c>
      <c r="AA65" s="131">
        <f t="shared" ref="AA65:AB65" si="159">AA64-(AA55-S55)/2</f>
        <v>14</v>
      </c>
      <c r="AB65" s="131">
        <f t="shared" si="159"/>
        <v>10.5</v>
      </c>
      <c r="AC65" s="131">
        <f t="shared" ref="AC65:AD65" si="160">AC64-(AC55-V55)/2</f>
        <v>8</v>
      </c>
      <c r="AD65" s="131">
        <f t="shared" si="160"/>
        <v>10</v>
      </c>
      <c r="AE65" s="128">
        <f>AE74/AE$3*7</f>
        <v>10.625</v>
      </c>
      <c r="AF65" s="131">
        <f t="shared" ref="AF65:AG65" si="161">AF64-(AF55-X55)/2</f>
        <v>12</v>
      </c>
      <c r="AG65" s="131">
        <f t="shared" si="161"/>
        <v>9.5</v>
      </c>
      <c r="AH65" s="131">
        <f t="shared" ref="AH65:AI65" si="162">AH64-(AH55-AA55)/2</f>
        <v>7.5</v>
      </c>
      <c r="AI65" s="131">
        <f t="shared" si="162"/>
        <v>9</v>
      </c>
      <c r="AJ65" s="128">
        <f>AJ74/AJ$3*7</f>
        <v>9.5</v>
      </c>
      <c r="AK65" s="131">
        <f t="shared" ref="AK65:AL65" si="163">AK64-(AK55-AC55)/2</f>
        <v>9.5</v>
      </c>
      <c r="AL65" s="131">
        <f t="shared" si="163"/>
        <v>7</v>
      </c>
      <c r="AM65" s="131">
        <f t="shared" ref="AM65:AN65" si="164">AM64-(AM55-AF55)/2</f>
        <v>5.5</v>
      </c>
      <c r="AN65" s="131">
        <f t="shared" si="164"/>
        <v>7.5</v>
      </c>
      <c r="AO65" s="128">
        <f>AO74/AO$3*7</f>
        <v>7.375</v>
      </c>
      <c r="AP65" s="131">
        <f t="shared" ref="AP65:AQ65" si="165">AP64-(AP55-AH55)/2</f>
        <v>8.5</v>
      </c>
      <c r="AQ65" s="131">
        <f t="shared" si="165"/>
        <v>6.5</v>
      </c>
      <c r="AR65" s="131">
        <f t="shared" ref="AR65:AS65" si="166">AR64-(AR55-AK55)/2</f>
        <v>5</v>
      </c>
      <c r="AS65" s="131">
        <f t="shared" si="166"/>
        <v>5</v>
      </c>
      <c r="AT65" s="128">
        <f>AT74/AT$3*7</f>
        <v>6.25</v>
      </c>
      <c r="AU65" s="131">
        <f t="shared" ref="AU65:AV65" si="167">AU64-(AU55-AM55)/2</f>
        <v>5</v>
      </c>
      <c r="AV65" s="131">
        <f t="shared" si="167"/>
        <v>3.5</v>
      </c>
      <c r="AW65" s="131">
        <f t="shared" ref="AW65:AX65" si="168">AW64-(AW55-AP55)/2</f>
        <v>2</v>
      </c>
      <c r="AX65" s="131">
        <f t="shared" si="168"/>
        <v>2.5</v>
      </c>
      <c r="AY65" s="128">
        <f>AY74/AY$3*7</f>
        <v>3.25</v>
      </c>
      <c r="AZ65" s="131">
        <f t="shared" ref="AZ65:BA65" si="169">AZ64-(AZ55-AR55)/2</f>
        <v>3</v>
      </c>
      <c r="BA65" s="131">
        <f t="shared" si="169"/>
        <v>2.5</v>
      </c>
      <c r="BB65" s="131">
        <f t="shared" ref="BB65:BC65" si="170">BB64-(BB55-AU55)/2</f>
        <v>2</v>
      </c>
      <c r="BC65" s="131">
        <f t="shared" si="170"/>
        <v>3</v>
      </c>
      <c r="BD65" s="128">
        <f>BD74/BD$3*7</f>
        <v>2.6320754716981134</v>
      </c>
      <c r="BE65" s="131">
        <f t="shared" ref="BE65:BF65" si="171">BE64-(BE55-AW55)/2</f>
        <v>4</v>
      </c>
      <c r="BF65" s="131">
        <f t="shared" si="171"/>
        <v>4</v>
      </c>
      <c r="BG65" s="131">
        <f t="shared" ref="BG65:BH65" si="172">BG64-(BG55-AZ55)/2</f>
        <v>5</v>
      </c>
      <c r="BH65" s="131">
        <f t="shared" si="172"/>
        <v>7.5</v>
      </c>
      <c r="BI65" s="129">
        <f>BI74/BI$3*7</f>
        <v>5.125</v>
      </c>
      <c r="BJ65" s="154">
        <f t="shared" ref="BJ65:BK65" si="173">BJ64-(BJ55-BB55)/2</f>
        <v>9</v>
      </c>
      <c r="BK65" s="154">
        <f t="shared" si="173"/>
        <v>8.5</v>
      </c>
      <c r="BL65" s="154">
        <f t="shared" ref="BL65:BM65" si="174">BL64-(BL55-BE55)/2</f>
        <v>8</v>
      </c>
      <c r="BM65" s="154">
        <f t="shared" si="174"/>
        <v>8</v>
      </c>
      <c r="BN65" s="130">
        <f>BN74/BN$3*7</f>
        <v>8.375</v>
      </c>
      <c r="BO65" s="154">
        <f t="shared" ref="BO65:BP65" si="175">BO64-(BO55-BG55)/2</f>
        <v>7.5</v>
      </c>
      <c r="BP65" s="154">
        <f t="shared" si="175"/>
        <v>6</v>
      </c>
      <c r="BQ65" s="154">
        <f t="shared" ref="BQ65:BR65" si="176">BQ64-(BQ55-BJ55)/2</f>
        <v>5</v>
      </c>
      <c r="BR65" s="154">
        <f t="shared" si="176"/>
        <v>5</v>
      </c>
      <c r="BS65" s="130">
        <f>BS74/BS$3*7</f>
        <v>5.875</v>
      </c>
      <c r="BT65" s="130">
        <f>BT64+SUM(BP55*7/8,BO55*5/8,BM55*3/8,BL55/8,-BT55/2)</f>
        <v>6.375</v>
      </c>
      <c r="BU65" s="130">
        <f>BU64+SUM(-BU55/2,BT55*(12/32),BR55*3/8,BQ55/8)</f>
        <v>7.375</v>
      </c>
      <c r="BV65" s="130">
        <f>BV64+SUM(-BV55/2,BU55*(12/32),BT55*4/32)</f>
        <v>7.5</v>
      </c>
      <c r="BW65" s="131"/>
    </row>
    <row r="66" spans="1:75" ht="15.75" customHeight="1" outlineLevel="1" x14ac:dyDescent="0.2">
      <c r="A66" s="125"/>
      <c r="B66" s="125"/>
      <c r="C66" s="130"/>
      <c r="D66" s="130"/>
      <c r="E66" s="130"/>
      <c r="F66" s="130"/>
      <c r="G66" s="154"/>
      <c r="H66" s="154"/>
      <c r="I66" s="154"/>
      <c r="J66" s="154"/>
      <c r="K66" s="130"/>
      <c r="L66" s="154"/>
      <c r="M66" s="154"/>
      <c r="N66" s="154"/>
      <c r="O66" s="154"/>
      <c r="P66" s="130"/>
      <c r="Q66" s="154"/>
      <c r="R66" s="154"/>
      <c r="S66" s="154"/>
      <c r="T66" s="154"/>
      <c r="U66" s="130"/>
      <c r="V66" s="154"/>
      <c r="W66" s="154"/>
      <c r="X66" s="154"/>
      <c r="Y66" s="154"/>
      <c r="Z66" s="130"/>
      <c r="AA66" s="154"/>
      <c r="AB66" s="154"/>
      <c r="AC66" s="154"/>
      <c r="AD66" s="154"/>
      <c r="AE66" s="130"/>
      <c r="AF66" s="154"/>
      <c r="AG66" s="154"/>
      <c r="AH66" s="154"/>
      <c r="AI66" s="154"/>
      <c r="AJ66" s="130"/>
      <c r="AK66" s="154"/>
      <c r="AL66" s="154"/>
      <c r="AM66" s="154"/>
      <c r="AN66" s="154"/>
      <c r="AO66" s="130"/>
      <c r="AP66" s="154"/>
      <c r="AQ66" s="154"/>
      <c r="AR66" s="154"/>
      <c r="AS66" s="154"/>
      <c r="AT66" s="130"/>
      <c r="AU66" s="154"/>
      <c r="AV66" s="154"/>
      <c r="AW66" s="154"/>
      <c r="AX66" s="154"/>
      <c r="AY66" s="130"/>
      <c r="AZ66" s="154"/>
      <c r="BA66" s="154"/>
      <c r="BB66" s="154"/>
      <c r="BC66" s="154"/>
      <c r="BD66" s="130"/>
      <c r="BE66" s="154"/>
      <c r="BF66" s="154"/>
      <c r="BG66" s="154"/>
      <c r="BH66" s="154"/>
      <c r="BI66" s="155"/>
      <c r="BJ66" s="154"/>
      <c r="BK66" s="154"/>
      <c r="BL66" s="154"/>
      <c r="BM66" s="154"/>
      <c r="BN66" s="130"/>
      <c r="BO66" s="154"/>
      <c r="BP66" s="154"/>
      <c r="BQ66" s="154"/>
      <c r="BR66" s="154"/>
      <c r="BS66" s="130"/>
      <c r="BT66" s="130"/>
      <c r="BU66" s="130"/>
      <c r="BV66" s="130"/>
      <c r="BW66" s="131"/>
    </row>
    <row r="67" spans="1:75" ht="15.75" customHeight="1" outlineLevel="1" x14ac:dyDescent="0.2">
      <c r="A67" s="156" t="s">
        <v>523</v>
      </c>
      <c r="B67" s="125"/>
      <c r="C67" s="157"/>
      <c r="D67" s="157"/>
      <c r="E67" s="157"/>
      <c r="F67" s="157"/>
      <c r="G67" s="158"/>
      <c r="H67" s="158"/>
      <c r="I67" s="158"/>
      <c r="J67" s="158"/>
      <c r="K67" s="157"/>
      <c r="L67" s="158"/>
      <c r="M67" s="158"/>
      <c r="N67" s="158"/>
      <c r="O67" s="158"/>
      <c r="P67" s="157"/>
      <c r="Q67" s="159">
        <f t="shared" ref="Q67:BV67" si="177">Q91/Q71*Q$3/7*1000</f>
        <v>2720.1332629216554</v>
      </c>
      <c r="R67" s="159">
        <f t="shared" si="177"/>
        <v>2738.0218997050147</v>
      </c>
      <c r="S67" s="159">
        <f t="shared" si="177"/>
        <v>2714.999777777778</v>
      </c>
      <c r="T67" s="159">
        <f t="shared" si="177"/>
        <v>2609.8573925501428</v>
      </c>
      <c r="U67" s="160">
        <f t="shared" si="177"/>
        <v>10780.03203201076</v>
      </c>
      <c r="V67" s="159">
        <f t="shared" si="177"/>
        <v>2716.6942881355931</v>
      </c>
      <c r="W67" s="159">
        <f t="shared" si="177"/>
        <v>2727.9450714285713</v>
      </c>
      <c r="X67" s="159">
        <f t="shared" si="177"/>
        <v>2722.7336455479453</v>
      </c>
      <c r="Y67" s="159">
        <f t="shared" si="177"/>
        <v>2817.6747368421047</v>
      </c>
      <c r="Z67" s="160">
        <f t="shared" si="177"/>
        <v>10982.969227652457</v>
      </c>
      <c r="AA67" s="159">
        <f t="shared" si="177"/>
        <v>2710.1208226600979</v>
      </c>
      <c r="AB67" s="159">
        <f t="shared" si="177"/>
        <v>2707.8486187162966</v>
      </c>
      <c r="AC67" s="159">
        <f t="shared" si="177"/>
        <v>2649.7231794048757</v>
      </c>
      <c r="AD67" s="159">
        <f t="shared" si="177"/>
        <v>2626.3639317367333</v>
      </c>
      <c r="AE67" s="160">
        <f t="shared" si="177"/>
        <v>10692.351849781739</v>
      </c>
      <c r="AF67" s="159">
        <f t="shared" si="177"/>
        <v>2714.4875505591012</v>
      </c>
      <c r="AG67" s="159">
        <f t="shared" si="177"/>
        <v>2725.9644785692053</v>
      </c>
      <c r="AH67" s="159">
        <f t="shared" si="177"/>
        <v>2668.6186677033393</v>
      </c>
      <c r="AI67" s="159">
        <f t="shared" si="177"/>
        <v>2674.9208129401104</v>
      </c>
      <c r="AJ67" s="160">
        <f t="shared" si="177"/>
        <v>10783.351278379978</v>
      </c>
      <c r="AK67" s="159">
        <f t="shared" si="177"/>
        <v>2755.6243904613498</v>
      </c>
      <c r="AL67" s="159">
        <f t="shared" si="177"/>
        <v>2758.1075301969704</v>
      </c>
      <c r="AM67" s="159">
        <f t="shared" si="177"/>
        <v>2683.6442412763931</v>
      </c>
      <c r="AN67" s="159">
        <f t="shared" si="177"/>
        <v>2674.9978065510604</v>
      </c>
      <c r="AO67" s="160">
        <f t="shared" si="177"/>
        <v>10870.993612043563</v>
      </c>
      <c r="AP67" s="159">
        <f t="shared" si="177"/>
        <v>2377.4096666666665</v>
      </c>
      <c r="AQ67" s="159">
        <f t="shared" si="177"/>
        <v>1177.6528037347564</v>
      </c>
      <c r="AR67" s="159">
        <f t="shared" si="177"/>
        <v>2035.0553889592052</v>
      </c>
      <c r="AS67" s="159">
        <f t="shared" si="177"/>
        <v>2147.7879448227491</v>
      </c>
      <c r="AT67" s="160">
        <f t="shared" si="177"/>
        <v>7744.6609324629999</v>
      </c>
      <c r="AU67" s="159">
        <f t="shared" si="177"/>
        <v>2442.4674984122871</v>
      </c>
      <c r="AV67" s="159">
        <f t="shared" si="177"/>
        <v>2965.5163897532789</v>
      </c>
      <c r="AW67" s="159">
        <f t="shared" si="177"/>
        <v>2863.1230473328314</v>
      </c>
      <c r="AX67" s="159">
        <f t="shared" si="177"/>
        <v>2860.8432445611411</v>
      </c>
      <c r="AY67" s="160">
        <f t="shared" si="177"/>
        <v>11137.307474684212</v>
      </c>
      <c r="AZ67" s="159">
        <f t="shared" si="177"/>
        <v>2926.0316650485438</v>
      </c>
      <c r="BA67" s="159">
        <f t="shared" si="177"/>
        <v>3068.6254927536229</v>
      </c>
      <c r="BB67" s="159">
        <f t="shared" si="177"/>
        <v>2896.2254983265152</v>
      </c>
      <c r="BC67" s="159">
        <f t="shared" si="177"/>
        <v>3206.38162962963</v>
      </c>
      <c r="BD67" s="160">
        <f t="shared" si="177"/>
        <v>12097.24084199802</v>
      </c>
      <c r="BE67" s="159">
        <f t="shared" si="177"/>
        <v>3067.7872772622754</v>
      </c>
      <c r="BF67" s="159">
        <f t="shared" si="177"/>
        <v>3164.713523681814</v>
      </c>
      <c r="BG67" s="159">
        <f t="shared" si="177"/>
        <v>2969.8885654713499</v>
      </c>
      <c r="BH67" s="159">
        <f t="shared" si="177"/>
        <v>3060.8819314389179</v>
      </c>
      <c r="BI67" s="161">
        <f t="shared" si="177"/>
        <v>12262.665558200257</v>
      </c>
      <c r="BJ67" s="158">
        <f t="shared" si="177"/>
        <v>3131.3993423456336</v>
      </c>
      <c r="BK67" s="158">
        <f t="shared" si="177"/>
        <v>3152.050429946069</v>
      </c>
      <c r="BL67" s="158">
        <f t="shared" si="177"/>
        <v>3010.2325566037725</v>
      </c>
      <c r="BM67" s="158">
        <f t="shared" si="177"/>
        <v>3124.8424647994293</v>
      </c>
      <c r="BN67" s="157">
        <f t="shared" si="177"/>
        <v>12418.267124678938</v>
      </c>
      <c r="BO67" s="158">
        <f t="shared" si="177"/>
        <v>3108.2942026602705</v>
      </c>
      <c r="BP67" s="158">
        <f t="shared" si="177"/>
        <v>3148.8171313063672</v>
      </c>
      <c r="BQ67" s="158">
        <f t="shared" si="177"/>
        <v>3007.4723104282912</v>
      </c>
      <c r="BR67" s="158">
        <f t="shared" si="177"/>
        <v>3121.9770097251262</v>
      </c>
      <c r="BS67" s="157">
        <f t="shared" si="177"/>
        <v>12386.121695139142</v>
      </c>
      <c r="BT67" s="157">
        <f t="shared" si="177"/>
        <v>12938.424710324</v>
      </c>
      <c r="BU67" s="157">
        <f t="shared" si="177"/>
        <v>13513.56693961479</v>
      </c>
      <c r="BV67" s="157">
        <f t="shared" si="177"/>
        <v>14382.66873295772</v>
      </c>
      <c r="BW67" s="131"/>
    </row>
    <row r="68" spans="1:75" ht="15.75" customHeight="1" outlineLevel="1" x14ac:dyDescent="0.2">
      <c r="A68" s="156" t="s">
        <v>524</v>
      </c>
      <c r="B68" s="125"/>
      <c r="C68" s="157"/>
      <c r="D68" s="157"/>
      <c r="E68" s="157"/>
      <c r="F68" s="157"/>
      <c r="G68" s="158"/>
      <c r="H68" s="158"/>
      <c r="I68" s="158"/>
      <c r="J68" s="158"/>
      <c r="K68" s="157"/>
      <c r="L68" s="158"/>
      <c r="M68" s="158"/>
      <c r="N68" s="158"/>
      <c r="O68" s="158"/>
      <c r="P68" s="157"/>
      <c r="Q68" s="159">
        <f t="shared" ref="Q68:BV68" si="178">Q92/Q74*Q$3/7*1000</f>
        <v>2211.5104666197167</v>
      </c>
      <c r="R68" s="159">
        <f t="shared" si="178"/>
        <v>2506.5626232292816</v>
      </c>
      <c r="S68" s="159">
        <f t="shared" si="178"/>
        <v>2171.9137415384598</v>
      </c>
      <c r="T68" s="159">
        <f t="shared" si="178"/>
        <v>2340.838942473003</v>
      </c>
      <c r="U68" s="160">
        <f t="shared" si="178"/>
        <v>9227.2861924151057</v>
      </c>
      <c r="V68" s="159">
        <f t="shared" si="178"/>
        <v>2549.9843305677364</v>
      </c>
      <c r="W68" s="159">
        <f t="shared" si="178"/>
        <v>2601.1564183673504</v>
      </c>
      <c r="X68" s="159">
        <f t="shared" si="178"/>
        <v>2509.6787281678035</v>
      </c>
      <c r="Y68" s="159">
        <f t="shared" si="178"/>
        <v>3292.7062600946833</v>
      </c>
      <c r="Z68" s="160">
        <f t="shared" si="178"/>
        <v>10940.12995242418</v>
      </c>
      <c r="AA68" s="159">
        <f t="shared" si="178"/>
        <v>1958.0179943701685</v>
      </c>
      <c r="AB68" s="159">
        <f t="shared" si="178"/>
        <v>2321.8341622406992</v>
      </c>
      <c r="AC68" s="159">
        <f t="shared" si="178"/>
        <v>2120.6952612736959</v>
      </c>
      <c r="AD68" s="159">
        <f t="shared" si="178"/>
        <v>2547.0196717971698</v>
      </c>
      <c r="AE68" s="160">
        <f t="shared" si="178"/>
        <v>8868.4488877996191</v>
      </c>
      <c r="AF68" s="159">
        <f t="shared" si="178"/>
        <v>2763.6523371206845</v>
      </c>
      <c r="AG68" s="159">
        <f t="shared" si="178"/>
        <v>2797.9135986850952</v>
      </c>
      <c r="AH68" s="159">
        <f t="shared" si="178"/>
        <v>2747.5298197585744</v>
      </c>
      <c r="AI68" s="159">
        <f t="shared" si="178"/>
        <v>2322.7711584137232</v>
      </c>
      <c r="AJ68" s="160">
        <f t="shared" si="178"/>
        <v>10658.465400723098</v>
      </c>
      <c r="AK68" s="159">
        <f t="shared" si="178"/>
        <v>2203.255708068582</v>
      </c>
      <c r="AL68" s="159">
        <f t="shared" si="178"/>
        <v>2016.050835286527</v>
      </c>
      <c r="AM68" s="159">
        <f t="shared" si="178"/>
        <v>1518.5524080685477</v>
      </c>
      <c r="AN68" s="159">
        <f t="shared" si="178"/>
        <v>2449.9498435452551</v>
      </c>
      <c r="AO68" s="160">
        <f t="shared" si="178"/>
        <v>8375.586053508292</v>
      </c>
      <c r="AP68" s="159">
        <f t="shared" si="178"/>
        <v>2313.4237058823546</v>
      </c>
      <c r="AQ68" s="159">
        <f t="shared" si="178"/>
        <v>1472.0977521400036</v>
      </c>
      <c r="AR68" s="159">
        <f t="shared" si="178"/>
        <v>2088.5100749683716</v>
      </c>
      <c r="AS68" s="159">
        <f t="shared" si="178"/>
        <v>1752.4393156312499</v>
      </c>
      <c r="AT68" s="160">
        <f t="shared" si="178"/>
        <v>7749.9974147053044</v>
      </c>
      <c r="AU68" s="159">
        <f t="shared" si="178"/>
        <v>1690.6065638260657</v>
      </c>
      <c r="AV68" s="159">
        <f t="shared" si="178"/>
        <v>916.68991005933879</v>
      </c>
      <c r="AW68" s="159">
        <f t="shared" si="178"/>
        <v>3027.6278827949454</v>
      </c>
      <c r="AX68" s="159">
        <f t="shared" si="178"/>
        <v>3026.7890810202512</v>
      </c>
      <c r="AY68" s="160">
        <f t="shared" si="178"/>
        <v>7779.5926069164725</v>
      </c>
      <c r="AZ68" s="159">
        <f t="shared" si="178"/>
        <v>3326.5028883495233</v>
      </c>
      <c r="BA68" s="159">
        <f t="shared" si="178"/>
        <v>4102.1844956521818</v>
      </c>
      <c r="BB68" s="159">
        <f t="shared" si="178"/>
        <v>3028.3803839718075</v>
      </c>
      <c r="BC68" s="159">
        <f t="shared" si="178"/>
        <v>3658.343308641975</v>
      </c>
      <c r="BD68" s="160">
        <f t="shared" si="178"/>
        <v>14158.697574885833</v>
      </c>
      <c r="BE68" s="159">
        <f t="shared" si="178"/>
        <v>3801.8527076291375</v>
      </c>
      <c r="BF68" s="159">
        <f t="shared" si="178"/>
        <v>1702.6607622074721</v>
      </c>
      <c r="BG68" s="159">
        <f t="shared" si="178"/>
        <v>2674.6133894861259</v>
      </c>
      <c r="BH68" s="159">
        <f t="shared" si="178"/>
        <v>3484.990493546487</v>
      </c>
      <c r="BI68" s="161">
        <f t="shared" si="178"/>
        <v>12005.570639683068</v>
      </c>
      <c r="BJ68" s="158">
        <f t="shared" si="178"/>
        <v>2505.1194738765071</v>
      </c>
      <c r="BK68" s="158">
        <f t="shared" si="178"/>
        <v>2994.4479084487652</v>
      </c>
      <c r="BL68" s="158">
        <f t="shared" si="178"/>
        <v>2859.7209287735841</v>
      </c>
      <c r="BM68" s="158">
        <f t="shared" si="178"/>
        <v>2968.6003415594573</v>
      </c>
      <c r="BN68" s="157">
        <f t="shared" si="178"/>
        <v>11298.561510372225</v>
      </c>
      <c r="BO68" s="158">
        <f t="shared" si="178"/>
        <v>2952.8794925272578</v>
      </c>
      <c r="BP68" s="158">
        <f t="shared" si="178"/>
        <v>2991.3762747410487</v>
      </c>
      <c r="BQ68" s="158">
        <f t="shared" si="178"/>
        <v>2857.0986949068752</v>
      </c>
      <c r="BR68" s="158">
        <f t="shared" si="178"/>
        <v>2965.87815923887</v>
      </c>
      <c r="BS68" s="157">
        <f t="shared" si="178"/>
        <v>11780.38095542629</v>
      </c>
      <c r="BT68" s="157">
        <f t="shared" si="178"/>
        <v>12291.5034748078</v>
      </c>
      <c r="BU68" s="157">
        <f t="shared" si="178"/>
        <v>12837.888592634054</v>
      </c>
      <c r="BV68" s="157">
        <f t="shared" si="178"/>
        <v>13663.535296309832</v>
      </c>
      <c r="BW68" s="131"/>
    </row>
    <row r="69" spans="1:75" ht="15.75" customHeight="1" outlineLevel="1" x14ac:dyDescent="0.2">
      <c r="A69" s="162" t="s">
        <v>525</v>
      </c>
      <c r="B69" s="163"/>
      <c r="C69" s="164"/>
      <c r="D69" s="164"/>
      <c r="E69" s="164"/>
      <c r="F69" s="164"/>
      <c r="G69" s="165">
        <f t="shared" ref="G69:BV69" si="179">G93/G75*G$3/7*1000</f>
        <v>2546.6111111111113</v>
      </c>
      <c r="H69" s="165">
        <f t="shared" si="179"/>
        <v>2614.4307692307693</v>
      </c>
      <c r="I69" s="165">
        <f t="shared" si="179"/>
        <v>2591.9756097560971</v>
      </c>
      <c r="J69" s="165">
        <f t="shared" si="179"/>
        <v>2555.8918918918916</v>
      </c>
      <c r="K69" s="164">
        <f t="shared" si="179"/>
        <v>10308.616793893132</v>
      </c>
      <c r="L69" s="165">
        <f t="shared" si="179"/>
        <v>2591.1335311572698</v>
      </c>
      <c r="M69" s="165">
        <f t="shared" si="179"/>
        <v>2663.4454277286136</v>
      </c>
      <c r="N69" s="166">
        <f t="shared" si="179"/>
        <v>2656.5555555555557</v>
      </c>
      <c r="O69" s="166">
        <f t="shared" si="179"/>
        <v>2581.4613180515757</v>
      </c>
      <c r="P69" s="167">
        <f t="shared" si="179"/>
        <v>10491.266261535</v>
      </c>
      <c r="Q69" s="166">
        <f t="shared" si="179"/>
        <v>2671.2824858757067</v>
      </c>
      <c r="R69" s="166">
        <f t="shared" si="179"/>
        <v>2719.7857142857142</v>
      </c>
      <c r="S69" s="166">
        <f t="shared" si="179"/>
        <v>2677.2208904109589</v>
      </c>
      <c r="T69" s="166">
        <f t="shared" si="179"/>
        <v>2587.9448621553888</v>
      </c>
      <c r="U69" s="167">
        <f t="shared" si="179"/>
        <v>10653.614816400815</v>
      </c>
      <c r="V69" s="166">
        <f t="shared" si="179"/>
        <v>2702.0147783251232</v>
      </c>
      <c r="W69" s="166">
        <f t="shared" si="179"/>
        <v>2718.5187908496728</v>
      </c>
      <c r="X69" s="166">
        <f t="shared" si="179"/>
        <v>2709.2063492063489</v>
      </c>
      <c r="Y69" s="166">
        <f t="shared" si="179"/>
        <v>2851.0505576208175</v>
      </c>
      <c r="Z69" s="167">
        <f t="shared" si="179"/>
        <v>10979.802512212143</v>
      </c>
      <c r="AA69" s="166">
        <f t="shared" si="179"/>
        <v>2655.8453608247423</v>
      </c>
      <c r="AB69" s="166">
        <f t="shared" si="179"/>
        <v>2686.9145808502185</v>
      </c>
      <c r="AC69" s="166">
        <f t="shared" si="179"/>
        <v>2627.8120270808445</v>
      </c>
      <c r="AD69" s="166">
        <f t="shared" si="179"/>
        <v>2622.32210031348</v>
      </c>
      <c r="AE69" s="167">
        <f t="shared" si="179"/>
        <v>10592.598693328053</v>
      </c>
      <c r="AF69" s="166">
        <f t="shared" si="179"/>
        <v>2717.4522613065333</v>
      </c>
      <c r="AG69" s="166">
        <f t="shared" si="179"/>
        <v>2729.4058869093724</v>
      </c>
      <c r="AH69" s="166">
        <f t="shared" si="179"/>
        <v>2671.6007751937987</v>
      </c>
      <c r="AI69" s="166">
        <f t="shared" si="179"/>
        <v>2659.0435452793836</v>
      </c>
      <c r="AJ69" s="167">
        <f t="shared" si="179"/>
        <v>10694.319798917248</v>
      </c>
      <c r="AK69" s="166">
        <f t="shared" si="179"/>
        <v>2729.5174129353231</v>
      </c>
      <c r="AL69" s="166">
        <f t="shared" si="179"/>
        <v>2732.3730945121952</v>
      </c>
      <c r="AM69" s="166">
        <f t="shared" si="179"/>
        <v>2651.9455859969557</v>
      </c>
      <c r="AN69" s="166">
        <f t="shared" si="179"/>
        <v>2666.7333333333331</v>
      </c>
      <c r="AO69" s="167">
        <f t="shared" si="179"/>
        <v>10780.025095057033</v>
      </c>
      <c r="AP69" s="166">
        <f t="shared" si="179"/>
        <v>2374.7655198204934</v>
      </c>
      <c r="AQ69" s="166">
        <f t="shared" si="179"/>
        <v>1187.0772727272727</v>
      </c>
      <c r="AR69" s="166">
        <f t="shared" si="179"/>
        <v>2036.3606311044325</v>
      </c>
      <c r="AS69" s="166">
        <f t="shared" si="179"/>
        <v>2138.1489122280577</v>
      </c>
      <c r="AT69" s="167">
        <f t="shared" si="179"/>
        <v>7744.8239052809613</v>
      </c>
      <c r="AU69" s="166">
        <f t="shared" si="179"/>
        <v>2424.2184466019412</v>
      </c>
      <c r="AV69" s="166">
        <f t="shared" si="179"/>
        <v>2930.8743961352661</v>
      </c>
      <c r="AW69" s="166">
        <f t="shared" si="179"/>
        <v>2864.7136481963557</v>
      </c>
      <c r="AX69" s="166">
        <f t="shared" si="179"/>
        <v>2862.8407407407412</v>
      </c>
      <c r="AY69" s="167">
        <f t="shared" si="179"/>
        <v>11084.560327198362</v>
      </c>
      <c r="AZ69" s="166">
        <f t="shared" si="179"/>
        <v>2931.8076923076924</v>
      </c>
      <c r="BA69" s="166">
        <f t="shared" si="179"/>
        <v>3081.0480769230762</v>
      </c>
      <c r="BB69" s="166">
        <f t="shared" si="179"/>
        <v>2897.4957486136786</v>
      </c>
      <c r="BC69" s="166">
        <f t="shared" si="179"/>
        <v>3212.8404219122153</v>
      </c>
      <c r="BD69" s="167">
        <f t="shared" si="179"/>
        <v>12123.2608577633</v>
      </c>
      <c r="BE69" s="166">
        <f t="shared" si="179"/>
        <v>3081.5804582702644</v>
      </c>
      <c r="BF69" s="166">
        <f t="shared" si="179"/>
        <v>3136.6000627024764</v>
      </c>
      <c r="BG69" s="166">
        <f t="shared" si="179"/>
        <v>2962.9245283018868</v>
      </c>
      <c r="BH69" s="166">
        <f t="shared" si="179"/>
        <v>3075.7402084081914</v>
      </c>
      <c r="BI69" s="168">
        <f t="shared" si="179"/>
        <v>12256.442506811989</v>
      </c>
      <c r="BJ69" s="165">
        <f t="shared" si="179"/>
        <v>3105.3646134023443</v>
      </c>
      <c r="BK69" s="165">
        <f t="shared" si="179"/>
        <v>3145.8770592883411</v>
      </c>
      <c r="BL69" s="165">
        <f t="shared" si="179"/>
        <v>3004.6837408312313</v>
      </c>
      <c r="BM69" s="165">
        <f t="shared" si="179"/>
        <v>3119.0956280825567</v>
      </c>
      <c r="BN69" s="164">
        <f t="shared" si="179"/>
        <v>12375.052679887143</v>
      </c>
      <c r="BO69" s="165">
        <f t="shared" si="179"/>
        <v>3102.959601625957</v>
      </c>
      <c r="BP69" s="165">
        <f t="shared" si="179"/>
        <v>3144.5036831812909</v>
      </c>
      <c r="BQ69" s="165">
        <f t="shared" si="179"/>
        <v>3004.0469433321314</v>
      </c>
      <c r="BR69" s="165">
        <f t="shared" si="179"/>
        <v>3118.4373532515151</v>
      </c>
      <c r="BS69" s="164">
        <f t="shared" si="179"/>
        <v>12369.899578463072</v>
      </c>
      <c r="BT69" s="164">
        <f t="shared" si="179"/>
        <v>12919.930885766082</v>
      </c>
      <c r="BU69" s="164">
        <f t="shared" si="179"/>
        <v>13491.614834729404</v>
      </c>
      <c r="BV69" s="164">
        <f t="shared" si="179"/>
        <v>14359.320244754865</v>
      </c>
      <c r="BW69" s="131"/>
    </row>
    <row r="70" spans="1:75" ht="15.75" customHeight="1" outlineLevel="1" x14ac:dyDescent="0.2">
      <c r="A70" s="169"/>
      <c r="B70" s="125"/>
      <c r="C70" s="170"/>
      <c r="D70" s="170"/>
      <c r="E70" s="170"/>
      <c r="F70" s="170"/>
      <c r="G70" s="171"/>
      <c r="H70" s="171"/>
      <c r="I70" s="171"/>
      <c r="J70" s="171"/>
      <c r="K70" s="170"/>
      <c r="L70" s="171"/>
      <c r="M70" s="171"/>
      <c r="N70" s="171"/>
      <c r="O70" s="171"/>
      <c r="P70" s="170"/>
      <c r="Q70" s="171"/>
      <c r="R70" s="171"/>
      <c r="S70" s="171"/>
      <c r="T70" s="171"/>
      <c r="U70" s="170"/>
      <c r="V70" s="171"/>
      <c r="W70" s="171"/>
      <c r="X70" s="171"/>
      <c r="Y70" s="171"/>
      <c r="Z70" s="170"/>
      <c r="AA70" s="171"/>
      <c r="AB70" s="171"/>
      <c r="AC70" s="171"/>
      <c r="AD70" s="171"/>
      <c r="AE70" s="170"/>
      <c r="AF70" s="171"/>
      <c r="AG70" s="171"/>
      <c r="AH70" s="171"/>
      <c r="AI70" s="171"/>
      <c r="AJ70" s="170"/>
      <c r="AK70" s="171"/>
      <c r="AL70" s="171"/>
      <c r="AM70" s="171"/>
      <c r="AN70" s="171"/>
      <c r="AO70" s="170"/>
      <c r="AP70" s="171"/>
      <c r="AQ70" s="171"/>
      <c r="AR70" s="171"/>
      <c r="AS70" s="171"/>
      <c r="AT70" s="170"/>
      <c r="AU70" s="171"/>
      <c r="AV70" s="171"/>
      <c r="AW70" s="171"/>
      <c r="AX70" s="171"/>
      <c r="AY70" s="170"/>
      <c r="AZ70" s="171"/>
      <c r="BA70" s="171"/>
      <c r="BB70" s="171"/>
      <c r="BC70" s="171"/>
      <c r="BD70" s="170"/>
      <c r="BE70" s="171"/>
      <c r="BF70" s="171"/>
      <c r="BG70" s="171"/>
      <c r="BH70" s="171"/>
      <c r="BI70" s="172"/>
      <c r="BJ70" s="171"/>
      <c r="BK70" s="171"/>
      <c r="BL70" s="171"/>
      <c r="BM70" s="171"/>
      <c r="BN70" s="170"/>
      <c r="BO70" s="171"/>
      <c r="BP70" s="171"/>
      <c r="BQ70" s="171"/>
      <c r="BR70" s="171"/>
      <c r="BS70" s="170"/>
      <c r="BT70" s="170"/>
      <c r="BU70" s="170"/>
      <c r="BV70" s="170"/>
      <c r="BW70" s="131"/>
    </row>
    <row r="71" spans="1:75" ht="15.75" customHeight="1" outlineLevel="1" x14ac:dyDescent="0.2">
      <c r="A71" s="124" t="s">
        <v>526</v>
      </c>
      <c r="B71" s="125"/>
      <c r="C71" s="130"/>
      <c r="D71" s="130"/>
      <c r="E71" s="130"/>
      <c r="F71" s="130"/>
      <c r="G71" s="154"/>
      <c r="H71" s="154"/>
      <c r="I71" s="154"/>
      <c r="J71" s="154"/>
      <c r="K71" s="130"/>
      <c r="L71" s="154"/>
      <c r="M71" s="154"/>
      <c r="N71" s="154"/>
      <c r="O71" s="154"/>
      <c r="P71" s="130"/>
      <c r="Q71" s="131">
        <f t="shared" ref="Q71:BI71" si="180">Q75-Q74</f>
        <v>2080</v>
      </c>
      <c r="R71" s="131">
        <f t="shared" si="180"/>
        <v>2128</v>
      </c>
      <c r="S71" s="131">
        <f t="shared" si="180"/>
        <v>2173.5</v>
      </c>
      <c r="T71" s="131">
        <f t="shared" si="180"/>
        <v>2199</v>
      </c>
      <c r="U71" s="128">
        <f t="shared" si="180"/>
        <v>8580.5</v>
      </c>
      <c r="V71" s="131">
        <f t="shared" si="180"/>
        <v>2221.5</v>
      </c>
      <c r="W71" s="131">
        <f t="shared" si="180"/>
        <v>2266</v>
      </c>
      <c r="X71" s="131">
        <f t="shared" si="180"/>
        <v>2301</v>
      </c>
      <c r="Y71" s="131">
        <f t="shared" si="180"/>
        <v>2501</v>
      </c>
      <c r="Z71" s="128">
        <f t="shared" si="180"/>
        <v>9289.5</v>
      </c>
      <c r="AA71" s="131">
        <f t="shared" si="180"/>
        <v>2340</v>
      </c>
      <c r="AB71" s="131">
        <f t="shared" si="180"/>
        <v>2380.5</v>
      </c>
      <c r="AC71" s="131">
        <f t="shared" si="180"/>
        <v>2407</v>
      </c>
      <c r="AD71" s="131">
        <f t="shared" si="180"/>
        <v>2422</v>
      </c>
      <c r="AE71" s="128">
        <f t="shared" si="180"/>
        <v>9549.5</v>
      </c>
      <c r="AF71" s="131">
        <f t="shared" si="180"/>
        <v>2431</v>
      </c>
      <c r="AG71" s="131">
        <f t="shared" si="180"/>
        <v>2458.5</v>
      </c>
      <c r="AH71" s="131">
        <f t="shared" si="180"/>
        <v>2482.5</v>
      </c>
      <c r="AI71" s="131">
        <f t="shared" si="180"/>
        <v>2478</v>
      </c>
      <c r="AJ71" s="128">
        <f t="shared" si="180"/>
        <v>9850</v>
      </c>
      <c r="AK71" s="131">
        <f t="shared" si="180"/>
        <v>2489.5</v>
      </c>
      <c r="AL71" s="131">
        <f t="shared" si="180"/>
        <v>2533</v>
      </c>
      <c r="AM71" s="131">
        <f t="shared" si="180"/>
        <v>2556.5</v>
      </c>
      <c r="AN71" s="131">
        <f t="shared" si="180"/>
        <v>2557.5</v>
      </c>
      <c r="AO71" s="128">
        <f t="shared" si="180"/>
        <v>10136.5</v>
      </c>
      <c r="AP71" s="131">
        <f t="shared" si="180"/>
        <v>2563.5</v>
      </c>
      <c r="AQ71" s="131">
        <f t="shared" si="180"/>
        <v>2555.5</v>
      </c>
      <c r="AR71" s="131">
        <f t="shared" si="180"/>
        <v>2597</v>
      </c>
      <c r="AS71" s="131">
        <f t="shared" si="180"/>
        <v>2601</v>
      </c>
      <c r="AT71" s="128">
        <f t="shared" si="180"/>
        <v>10317</v>
      </c>
      <c r="AU71" s="131">
        <f t="shared" si="180"/>
        <v>2613</v>
      </c>
      <c r="AV71" s="131">
        <f t="shared" si="180"/>
        <v>2645.5</v>
      </c>
      <c r="AW71" s="131">
        <f t="shared" si="180"/>
        <v>2663</v>
      </c>
      <c r="AX71" s="131">
        <f t="shared" si="180"/>
        <v>2667.5</v>
      </c>
      <c r="AY71" s="128">
        <f t="shared" si="180"/>
        <v>10589</v>
      </c>
      <c r="AZ71" s="131">
        <f t="shared" si="180"/>
        <v>2665</v>
      </c>
      <c r="BA71" s="131">
        <f t="shared" si="180"/>
        <v>2671.5</v>
      </c>
      <c r="BB71" s="131">
        <f t="shared" si="180"/>
        <v>2679</v>
      </c>
      <c r="BC71" s="131">
        <f t="shared" si="180"/>
        <v>2897</v>
      </c>
      <c r="BD71" s="128">
        <f t="shared" si="180"/>
        <v>10912.5</v>
      </c>
      <c r="BE71" s="131">
        <f t="shared" si="180"/>
        <v>2685.5714285714284</v>
      </c>
      <c r="BF71" s="131">
        <f t="shared" si="180"/>
        <v>2681.4285714285716</v>
      </c>
      <c r="BG71" s="131">
        <f t="shared" si="180"/>
        <v>2691</v>
      </c>
      <c r="BH71" s="131">
        <f t="shared" si="180"/>
        <v>2685.5</v>
      </c>
      <c r="BI71" s="129">
        <f t="shared" si="180"/>
        <v>10743.5</v>
      </c>
      <c r="BJ71" s="154">
        <f t="shared" ref="BJ71:BM71" si="181">BJ62*BJ$3/7</f>
        <v>2697.5</v>
      </c>
      <c r="BK71" s="154">
        <f t="shared" si="181"/>
        <v>2710.5</v>
      </c>
      <c r="BL71" s="154">
        <f t="shared" si="181"/>
        <v>2717</v>
      </c>
      <c r="BM71" s="154">
        <f t="shared" si="181"/>
        <v>2723.5</v>
      </c>
      <c r="BN71" s="130">
        <f t="shared" ref="BN71:BN73" si="182">SUM(BJ71,BK71,BL71,BM71)</f>
        <v>10848.5</v>
      </c>
      <c r="BO71" s="154">
        <f t="shared" ref="BO71:BR71" si="183">BO62*BO$3/7</f>
        <v>2743</v>
      </c>
      <c r="BP71" s="154">
        <f t="shared" si="183"/>
        <v>2769</v>
      </c>
      <c r="BQ71" s="154">
        <f t="shared" si="183"/>
        <v>2788.5</v>
      </c>
      <c r="BR71" s="154">
        <f t="shared" si="183"/>
        <v>2801.5</v>
      </c>
      <c r="BS71" s="130">
        <f t="shared" ref="BS71:BS73" si="184">SUM(BO71,BP71,BQ71,BR71)</f>
        <v>11102</v>
      </c>
      <c r="BT71" s="130">
        <f t="shared" ref="BT71:BV71" si="185">BT62*BT$3/7</f>
        <v>11264.5</v>
      </c>
      <c r="BU71" s="130">
        <f t="shared" si="185"/>
        <v>11420.5</v>
      </c>
      <c r="BV71" s="130">
        <f t="shared" si="185"/>
        <v>11845.5</v>
      </c>
      <c r="BW71" s="131"/>
    </row>
    <row r="72" spans="1:75" ht="15.75" customHeight="1" outlineLevel="1" x14ac:dyDescent="0.2">
      <c r="A72" s="124" t="s">
        <v>527</v>
      </c>
      <c r="B72" s="125"/>
      <c r="C72" s="130"/>
      <c r="D72" s="130"/>
      <c r="E72" s="130"/>
      <c r="F72" s="130"/>
      <c r="G72" s="154"/>
      <c r="H72" s="154"/>
      <c r="I72" s="154"/>
      <c r="J72" s="154"/>
      <c r="K72" s="130"/>
      <c r="L72" s="154"/>
      <c r="M72" s="154"/>
      <c r="N72" s="154"/>
      <c r="O72" s="154"/>
      <c r="P72" s="130"/>
      <c r="Q72" s="131">
        <f>(I55/2+J55+L55/2)*Q$3/7</f>
        <v>97.5</v>
      </c>
      <c r="R72" s="131">
        <f>(J55/2+L55+M55/2)*R$3/7</f>
        <v>65</v>
      </c>
      <c r="S72" s="131">
        <f>(L55/2+M55+N55/2)*S$3/7</f>
        <v>45.5</v>
      </c>
      <c r="T72" s="131">
        <f>(M55/2+N55+O55/2)*T$3/7</f>
        <v>71.5</v>
      </c>
      <c r="U72" s="128">
        <f t="shared" ref="U72:U73" si="186">SUM(Q72,R72,S72,T72)</f>
        <v>279.5</v>
      </c>
      <c r="V72" s="131">
        <f>(N55/2+O55+Q55/2)*V$3/7</f>
        <v>78</v>
      </c>
      <c r="W72" s="131">
        <f>(O55/2+Q55+R55/2)*W$3/7</f>
        <v>45.5</v>
      </c>
      <c r="X72" s="131">
        <f t="shared" ref="X72:Y72" si="187">(Q55/2+R55+S55/2)*X$3/7</f>
        <v>39</v>
      </c>
      <c r="Y72" s="131">
        <f t="shared" si="187"/>
        <v>84</v>
      </c>
      <c r="Z72" s="128">
        <f t="shared" ref="Z72:Z73" si="188">SUM(V72,W72,X72,Y72)</f>
        <v>246.5</v>
      </c>
      <c r="AA72" s="131">
        <f>(S55/2+T55+V55/2)*AA$3/7</f>
        <v>97.5</v>
      </c>
      <c r="AB72" s="131">
        <f>(T55/2+V55+W55/2)*AB$3/7</f>
        <v>58.5</v>
      </c>
      <c r="AC72" s="131">
        <f t="shared" ref="AC72:AD72" si="189">(V55/2+W55+X55/2)*AC$3/7</f>
        <v>19.5</v>
      </c>
      <c r="AD72" s="131">
        <f t="shared" si="189"/>
        <v>39</v>
      </c>
      <c r="AE72" s="128">
        <f t="shared" ref="AE72:AE73" si="190">SUM(AA72,AB72,AC72,AD72)</f>
        <v>214.5</v>
      </c>
      <c r="AF72" s="131">
        <f>(X55/2+Y55+AA55/2)*AF$3/7</f>
        <v>65</v>
      </c>
      <c r="AG72" s="131">
        <f>(Y55/2+AA55+AB55/2)*AG$3/7</f>
        <v>39</v>
      </c>
      <c r="AH72" s="131">
        <f t="shared" ref="AH72:AI72" si="191">(AA55/2+AB55+AC55/2)*AH$3/7</f>
        <v>19.5</v>
      </c>
      <c r="AI72" s="131">
        <f t="shared" si="191"/>
        <v>52</v>
      </c>
      <c r="AJ72" s="128">
        <f t="shared" ref="AJ72:AJ73" si="192">SUM(AF72,AG72,AH72,AI72)</f>
        <v>175.5</v>
      </c>
      <c r="AK72" s="131">
        <f>(AC55/2+AD55+AF55/2)*AK$3/7</f>
        <v>71.5</v>
      </c>
      <c r="AL72" s="131">
        <f>(AD55/2+AF55+AG55/2)*AL$3/7</f>
        <v>32.5</v>
      </c>
      <c r="AM72" s="131">
        <f t="shared" ref="AM72:AN72" si="193">(AF55/2+AG55+AH55/2)*AM$3/7</f>
        <v>6.5</v>
      </c>
      <c r="AN72" s="131">
        <f t="shared" si="193"/>
        <v>32.5</v>
      </c>
      <c r="AO72" s="128">
        <f t="shared" ref="AO72:AO73" si="194">SUM(AK72,AL72,AM72,AN72)</f>
        <v>143</v>
      </c>
      <c r="AP72" s="131">
        <f>(AH55/2+AI55+AK55/2)*AP$3/7</f>
        <v>45.5</v>
      </c>
      <c r="AQ72" s="131">
        <f>(AI55/2+AK55+AL55/2)*AQ$3/7</f>
        <v>26</v>
      </c>
      <c r="AR72" s="131">
        <f t="shared" ref="AR72:AS72" si="195">(AK55/2+AL55+AM55/2)*AR$3/7</f>
        <v>19.5</v>
      </c>
      <c r="AS72" s="131">
        <f t="shared" si="195"/>
        <v>39</v>
      </c>
      <c r="AT72" s="128">
        <f t="shared" ref="AT72:AT73" si="196">SUM(AP72,AQ72,AR72,AS72)</f>
        <v>130</v>
      </c>
      <c r="AU72" s="131">
        <f>(AM55/2+AN55+AP55/2)*AU$3/7</f>
        <v>45.5</v>
      </c>
      <c r="AV72" s="131">
        <f>(AN55/2+AP55+AQ55/2)*AV$3/7</f>
        <v>19.5</v>
      </c>
      <c r="AW72" s="131">
        <f t="shared" ref="AW72:AX72" si="197">(AP55/2+AQ55+AR55/2)*AW$3/7</f>
        <v>0</v>
      </c>
      <c r="AX72" s="131">
        <f t="shared" si="197"/>
        <v>6.5</v>
      </c>
      <c r="AY72" s="128">
        <f t="shared" ref="AY72:AY73" si="198">SUM(AU72,AV72,AW72,AX72)</f>
        <v>71.5</v>
      </c>
      <c r="AZ72" s="131">
        <f>(AR55/2+AS55+AU55/2)*AZ$3/7</f>
        <v>19.5</v>
      </c>
      <c r="BA72" s="131">
        <f>(AS55/2+AU55+AV55/2)*BA$3/7</f>
        <v>19.5</v>
      </c>
      <c r="BB72" s="131">
        <f t="shared" ref="BB72:BC72" si="199">(AU55/2+AV55+AW55/2)*BB$3/7</f>
        <v>6.5</v>
      </c>
      <c r="BC72" s="131">
        <f t="shared" si="199"/>
        <v>7</v>
      </c>
      <c r="BD72" s="128">
        <f t="shared" ref="BD72:BD73" si="200">SUM(AZ72,BA72,BB72,BC72)</f>
        <v>52.5</v>
      </c>
      <c r="BE72" s="131">
        <f>(AW55/2+AX55+AZ55/2)*BE$3/7</f>
        <v>12.857142857142858</v>
      </c>
      <c r="BF72" s="131">
        <f>(AX55/2+AZ55+BA55/2)*BF$3/7</f>
        <v>6.5714285714285712</v>
      </c>
      <c r="BG72" s="131">
        <f t="shared" ref="BG72:BH72" si="201">(AZ55/2+BA55+BB55/2)*BG$3/7</f>
        <v>6.5</v>
      </c>
      <c r="BH72" s="131">
        <f t="shared" si="201"/>
        <v>26</v>
      </c>
      <c r="BI72" s="129">
        <f t="shared" ref="BI72:BI73" si="202">SUM(BE72,BF72,BG72,BH72)</f>
        <v>51.928571428571431</v>
      </c>
      <c r="BJ72" s="154">
        <f>(BB55/2+BC55+BE55/2)*BJ$3/7</f>
        <v>32.5</v>
      </c>
      <c r="BK72" s="154">
        <f>(BC55/2+BE55+BF55/2)*BK$3/7</f>
        <v>19.5</v>
      </c>
      <c r="BL72" s="154">
        <f t="shared" ref="BL72:BM72" si="203">(BE55/2+BF55+BG55/2)*BL$3/7</f>
        <v>26</v>
      </c>
      <c r="BM72" s="154">
        <f t="shared" si="203"/>
        <v>52</v>
      </c>
      <c r="BN72" s="130">
        <f t="shared" si="182"/>
        <v>130</v>
      </c>
      <c r="BO72" s="154">
        <f>(BG55/2+BH55+BJ55/2)*BO$3/7</f>
        <v>58.5</v>
      </c>
      <c r="BP72" s="154">
        <f>(BH55/2+BJ55+BK55/2)*BP$3/7</f>
        <v>39</v>
      </c>
      <c r="BQ72" s="154">
        <f t="shared" ref="BQ72:BR72" si="204">(BJ55/2+BK55+BL55/2)*BQ$3/7</f>
        <v>19.5</v>
      </c>
      <c r="BR72" s="154">
        <f t="shared" si="204"/>
        <v>13</v>
      </c>
      <c r="BS72" s="130">
        <f t="shared" si="184"/>
        <v>130</v>
      </c>
      <c r="BT72" s="130">
        <f>SUM(BL55/8,BM55*3/8,BO55/2,BP55/2,BQ55*3/8,BR55/8)*BT$3/7</f>
        <v>97.5</v>
      </c>
      <c r="BU72" s="130">
        <f>SUM(BT55*12/32,BR55*3/8,BQ55/8)*BU$3/7</f>
        <v>123.5</v>
      </c>
      <c r="BV72" s="130">
        <f>SUM(BU55*12/32,BT55/8)*BV$3/7</f>
        <v>132.5</v>
      </c>
      <c r="BW72" s="131"/>
    </row>
    <row r="73" spans="1:75" ht="15.75" customHeight="1" outlineLevel="1" x14ac:dyDescent="0.2">
      <c r="A73" s="173" t="s">
        <v>528</v>
      </c>
      <c r="B73" s="133"/>
      <c r="C73" s="138"/>
      <c r="D73" s="138"/>
      <c r="E73" s="138"/>
      <c r="F73" s="138"/>
      <c r="G73" s="174"/>
      <c r="H73" s="174"/>
      <c r="I73" s="174"/>
      <c r="J73" s="174"/>
      <c r="K73" s="138"/>
      <c r="L73" s="174"/>
      <c r="M73" s="174"/>
      <c r="N73" s="174"/>
      <c r="O73" s="174"/>
      <c r="P73" s="138"/>
      <c r="Q73" s="135">
        <f t="shared" ref="Q73:T73" si="205">Q74-Q72</f>
        <v>123.5</v>
      </c>
      <c r="R73" s="135">
        <f t="shared" si="205"/>
        <v>117</v>
      </c>
      <c r="S73" s="135">
        <f t="shared" si="205"/>
        <v>117</v>
      </c>
      <c r="T73" s="135">
        <f t="shared" si="205"/>
        <v>123.5</v>
      </c>
      <c r="U73" s="134">
        <f t="shared" si="186"/>
        <v>481</v>
      </c>
      <c r="V73" s="135">
        <f t="shared" ref="V73:Y73" si="206">V74-V72</f>
        <v>136.5</v>
      </c>
      <c r="W73" s="135">
        <f t="shared" si="206"/>
        <v>136.5</v>
      </c>
      <c r="X73" s="135">
        <f t="shared" si="206"/>
        <v>117</v>
      </c>
      <c r="Y73" s="135">
        <f t="shared" si="206"/>
        <v>105</v>
      </c>
      <c r="Z73" s="134">
        <f t="shared" si="188"/>
        <v>495</v>
      </c>
      <c r="AA73" s="135">
        <f t="shared" ref="AA73:AD73" si="207">AA74-AA72</f>
        <v>84.5</v>
      </c>
      <c r="AB73" s="135">
        <f t="shared" si="207"/>
        <v>78</v>
      </c>
      <c r="AC73" s="135">
        <f t="shared" si="207"/>
        <v>84.5</v>
      </c>
      <c r="AD73" s="135">
        <f t="shared" si="207"/>
        <v>91</v>
      </c>
      <c r="AE73" s="134">
        <f t="shared" si="190"/>
        <v>338</v>
      </c>
      <c r="AF73" s="135">
        <f t="shared" ref="AF73:AI73" si="208">AF74-AF72</f>
        <v>91</v>
      </c>
      <c r="AG73" s="135">
        <f t="shared" si="208"/>
        <v>84.5</v>
      </c>
      <c r="AH73" s="135">
        <f t="shared" si="208"/>
        <v>78</v>
      </c>
      <c r="AI73" s="135">
        <f t="shared" si="208"/>
        <v>65</v>
      </c>
      <c r="AJ73" s="134">
        <f t="shared" si="192"/>
        <v>318.5</v>
      </c>
      <c r="AK73" s="135">
        <f t="shared" ref="AK73:AN73" si="209">AK74-AK72</f>
        <v>52</v>
      </c>
      <c r="AL73" s="135">
        <f t="shared" si="209"/>
        <v>58.5</v>
      </c>
      <c r="AM73" s="135">
        <f t="shared" si="209"/>
        <v>65</v>
      </c>
      <c r="AN73" s="135">
        <f t="shared" si="209"/>
        <v>65</v>
      </c>
      <c r="AO73" s="134">
        <f t="shared" si="194"/>
        <v>240.5</v>
      </c>
      <c r="AP73" s="135">
        <f t="shared" ref="AP73:AS73" si="210">AP74-AP72</f>
        <v>65</v>
      </c>
      <c r="AQ73" s="135">
        <f t="shared" si="210"/>
        <v>58.5</v>
      </c>
      <c r="AR73" s="135">
        <f t="shared" si="210"/>
        <v>45.5</v>
      </c>
      <c r="AS73" s="135">
        <f t="shared" si="210"/>
        <v>26</v>
      </c>
      <c r="AT73" s="134">
        <f t="shared" si="196"/>
        <v>195</v>
      </c>
      <c r="AU73" s="135">
        <f t="shared" ref="AU73:AX73" si="211">AU74-AU72</f>
        <v>19.5</v>
      </c>
      <c r="AV73" s="135">
        <f t="shared" si="211"/>
        <v>26</v>
      </c>
      <c r="AW73" s="135">
        <f t="shared" si="211"/>
        <v>26</v>
      </c>
      <c r="AX73" s="135">
        <f t="shared" si="211"/>
        <v>26</v>
      </c>
      <c r="AY73" s="134">
        <f t="shared" si="198"/>
        <v>97.5</v>
      </c>
      <c r="AZ73" s="135">
        <f t="shared" ref="AZ73:BC73" si="212">AZ74-AZ72</f>
        <v>19.5</v>
      </c>
      <c r="BA73" s="135">
        <f t="shared" si="212"/>
        <v>13</v>
      </c>
      <c r="BB73" s="135">
        <f t="shared" si="212"/>
        <v>19.5</v>
      </c>
      <c r="BC73" s="135">
        <f t="shared" si="212"/>
        <v>35</v>
      </c>
      <c r="BD73" s="134">
        <f t="shared" si="200"/>
        <v>87</v>
      </c>
      <c r="BE73" s="135">
        <f t="shared" ref="BE73:BH73" si="213">BE74-BE72</f>
        <v>38.571428571428569</v>
      </c>
      <c r="BF73" s="135">
        <f t="shared" si="213"/>
        <v>46</v>
      </c>
      <c r="BG73" s="135">
        <f t="shared" si="213"/>
        <v>58.5</v>
      </c>
      <c r="BH73" s="135">
        <f t="shared" si="213"/>
        <v>71.5</v>
      </c>
      <c r="BI73" s="136">
        <f t="shared" si="202"/>
        <v>214.57142857142856</v>
      </c>
      <c r="BJ73" s="174">
        <f t="shared" ref="BJ73:BM73" si="214">BJ74-BJ72</f>
        <v>84.5</v>
      </c>
      <c r="BK73" s="174">
        <f t="shared" si="214"/>
        <v>91</v>
      </c>
      <c r="BL73" s="174">
        <f t="shared" si="214"/>
        <v>78</v>
      </c>
      <c r="BM73" s="174">
        <f t="shared" si="214"/>
        <v>52</v>
      </c>
      <c r="BN73" s="138">
        <f t="shared" si="182"/>
        <v>305.5</v>
      </c>
      <c r="BO73" s="174">
        <f t="shared" ref="BO73:BR73" si="215">BO74-BO72</f>
        <v>39</v>
      </c>
      <c r="BP73" s="174">
        <f t="shared" si="215"/>
        <v>39</v>
      </c>
      <c r="BQ73" s="174">
        <f t="shared" si="215"/>
        <v>45.5</v>
      </c>
      <c r="BR73" s="174">
        <f t="shared" si="215"/>
        <v>52</v>
      </c>
      <c r="BS73" s="138">
        <f t="shared" si="184"/>
        <v>175.5</v>
      </c>
      <c r="BT73" s="138">
        <f t="shared" ref="BT73:BV73" si="216">BT74-BT72</f>
        <v>234</v>
      </c>
      <c r="BU73" s="138">
        <f t="shared" si="216"/>
        <v>260</v>
      </c>
      <c r="BV73" s="138">
        <f t="shared" si="216"/>
        <v>265</v>
      </c>
      <c r="BW73" s="131"/>
    </row>
    <row r="74" spans="1:75" ht="15.75" customHeight="1" outlineLevel="1" x14ac:dyDescent="0.2">
      <c r="A74" s="125" t="s">
        <v>529</v>
      </c>
      <c r="B74" s="125"/>
      <c r="C74" s="130"/>
      <c r="D74" s="130"/>
      <c r="E74" s="130"/>
      <c r="F74" s="130"/>
      <c r="G74" s="154"/>
      <c r="H74" s="154"/>
      <c r="I74" s="154"/>
      <c r="J74" s="154"/>
      <c r="K74" s="130"/>
      <c r="L74" s="154"/>
      <c r="M74" s="154"/>
      <c r="N74" s="154"/>
      <c r="O74" s="154"/>
      <c r="P74" s="130"/>
      <c r="Q74" s="131">
        <f t="shared" ref="Q74:T74" si="217">Q65*Q$3/7</f>
        <v>221</v>
      </c>
      <c r="R74" s="131">
        <f t="shared" si="217"/>
        <v>182</v>
      </c>
      <c r="S74" s="131">
        <f t="shared" si="217"/>
        <v>162.5</v>
      </c>
      <c r="T74" s="131">
        <f t="shared" si="217"/>
        <v>195</v>
      </c>
      <c r="U74" s="128">
        <f>U72+U73</f>
        <v>760.5</v>
      </c>
      <c r="V74" s="131">
        <f t="shared" ref="V74:Y74" si="218">V65*V$3/7</f>
        <v>214.5</v>
      </c>
      <c r="W74" s="131">
        <f t="shared" si="218"/>
        <v>182</v>
      </c>
      <c r="X74" s="131">
        <f t="shared" si="218"/>
        <v>156</v>
      </c>
      <c r="Y74" s="131">
        <f t="shared" si="218"/>
        <v>189</v>
      </c>
      <c r="Z74" s="128">
        <f>Z72+Z73</f>
        <v>741.5</v>
      </c>
      <c r="AA74" s="131">
        <f t="shared" ref="AA74:AD74" si="219">AA65*AA$3/7</f>
        <v>182</v>
      </c>
      <c r="AB74" s="131">
        <f t="shared" si="219"/>
        <v>136.5</v>
      </c>
      <c r="AC74" s="131">
        <f t="shared" si="219"/>
        <v>104</v>
      </c>
      <c r="AD74" s="131">
        <f t="shared" si="219"/>
        <v>130</v>
      </c>
      <c r="AE74" s="128">
        <f>AE72+AE73</f>
        <v>552.5</v>
      </c>
      <c r="AF74" s="131">
        <f t="shared" ref="AF74:AI74" si="220">AF65*AF$3/7</f>
        <v>156</v>
      </c>
      <c r="AG74" s="131">
        <f t="shared" si="220"/>
        <v>123.5</v>
      </c>
      <c r="AH74" s="131">
        <f t="shared" si="220"/>
        <v>97.5</v>
      </c>
      <c r="AI74" s="131">
        <f t="shared" si="220"/>
        <v>117</v>
      </c>
      <c r="AJ74" s="128">
        <f>AJ72+AJ73</f>
        <v>494</v>
      </c>
      <c r="AK74" s="131">
        <f t="shared" ref="AK74:AN74" si="221">AK65*AK$3/7</f>
        <v>123.5</v>
      </c>
      <c r="AL74" s="131">
        <f t="shared" si="221"/>
        <v>91</v>
      </c>
      <c r="AM74" s="131">
        <f t="shared" si="221"/>
        <v>71.5</v>
      </c>
      <c r="AN74" s="131">
        <f t="shared" si="221"/>
        <v>97.5</v>
      </c>
      <c r="AO74" s="128">
        <f>AO72+AO73</f>
        <v>383.5</v>
      </c>
      <c r="AP74" s="131">
        <f t="shared" ref="AP74:AS74" si="222">AP65*AP$3/7</f>
        <v>110.5</v>
      </c>
      <c r="AQ74" s="131">
        <f t="shared" si="222"/>
        <v>84.5</v>
      </c>
      <c r="AR74" s="131">
        <f t="shared" si="222"/>
        <v>65</v>
      </c>
      <c r="AS74" s="131">
        <f t="shared" si="222"/>
        <v>65</v>
      </c>
      <c r="AT74" s="128">
        <f>AT72+AT73</f>
        <v>325</v>
      </c>
      <c r="AU74" s="154">
        <f t="shared" ref="AU74:AX74" si="223">AU65*AU$3/7</f>
        <v>65</v>
      </c>
      <c r="AV74" s="154">
        <f t="shared" si="223"/>
        <v>45.5</v>
      </c>
      <c r="AW74" s="131">
        <f t="shared" si="223"/>
        <v>26</v>
      </c>
      <c r="AX74" s="131">
        <f t="shared" si="223"/>
        <v>32.5</v>
      </c>
      <c r="AY74" s="128">
        <f>AY72+AY73</f>
        <v>169</v>
      </c>
      <c r="AZ74" s="154">
        <f t="shared" ref="AZ74:BC74" si="224">AZ65*AZ$3/7</f>
        <v>39</v>
      </c>
      <c r="BA74" s="154">
        <f t="shared" si="224"/>
        <v>32.5</v>
      </c>
      <c r="BB74" s="131">
        <f t="shared" si="224"/>
        <v>26</v>
      </c>
      <c r="BC74" s="131">
        <f t="shared" si="224"/>
        <v>42</v>
      </c>
      <c r="BD74" s="128">
        <f>BD72+BD73</f>
        <v>139.5</v>
      </c>
      <c r="BE74" s="154">
        <f t="shared" ref="BE74:BH74" si="225">BE65*BE$3/7</f>
        <v>51.428571428571431</v>
      </c>
      <c r="BF74" s="154">
        <f t="shared" si="225"/>
        <v>52.571428571428569</v>
      </c>
      <c r="BG74" s="131">
        <f t="shared" si="225"/>
        <v>65</v>
      </c>
      <c r="BH74" s="131">
        <f t="shared" si="225"/>
        <v>97.5</v>
      </c>
      <c r="BI74" s="129">
        <f>BI72+BI73</f>
        <v>266.5</v>
      </c>
      <c r="BJ74" s="154">
        <f t="shared" ref="BJ74:BM74" si="226">BJ65*BJ$3/7</f>
        <v>117</v>
      </c>
      <c r="BK74" s="154">
        <f t="shared" si="226"/>
        <v>110.5</v>
      </c>
      <c r="BL74" s="154">
        <f t="shared" si="226"/>
        <v>104</v>
      </c>
      <c r="BM74" s="154">
        <f t="shared" si="226"/>
        <v>104</v>
      </c>
      <c r="BN74" s="130">
        <f>BN72+BN73</f>
        <v>435.5</v>
      </c>
      <c r="BO74" s="154">
        <f t="shared" ref="BO74:BR74" si="227">BO65*BO$3/7</f>
        <v>97.5</v>
      </c>
      <c r="BP74" s="154">
        <f t="shared" si="227"/>
        <v>78</v>
      </c>
      <c r="BQ74" s="154">
        <f t="shared" si="227"/>
        <v>65</v>
      </c>
      <c r="BR74" s="154">
        <f t="shared" si="227"/>
        <v>65</v>
      </c>
      <c r="BS74" s="130">
        <f>BS72+BS73</f>
        <v>305.5</v>
      </c>
      <c r="BT74" s="130">
        <f t="shared" ref="BT74:BV74" si="228">BT65*BT$3/7</f>
        <v>331.5</v>
      </c>
      <c r="BU74" s="130">
        <f t="shared" si="228"/>
        <v>383.5</v>
      </c>
      <c r="BV74" s="130">
        <f t="shared" si="228"/>
        <v>397.5</v>
      </c>
      <c r="BW74" s="131"/>
    </row>
    <row r="75" spans="1:75" ht="15.75" customHeight="1" outlineLevel="1" x14ac:dyDescent="0.2">
      <c r="A75" s="140" t="s">
        <v>530</v>
      </c>
      <c r="B75" s="141"/>
      <c r="C75" s="145"/>
      <c r="D75" s="145"/>
      <c r="E75" s="145"/>
      <c r="F75" s="145"/>
      <c r="G75" s="147">
        <f t="shared" ref="G75:O75" si="229">G59*G$3/7</f>
        <v>2106</v>
      </c>
      <c r="H75" s="147">
        <f t="shared" si="229"/>
        <v>2112.5</v>
      </c>
      <c r="I75" s="147">
        <f t="shared" si="229"/>
        <v>2132</v>
      </c>
      <c r="J75" s="147">
        <f t="shared" si="229"/>
        <v>2164.5</v>
      </c>
      <c r="K75" s="145">
        <f t="shared" si="229"/>
        <v>8515</v>
      </c>
      <c r="L75" s="147">
        <f t="shared" si="229"/>
        <v>2190.5</v>
      </c>
      <c r="M75" s="147">
        <f t="shared" si="229"/>
        <v>2203.5</v>
      </c>
      <c r="N75" s="147">
        <f t="shared" si="229"/>
        <v>2223</v>
      </c>
      <c r="O75" s="147">
        <f t="shared" si="229"/>
        <v>2268.5</v>
      </c>
      <c r="P75" s="142">
        <v>8886</v>
      </c>
      <c r="Q75" s="143">
        <v>2301</v>
      </c>
      <c r="R75" s="143">
        <v>2310</v>
      </c>
      <c r="S75" s="143">
        <v>2336</v>
      </c>
      <c r="T75" s="143">
        <v>2394</v>
      </c>
      <c r="U75" s="142">
        <v>9341</v>
      </c>
      <c r="V75" s="143">
        <v>2436</v>
      </c>
      <c r="W75" s="143">
        <v>2448</v>
      </c>
      <c r="X75" s="143">
        <v>2457</v>
      </c>
      <c r="Y75" s="147">
        <f>Z75-SUM(V75,W75,X75)</f>
        <v>2690</v>
      </c>
      <c r="Z75" s="142">
        <v>10031</v>
      </c>
      <c r="AA75" s="143">
        <v>2522</v>
      </c>
      <c r="AB75" s="143">
        <v>2517</v>
      </c>
      <c r="AC75" s="143">
        <v>2511</v>
      </c>
      <c r="AD75" s="147">
        <f>AE75-SUM(AA75,AB75,AC75)</f>
        <v>2552</v>
      </c>
      <c r="AE75" s="142">
        <v>10102</v>
      </c>
      <c r="AF75" s="143">
        <v>2587</v>
      </c>
      <c r="AG75" s="143">
        <v>2582</v>
      </c>
      <c r="AH75" s="143">
        <v>2580</v>
      </c>
      <c r="AI75" s="143">
        <v>2595</v>
      </c>
      <c r="AJ75" s="142">
        <v>10344</v>
      </c>
      <c r="AK75" s="143">
        <v>2613</v>
      </c>
      <c r="AL75" s="143">
        <v>2624</v>
      </c>
      <c r="AM75" s="143">
        <v>2628</v>
      </c>
      <c r="AN75" s="143">
        <v>2655</v>
      </c>
      <c r="AO75" s="142">
        <v>10520</v>
      </c>
      <c r="AP75" s="143">
        <v>2674</v>
      </c>
      <c r="AQ75" s="143">
        <v>2640</v>
      </c>
      <c r="AR75" s="143">
        <v>2662</v>
      </c>
      <c r="AS75" s="143">
        <v>2666</v>
      </c>
      <c r="AT75" s="142">
        <v>10642</v>
      </c>
      <c r="AU75" s="143">
        <v>2678</v>
      </c>
      <c r="AV75" s="143">
        <v>2691</v>
      </c>
      <c r="AW75" s="143">
        <v>2689</v>
      </c>
      <c r="AX75" s="143">
        <v>2700</v>
      </c>
      <c r="AY75" s="142">
        <v>10758</v>
      </c>
      <c r="AZ75" s="143">
        <v>2704</v>
      </c>
      <c r="BA75" s="143">
        <v>2704</v>
      </c>
      <c r="BB75" s="143">
        <v>2705</v>
      </c>
      <c r="BC75" s="143">
        <v>2939</v>
      </c>
      <c r="BD75" s="142">
        <v>11052</v>
      </c>
      <c r="BE75" s="143">
        <v>2737</v>
      </c>
      <c r="BF75" s="143">
        <v>2734</v>
      </c>
      <c r="BG75" s="143">
        <v>2756</v>
      </c>
      <c r="BH75" s="143">
        <v>2783</v>
      </c>
      <c r="BI75" s="175">
        <v>11010</v>
      </c>
      <c r="BJ75" s="147">
        <f t="shared" ref="BJ75:BV75" si="230">BJ71+BJ74</f>
        <v>2814.5</v>
      </c>
      <c r="BK75" s="147">
        <f t="shared" si="230"/>
        <v>2821</v>
      </c>
      <c r="BL75" s="147">
        <f t="shared" si="230"/>
        <v>2821</v>
      </c>
      <c r="BM75" s="147">
        <f t="shared" si="230"/>
        <v>2827.5</v>
      </c>
      <c r="BN75" s="145">
        <f t="shared" si="230"/>
        <v>11284</v>
      </c>
      <c r="BO75" s="147">
        <f t="shared" si="230"/>
        <v>2840.5</v>
      </c>
      <c r="BP75" s="147">
        <f t="shared" si="230"/>
        <v>2847</v>
      </c>
      <c r="BQ75" s="147">
        <f t="shared" si="230"/>
        <v>2853.5</v>
      </c>
      <c r="BR75" s="147">
        <f t="shared" si="230"/>
        <v>2866.5</v>
      </c>
      <c r="BS75" s="145">
        <f t="shared" si="230"/>
        <v>11407.5</v>
      </c>
      <c r="BT75" s="145">
        <f t="shared" si="230"/>
        <v>11596</v>
      </c>
      <c r="BU75" s="145">
        <f t="shared" si="230"/>
        <v>11804</v>
      </c>
      <c r="BV75" s="145">
        <f t="shared" si="230"/>
        <v>12243</v>
      </c>
      <c r="BW75" s="120"/>
    </row>
    <row r="76" spans="1:75" ht="15.75" customHeight="1" outlineLevel="1" x14ac:dyDescent="0.2">
      <c r="A76" s="125"/>
      <c r="B76" s="125"/>
      <c r="C76" s="130"/>
      <c r="D76" s="130"/>
      <c r="E76" s="130"/>
      <c r="F76" s="130"/>
      <c r="G76" s="154"/>
      <c r="H76" s="154"/>
      <c r="I76" s="154"/>
      <c r="J76" s="154"/>
      <c r="K76" s="130"/>
      <c r="L76" s="154"/>
      <c r="M76" s="154"/>
      <c r="N76" s="154"/>
      <c r="O76" s="154"/>
      <c r="P76" s="130"/>
      <c r="Q76" s="154"/>
      <c r="R76" s="154"/>
      <c r="S76" s="154"/>
      <c r="T76" s="154"/>
      <c r="U76" s="130"/>
      <c r="V76" s="154"/>
      <c r="W76" s="154"/>
      <c r="X76" s="154"/>
      <c r="Y76" s="154"/>
      <c r="Z76" s="130"/>
      <c r="AA76" s="154"/>
      <c r="AB76" s="154"/>
      <c r="AC76" s="154"/>
      <c r="AD76" s="154"/>
      <c r="AE76" s="130"/>
      <c r="AF76" s="154"/>
      <c r="AG76" s="154"/>
      <c r="AH76" s="154"/>
      <c r="AI76" s="154"/>
      <c r="AJ76" s="130"/>
      <c r="AK76" s="154"/>
      <c r="AL76" s="154"/>
      <c r="AM76" s="154"/>
      <c r="AN76" s="154"/>
      <c r="AO76" s="130"/>
      <c r="AP76" s="154"/>
      <c r="AQ76" s="154"/>
      <c r="AR76" s="154"/>
      <c r="AS76" s="154"/>
      <c r="AT76" s="130"/>
      <c r="AU76" s="154"/>
      <c r="AV76" s="154"/>
      <c r="AW76" s="154"/>
      <c r="AX76" s="154"/>
      <c r="AY76" s="130"/>
      <c r="AZ76" s="154"/>
      <c r="BA76" s="154"/>
      <c r="BB76" s="154"/>
      <c r="BC76" s="154"/>
      <c r="BD76" s="130"/>
      <c r="BE76" s="154"/>
      <c r="BF76" s="154"/>
      <c r="BG76" s="154"/>
      <c r="BH76" s="154"/>
      <c r="BI76" s="155"/>
      <c r="BJ76" s="154"/>
      <c r="BK76" s="154"/>
      <c r="BL76" s="154"/>
      <c r="BM76" s="154"/>
      <c r="BN76" s="130"/>
      <c r="BO76" s="154"/>
      <c r="BP76" s="154"/>
      <c r="BQ76" s="154"/>
      <c r="BR76" s="154"/>
      <c r="BS76" s="130"/>
      <c r="BT76" s="130"/>
      <c r="BU76" s="130"/>
      <c r="BV76" s="130"/>
      <c r="BW76" s="131"/>
    </row>
    <row r="77" spans="1:75" ht="15.75" customHeight="1" outlineLevel="1" x14ac:dyDescent="0.2">
      <c r="A77" s="176" t="s">
        <v>531</v>
      </c>
      <c r="B77" s="176"/>
      <c r="C77" s="177"/>
      <c r="D77" s="177"/>
      <c r="E77" s="177"/>
      <c r="F77" s="177"/>
      <c r="G77" s="178"/>
      <c r="H77" s="178"/>
      <c r="I77" s="178"/>
      <c r="J77" s="178"/>
      <c r="K77" s="177"/>
      <c r="L77" s="178"/>
      <c r="M77" s="178"/>
      <c r="N77" s="178"/>
      <c r="O77" s="178"/>
      <c r="P77" s="177"/>
      <c r="Q77" s="179">
        <f>L80*(1+Q89)</f>
        <v>200.80712113698914</v>
      </c>
      <c r="R77" s="179">
        <f>M80*(1+R89)</f>
        <v>204.88041751758564</v>
      </c>
      <c r="S77" s="179">
        <f>N80*(1+S89)</f>
        <v>204.35042735042737</v>
      </c>
      <c r="T77" s="179">
        <f>O80*(1+T89)</f>
        <v>198.5739475424289</v>
      </c>
      <c r="U77" s="180">
        <f>U78/(1+U86)</f>
        <v>202.05488139171464</v>
      </c>
      <c r="V77" s="179">
        <f t="shared" ref="V77:Y77" si="231">Q80*(1+V89)</f>
        <v>205.48326814428512</v>
      </c>
      <c r="W77" s="179">
        <f t="shared" si="231"/>
        <v>209.21428571428572</v>
      </c>
      <c r="X77" s="179">
        <f t="shared" si="231"/>
        <v>205.9400684931507</v>
      </c>
      <c r="Y77" s="179">
        <f t="shared" si="231"/>
        <v>199.07268170426065</v>
      </c>
      <c r="Z77" s="180">
        <f>Z78/(1+Z86)</f>
        <v>204.76861115020608</v>
      </c>
      <c r="AA77" s="179">
        <f t="shared" ref="AA77:AD77" si="232">V80*(1+AA89)</f>
        <v>207.84729064039408</v>
      </c>
      <c r="AB77" s="179">
        <f t="shared" si="232"/>
        <v>209.34276140056409</v>
      </c>
      <c r="AC77" s="179">
        <f t="shared" si="232"/>
        <v>208.62319340247822</v>
      </c>
      <c r="AD77" s="179">
        <f t="shared" si="232"/>
        <v>203.86275958524672</v>
      </c>
      <c r="AE77" s="180">
        <f>AE78/(1+AE86)</f>
        <v>207.28039411022291</v>
      </c>
      <c r="AF77" s="179">
        <f t="shared" ref="AF77:AI77" si="233">AA80*(1+AF89)</f>
        <v>204.5119830150758</v>
      </c>
      <c r="AG77" s="179">
        <f t="shared" si="233"/>
        <v>206.79445293348542</v>
      </c>
      <c r="AH77" s="179">
        <f t="shared" si="233"/>
        <v>202.24468872325423</v>
      </c>
      <c r="AI77" s="179">
        <f t="shared" si="233"/>
        <v>201.92653528648833</v>
      </c>
      <c r="AJ77" s="180">
        <f>AJ78/(1+AJ86)</f>
        <v>203.90574234891423</v>
      </c>
      <c r="AK77" s="179">
        <f t="shared" ref="AK77:AN77" si="234">AF80*(1+AK89)</f>
        <v>209.25084596107149</v>
      </c>
      <c r="AL77" s="179">
        <f t="shared" si="234"/>
        <v>210.06150268065272</v>
      </c>
      <c r="AM77" s="179">
        <f t="shared" si="234"/>
        <v>205.61172550386095</v>
      </c>
      <c r="AN77" s="179">
        <f t="shared" si="234"/>
        <v>204.54181117533719</v>
      </c>
      <c r="AO77" s="180">
        <f>AO78/(1+AO86)</f>
        <v>207.398382403151</v>
      </c>
      <c r="AP77" s="179">
        <f t="shared" ref="AP77:AS77" si="235">AK80*(1+AP89)</f>
        <v>209.96287791810181</v>
      </c>
      <c r="AQ77" s="179">
        <f t="shared" si="235"/>
        <v>210.18254573170734</v>
      </c>
      <c r="AR77" s="179">
        <f t="shared" si="235"/>
        <v>204.09742141803278</v>
      </c>
      <c r="AS77" s="179">
        <f t="shared" si="235"/>
        <v>205.23535067584797</v>
      </c>
      <c r="AT77" s="180">
        <f>AT78/(1+AT86)</f>
        <v>207.43145844394149</v>
      </c>
      <c r="AU77" s="179">
        <f t="shared" ref="AU77:AX77" si="236">AP80*(1+AU89)</f>
        <v>182.76470356272725</v>
      </c>
      <c r="AV77" s="179">
        <f t="shared" si="236"/>
        <v>91.246658146254745</v>
      </c>
      <c r="AW77" s="179">
        <f t="shared" si="236"/>
        <v>148.81096919609314</v>
      </c>
      <c r="AX77" s="179">
        <f t="shared" si="236"/>
        <v>164.47299324831212</v>
      </c>
      <c r="AY77" s="180">
        <f>AY78/(1+AY86)</f>
        <v>148.73540965123146</v>
      </c>
      <c r="AZ77" s="179">
        <f t="shared" ref="AZ77:BC77" si="237">AU80*(1+AZ89)</f>
        <v>186.4783420463032</v>
      </c>
      <c r="BA77" s="179">
        <f t="shared" si="237"/>
        <v>225.45187662578968</v>
      </c>
      <c r="BB77" s="179">
        <f t="shared" si="237"/>
        <v>220.36258832279657</v>
      </c>
      <c r="BC77" s="179">
        <f t="shared" si="237"/>
        <v>220.21851851851855</v>
      </c>
      <c r="BD77" s="180">
        <f>BD78/(1+BD86)</f>
        <v>213.31759552103725</v>
      </c>
      <c r="BE77" s="179">
        <f t="shared" ref="BE77:BH77" si="238">AZ80*(1+BE89)</f>
        <v>225.73857816499449</v>
      </c>
      <c r="BF77" s="179">
        <f t="shared" si="238"/>
        <v>237.2348968277222</v>
      </c>
      <c r="BG77" s="179">
        <f t="shared" si="238"/>
        <v>223.09860017062422</v>
      </c>
      <c r="BH77" s="179">
        <f t="shared" si="238"/>
        <v>229.70971342881191</v>
      </c>
      <c r="BI77" s="181">
        <f>BI78/(1+BI86)</f>
        <v>228.95193349888456</v>
      </c>
      <c r="BJ77" s="178">
        <f t="shared" ref="BJ77:BS77" si="239">BE80*(1+BJ89)</f>
        <v>239.67848008768723</v>
      </c>
      <c r="BK77" s="178">
        <f t="shared" si="239"/>
        <v>238.88218491444252</v>
      </c>
      <c r="BL77" s="178">
        <f t="shared" si="239"/>
        <v>228.13433547584486</v>
      </c>
      <c r="BM77" s="178">
        <f t="shared" si="239"/>
        <v>236.82019437661458</v>
      </c>
      <c r="BN77" s="177">
        <f t="shared" si="239"/>
        <v>235.92569597649884</v>
      </c>
      <c r="BO77" s="178">
        <f t="shared" si="239"/>
        <v>239.09955405079009</v>
      </c>
      <c r="BP77" s="178">
        <f t="shared" si="239"/>
        <v>242.21670240818213</v>
      </c>
      <c r="BQ77" s="178">
        <f t="shared" si="239"/>
        <v>231.34402387909927</v>
      </c>
      <c r="BR77" s="178">
        <f t="shared" si="239"/>
        <v>240.1520776711636</v>
      </c>
      <c r="BS77" s="177">
        <f t="shared" si="239"/>
        <v>238.2036767412381</v>
      </c>
      <c r="BT77" s="177">
        <f t="shared" ref="BT77:BV77" si="240">BS80*(1+BT89)</f>
        <v>238.10130125734267</v>
      </c>
      <c r="BU77" s="177">
        <f t="shared" si="240"/>
        <v>248.68544239261672</v>
      </c>
      <c r="BV77" s="177">
        <f t="shared" si="240"/>
        <v>259.6852709751326</v>
      </c>
      <c r="BW77" s="179"/>
    </row>
    <row r="78" spans="1:75" ht="15.75" customHeight="1" outlineLevel="1" x14ac:dyDescent="0.2">
      <c r="A78" s="176" t="s">
        <v>532</v>
      </c>
      <c r="B78" s="176"/>
      <c r="C78" s="177"/>
      <c r="D78" s="177"/>
      <c r="E78" s="177"/>
      <c r="F78" s="177"/>
      <c r="G78" s="178"/>
      <c r="H78" s="178"/>
      <c r="I78" s="178"/>
      <c r="J78" s="178"/>
      <c r="K78" s="177"/>
      <c r="L78" s="178"/>
      <c r="M78" s="178"/>
      <c r="N78" s="178"/>
      <c r="O78" s="178"/>
      <c r="P78" s="177"/>
      <c r="Q78" s="179">
        <f t="shared" ref="Q78:T78" si="241">Q77*(1+Q86)</f>
        <v>209.2410202247427</v>
      </c>
      <c r="R78" s="179">
        <f t="shared" si="241"/>
        <v>210.61706920807805</v>
      </c>
      <c r="S78" s="179">
        <f t="shared" si="241"/>
        <v>208.84613675213677</v>
      </c>
      <c r="T78" s="179">
        <f t="shared" si="241"/>
        <v>200.75826096539561</v>
      </c>
      <c r="U78" s="180">
        <f>U91/U71*1000</f>
        <v>207.30830830789924</v>
      </c>
      <c r="V78" s="179">
        <f t="shared" ref="V78:Y78" si="242">V77*(1+V86)</f>
        <v>208.97648370273794</v>
      </c>
      <c r="W78" s="179">
        <f t="shared" si="242"/>
        <v>209.84192857142855</v>
      </c>
      <c r="X78" s="179">
        <f t="shared" si="242"/>
        <v>209.44104965753425</v>
      </c>
      <c r="Y78" s="179">
        <f t="shared" si="242"/>
        <v>201.2624812030075</v>
      </c>
      <c r="Z78" s="180">
        <f>Z91/Z71*1000</f>
        <v>207.22583448400857</v>
      </c>
      <c r="AA78" s="179">
        <f t="shared" ref="AA78:AD78" si="243">AA77*(1+AA86)</f>
        <v>208.47083251231524</v>
      </c>
      <c r="AB78" s="179">
        <f t="shared" si="243"/>
        <v>208.29604759356127</v>
      </c>
      <c r="AC78" s="179">
        <f t="shared" si="243"/>
        <v>203.82485995422121</v>
      </c>
      <c r="AD78" s="179">
        <f t="shared" si="243"/>
        <v>202.02799474897949</v>
      </c>
      <c r="AE78" s="180">
        <f>AE91/AE71*1000</f>
        <v>205.62215095734112</v>
      </c>
      <c r="AF78" s="179">
        <f t="shared" ref="AF78:AI78" si="244">AF77*(1+AF86)</f>
        <v>208.80673465839237</v>
      </c>
      <c r="AG78" s="179">
        <f t="shared" si="244"/>
        <v>209.68957527455422</v>
      </c>
      <c r="AH78" s="179">
        <f t="shared" si="244"/>
        <v>205.27835905410302</v>
      </c>
      <c r="AI78" s="179">
        <f t="shared" si="244"/>
        <v>205.76313945693158</v>
      </c>
      <c r="AJ78" s="180">
        <f>AJ91/AJ71*1000</f>
        <v>207.37213996884574</v>
      </c>
      <c r="AK78" s="179">
        <f t="shared" ref="AK78:AN78" si="245">AK77*(1+AK86)</f>
        <v>211.9711069585654</v>
      </c>
      <c r="AL78" s="179">
        <f t="shared" si="245"/>
        <v>212.16211770745926</v>
      </c>
      <c r="AM78" s="179">
        <f t="shared" si="245"/>
        <v>206.43417240587641</v>
      </c>
      <c r="AN78" s="179">
        <f t="shared" si="245"/>
        <v>205.76906204238921</v>
      </c>
      <c r="AO78" s="180">
        <f>AO91/AO71*1000</f>
        <v>209.05756946237622</v>
      </c>
      <c r="AP78" s="179">
        <f t="shared" ref="AP78:AS78" si="246">AP77*(1+AP86)</f>
        <v>182.87766666666667</v>
      </c>
      <c r="AQ78" s="179">
        <f t="shared" si="246"/>
        <v>90.588677210365873</v>
      </c>
      <c r="AR78" s="179">
        <f t="shared" si="246"/>
        <v>156.54272222763115</v>
      </c>
      <c r="AS78" s="179">
        <f t="shared" si="246"/>
        <v>165.21445729405761</v>
      </c>
      <c r="AT78" s="180">
        <f>AT91/AT71*1000</f>
        <v>148.93578716274999</v>
      </c>
      <c r="AU78" s="179">
        <f t="shared" ref="AU78:AX78" si="247">AU77*(1+AU86)</f>
        <v>187.88211526248361</v>
      </c>
      <c r="AV78" s="179">
        <f t="shared" si="247"/>
        <v>228.11664536563686</v>
      </c>
      <c r="AW78" s="179">
        <f t="shared" si="247"/>
        <v>220.24023441021785</v>
      </c>
      <c r="AX78" s="179">
        <f t="shared" si="247"/>
        <v>220.06486496624163</v>
      </c>
      <c r="AY78" s="180">
        <f>AY91/AY71*1000</f>
        <v>214.17898989777331</v>
      </c>
      <c r="AZ78" s="179">
        <f t="shared" ref="AZ78:BC78" si="248">AZ77*(1+AZ86)</f>
        <v>225.07935884988797</v>
      </c>
      <c r="BA78" s="179">
        <f t="shared" si="248"/>
        <v>236.04811482720177</v>
      </c>
      <c r="BB78" s="179">
        <f t="shared" si="248"/>
        <v>222.7865767943473</v>
      </c>
      <c r="BC78" s="179">
        <f t="shared" si="248"/>
        <v>229.0272592592593</v>
      </c>
      <c r="BD78" s="180">
        <f>BD91/BD71*1000</f>
        <v>228.24982720750987</v>
      </c>
      <c r="BE78" s="179">
        <f t="shared" ref="BE78:BH78" si="249">BE77*(1+BE86)</f>
        <v>238.60567712039918</v>
      </c>
      <c r="BF78" s="179">
        <f t="shared" si="249"/>
        <v>240.79342028013801</v>
      </c>
      <c r="BG78" s="179">
        <f t="shared" si="249"/>
        <v>228.4529665747192</v>
      </c>
      <c r="BH78" s="179">
        <f t="shared" si="249"/>
        <v>235.45245626453217</v>
      </c>
      <c r="BI78" s="181">
        <f>BI91/BI71*1000</f>
        <v>235.82049150385109</v>
      </c>
      <c r="BJ78" s="178">
        <f t="shared" ref="BJ78:BM78" si="250">BJ77*(1+BJ86)</f>
        <v>240.87687248812566</v>
      </c>
      <c r="BK78" s="178">
        <f t="shared" si="250"/>
        <v>242.46541768815914</v>
      </c>
      <c r="BL78" s="178">
        <f t="shared" si="250"/>
        <v>231.5563505079825</v>
      </c>
      <c r="BM78" s="178">
        <f t="shared" si="250"/>
        <v>240.37249729226377</v>
      </c>
      <c r="BN78" s="177">
        <f>BN91/BN71*1000</f>
        <v>238.81282932074879</v>
      </c>
      <c r="BO78" s="178">
        <f t="shared" ref="BO78:BR78" si="251">BO77*(1+BO86)</f>
        <v>239.09955405079009</v>
      </c>
      <c r="BP78" s="178">
        <f t="shared" si="251"/>
        <v>242.21670240818213</v>
      </c>
      <c r="BQ78" s="178">
        <f t="shared" si="251"/>
        <v>231.34402387909927</v>
      </c>
      <c r="BR78" s="178">
        <f t="shared" si="251"/>
        <v>240.1520776711636</v>
      </c>
      <c r="BS78" s="177">
        <f>BS91/BS71*1000</f>
        <v>238.19464798344504</v>
      </c>
      <c r="BT78" s="177">
        <f t="shared" ref="BT78:BV78" si="252">BT77*(1+BT86)</f>
        <v>248.81585981392308</v>
      </c>
      <c r="BU78" s="177">
        <f t="shared" si="252"/>
        <v>259.87628730028445</v>
      </c>
      <c r="BV78" s="177">
        <f t="shared" si="252"/>
        <v>271.37110816901355</v>
      </c>
      <c r="BW78" s="179"/>
    </row>
    <row r="79" spans="1:75" ht="15.75" customHeight="1" outlineLevel="1" x14ac:dyDescent="0.2">
      <c r="A79" s="176" t="s">
        <v>533</v>
      </c>
      <c r="B79" s="176"/>
      <c r="C79" s="177"/>
      <c r="D79" s="177"/>
      <c r="E79" s="177"/>
      <c r="F79" s="177"/>
      <c r="G79" s="178"/>
      <c r="H79" s="178"/>
      <c r="I79" s="178"/>
      <c r="J79" s="178"/>
      <c r="K79" s="177"/>
      <c r="L79" s="178"/>
      <c r="M79" s="178"/>
      <c r="N79" s="178"/>
      <c r="O79" s="178"/>
      <c r="P79" s="177"/>
      <c r="Q79" s="179">
        <f t="shared" ref="Q79:BI79" si="253">Q92/Q74*1000</f>
        <v>170.11618973997818</v>
      </c>
      <c r="R79" s="179">
        <f t="shared" si="253"/>
        <v>192.8125094791755</v>
      </c>
      <c r="S79" s="179">
        <f t="shared" si="253"/>
        <v>167.07028781065077</v>
      </c>
      <c r="T79" s="179">
        <f t="shared" si="253"/>
        <v>180.06453403638483</v>
      </c>
      <c r="U79" s="180">
        <f t="shared" si="253"/>
        <v>177.4478113925982</v>
      </c>
      <c r="V79" s="179">
        <f t="shared" si="253"/>
        <v>196.15264081290283</v>
      </c>
      <c r="W79" s="179">
        <f t="shared" si="253"/>
        <v>200.08895525902699</v>
      </c>
      <c r="X79" s="179">
        <f t="shared" si="253"/>
        <v>193.05220985906183</v>
      </c>
      <c r="Y79" s="179">
        <f t="shared" si="253"/>
        <v>235.19330429247739</v>
      </c>
      <c r="Z79" s="180">
        <f t="shared" si="253"/>
        <v>206.41754627215434</v>
      </c>
      <c r="AA79" s="179">
        <f t="shared" si="253"/>
        <v>150.61676879770528</v>
      </c>
      <c r="AB79" s="179">
        <f t="shared" si="253"/>
        <v>178.60262786466916</v>
      </c>
      <c r="AC79" s="179">
        <f t="shared" si="253"/>
        <v>163.1304047133612</v>
      </c>
      <c r="AD79" s="179">
        <f t="shared" si="253"/>
        <v>195.92459013824387</v>
      </c>
      <c r="AE79" s="180">
        <f t="shared" si="253"/>
        <v>170.54709399614654</v>
      </c>
      <c r="AF79" s="179">
        <f t="shared" si="253"/>
        <v>212.58864131697572</v>
      </c>
      <c r="AG79" s="179">
        <f t="shared" si="253"/>
        <v>215.22412297577657</v>
      </c>
      <c r="AH79" s="179">
        <f t="shared" si="253"/>
        <v>211.34844767373647</v>
      </c>
      <c r="AI79" s="179">
        <f t="shared" si="253"/>
        <v>178.67470449336335</v>
      </c>
      <c r="AJ79" s="180">
        <f t="shared" si="253"/>
        <v>204.9704884754442</v>
      </c>
      <c r="AK79" s="179">
        <f t="shared" si="253"/>
        <v>169.48120831296785</v>
      </c>
      <c r="AL79" s="179">
        <f t="shared" si="253"/>
        <v>155.08083348357897</v>
      </c>
      <c r="AM79" s="179">
        <f t="shared" si="253"/>
        <v>116.8117236975806</v>
      </c>
      <c r="AN79" s="179">
        <f t="shared" si="253"/>
        <v>188.45768027271191</v>
      </c>
      <c r="AO79" s="180">
        <f t="shared" si="253"/>
        <v>161.06896256746714</v>
      </c>
      <c r="AP79" s="179">
        <f t="shared" si="253"/>
        <v>177.95566968325804</v>
      </c>
      <c r="AQ79" s="179">
        <f t="shared" si="253"/>
        <v>113.23828862615413</v>
      </c>
      <c r="AR79" s="179">
        <f t="shared" si="253"/>
        <v>160.65462115141318</v>
      </c>
      <c r="AS79" s="179">
        <f t="shared" si="253"/>
        <v>134.80302427932691</v>
      </c>
      <c r="AT79" s="180">
        <f t="shared" si="253"/>
        <v>149.03841182125586</v>
      </c>
      <c r="AU79" s="179">
        <f t="shared" si="253"/>
        <v>130.04665875585118</v>
      </c>
      <c r="AV79" s="179">
        <f t="shared" si="253"/>
        <v>70.514608466102985</v>
      </c>
      <c r="AW79" s="179">
        <f t="shared" si="253"/>
        <v>232.89445252268811</v>
      </c>
      <c r="AX79" s="179">
        <f t="shared" si="253"/>
        <v>232.8299293092501</v>
      </c>
      <c r="AY79" s="180">
        <f t="shared" si="253"/>
        <v>149.60755013300908</v>
      </c>
      <c r="AZ79" s="179">
        <f t="shared" si="253"/>
        <v>255.88483756534796</v>
      </c>
      <c r="BA79" s="179">
        <f t="shared" si="253"/>
        <v>315.5526535117063</v>
      </c>
      <c r="BB79" s="179">
        <f t="shared" si="253"/>
        <v>232.95233722860058</v>
      </c>
      <c r="BC79" s="179">
        <f t="shared" si="253"/>
        <v>261.31023633156963</v>
      </c>
      <c r="BD79" s="180">
        <f t="shared" si="253"/>
        <v>267.14523726199684</v>
      </c>
      <c r="BE79" s="179">
        <f t="shared" si="253"/>
        <v>295.6996550378218</v>
      </c>
      <c r="BF79" s="179">
        <f t="shared" si="253"/>
        <v>129.55027538535114</v>
      </c>
      <c r="BG79" s="179">
        <f t="shared" si="253"/>
        <v>205.73949149893275</v>
      </c>
      <c r="BH79" s="179">
        <f t="shared" si="253"/>
        <v>268.07619181126825</v>
      </c>
      <c r="BI79" s="181">
        <f t="shared" si="253"/>
        <v>230.87635845544361</v>
      </c>
      <c r="BJ79" s="178">
        <f t="shared" ref="BJ79:BM79" si="254">BJ87*BJ78</f>
        <v>192.70149799050054</v>
      </c>
      <c r="BK79" s="178">
        <f t="shared" si="254"/>
        <v>230.34214680375118</v>
      </c>
      <c r="BL79" s="178">
        <f t="shared" si="254"/>
        <v>219.97853298258337</v>
      </c>
      <c r="BM79" s="178">
        <f t="shared" si="254"/>
        <v>228.35387242765057</v>
      </c>
      <c r="BN79" s="177">
        <f>BN92/BN74*1000</f>
        <v>217.28002904561973</v>
      </c>
      <c r="BO79" s="178">
        <f t="shared" ref="BO79:BR79" si="255">BO87*BO78</f>
        <v>227.14457634825058</v>
      </c>
      <c r="BP79" s="178">
        <f t="shared" si="255"/>
        <v>230.10586728777301</v>
      </c>
      <c r="BQ79" s="178">
        <f t="shared" si="255"/>
        <v>219.77682268514428</v>
      </c>
      <c r="BR79" s="178">
        <f t="shared" si="255"/>
        <v>228.14447378760539</v>
      </c>
      <c r="BS79" s="177">
        <f>BS92/BS74*1000</f>
        <v>226.54578760435172</v>
      </c>
      <c r="BT79" s="177">
        <f t="shared" ref="BT79:BV79" si="256">BT87*BT78</f>
        <v>236.37506682322692</v>
      </c>
      <c r="BU79" s="177">
        <f t="shared" si="256"/>
        <v>246.88247293527021</v>
      </c>
      <c r="BV79" s="177">
        <f t="shared" si="256"/>
        <v>257.80255276056289</v>
      </c>
      <c r="BW79" s="179"/>
    </row>
    <row r="80" spans="1:75" ht="15.75" customHeight="1" outlineLevel="1" x14ac:dyDescent="0.2">
      <c r="A80" s="182" t="s">
        <v>534</v>
      </c>
      <c r="B80" s="182"/>
      <c r="C80" s="183"/>
      <c r="D80" s="183"/>
      <c r="E80" s="183"/>
      <c r="F80" s="183"/>
      <c r="G80" s="184">
        <f t="shared" ref="G80:BV80" si="257">G93/G75*1000</f>
        <v>195.89316239316241</v>
      </c>
      <c r="H80" s="184">
        <f t="shared" si="257"/>
        <v>201.11005917159764</v>
      </c>
      <c r="I80" s="184">
        <f t="shared" si="257"/>
        <v>199.38273921200749</v>
      </c>
      <c r="J80" s="184">
        <f t="shared" si="257"/>
        <v>196.60706860706858</v>
      </c>
      <c r="K80" s="183">
        <f t="shared" si="257"/>
        <v>198.24263065179096</v>
      </c>
      <c r="L80" s="184">
        <f t="shared" si="257"/>
        <v>199.31796393517462</v>
      </c>
      <c r="M80" s="184">
        <f t="shared" si="257"/>
        <v>204.88041751758564</v>
      </c>
      <c r="N80" s="185">
        <f t="shared" si="257"/>
        <v>204.35042735042737</v>
      </c>
      <c r="O80" s="185">
        <f t="shared" si="257"/>
        <v>198.5739475424289</v>
      </c>
      <c r="P80" s="186">
        <f t="shared" si="257"/>
        <v>201.75512041413461</v>
      </c>
      <c r="Q80" s="185">
        <f t="shared" si="257"/>
        <v>205.48326814428512</v>
      </c>
      <c r="R80" s="185">
        <f t="shared" si="257"/>
        <v>209.21428571428572</v>
      </c>
      <c r="S80" s="185">
        <f t="shared" si="257"/>
        <v>205.9400684931507</v>
      </c>
      <c r="T80" s="185">
        <f t="shared" si="257"/>
        <v>199.07268170426065</v>
      </c>
      <c r="U80" s="186">
        <f t="shared" si="257"/>
        <v>204.87720800770796</v>
      </c>
      <c r="V80" s="185">
        <f t="shared" si="257"/>
        <v>207.84729064039408</v>
      </c>
      <c r="W80" s="185">
        <f t="shared" si="257"/>
        <v>209.11683006535947</v>
      </c>
      <c r="X80" s="185">
        <f t="shared" si="257"/>
        <v>208.4004884004884</v>
      </c>
      <c r="Y80" s="185">
        <f t="shared" si="257"/>
        <v>203.64646840148697</v>
      </c>
      <c r="Z80" s="186">
        <f t="shared" si="257"/>
        <v>207.16608513607818</v>
      </c>
      <c r="AA80" s="185">
        <f t="shared" si="257"/>
        <v>204.29579698651864</v>
      </c>
      <c r="AB80" s="185">
        <f t="shared" si="257"/>
        <v>206.68573698847834</v>
      </c>
      <c r="AC80" s="185">
        <f t="shared" si="257"/>
        <v>202.13938669852649</v>
      </c>
      <c r="AD80" s="185">
        <f t="shared" si="257"/>
        <v>201.71708463949844</v>
      </c>
      <c r="AE80" s="186">
        <f t="shared" si="257"/>
        <v>203.70382102553947</v>
      </c>
      <c r="AF80" s="185">
        <f t="shared" si="257"/>
        <v>209.03478933127175</v>
      </c>
      <c r="AG80" s="185">
        <f t="shared" si="257"/>
        <v>209.95429899302863</v>
      </c>
      <c r="AH80" s="185">
        <f t="shared" si="257"/>
        <v>205.50775193798452</v>
      </c>
      <c r="AI80" s="185">
        <f t="shared" si="257"/>
        <v>204.54181117533719</v>
      </c>
      <c r="AJ80" s="186">
        <f t="shared" si="257"/>
        <v>205.65999613302398</v>
      </c>
      <c r="AK80" s="185">
        <f t="shared" si="257"/>
        <v>209.96287791810181</v>
      </c>
      <c r="AL80" s="185">
        <f t="shared" si="257"/>
        <v>210.18254573170734</v>
      </c>
      <c r="AM80" s="185">
        <f t="shared" si="257"/>
        <v>203.99581430745815</v>
      </c>
      <c r="AN80" s="185">
        <f t="shared" si="257"/>
        <v>205.1333333333333</v>
      </c>
      <c r="AO80" s="186">
        <f t="shared" si="257"/>
        <v>207.30817490494297</v>
      </c>
      <c r="AP80" s="185">
        <f t="shared" si="257"/>
        <v>182.67427075542258</v>
      </c>
      <c r="AQ80" s="185">
        <f t="shared" si="257"/>
        <v>91.313636363636377</v>
      </c>
      <c r="AR80" s="185">
        <f t="shared" si="257"/>
        <v>156.64312546957174</v>
      </c>
      <c r="AS80" s="185">
        <f t="shared" si="257"/>
        <v>164.47299324831212</v>
      </c>
      <c r="AT80" s="186">
        <f t="shared" si="257"/>
        <v>148.93892125540313</v>
      </c>
      <c r="AU80" s="185">
        <f t="shared" si="257"/>
        <v>186.4783420463032</v>
      </c>
      <c r="AV80" s="185">
        <f t="shared" si="257"/>
        <v>225.45187662578968</v>
      </c>
      <c r="AW80" s="185">
        <f t="shared" si="257"/>
        <v>220.36258832279657</v>
      </c>
      <c r="AX80" s="185">
        <f t="shared" si="257"/>
        <v>220.21851851851855</v>
      </c>
      <c r="AY80" s="186">
        <f t="shared" si="257"/>
        <v>213.16462167689158</v>
      </c>
      <c r="AZ80" s="185">
        <f t="shared" si="257"/>
        <v>225.52366863905326</v>
      </c>
      <c r="BA80" s="185">
        <f t="shared" si="257"/>
        <v>237.00369822485203</v>
      </c>
      <c r="BB80" s="185">
        <f t="shared" si="257"/>
        <v>222.88428835489836</v>
      </c>
      <c r="BC80" s="185">
        <f t="shared" si="257"/>
        <v>229.48860156515823</v>
      </c>
      <c r="BD80" s="186">
        <f t="shared" si="257"/>
        <v>228.74077090119434</v>
      </c>
      <c r="BE80" s="185">
        <f t="shared" si="257"/>
        <v>239.67848008768723</v>
      </c>
      <c r="BF80" s="185">
        <f t="shared" si="257"/>
        <v>238.65435259692757</v>
      </c>
      <c r="BG80" s="185">
        <f t="shared" si="257"/>
        <v>227.91727140783743</v>
      </c>
      <c r="BH80" s="185">
        <f t="shared" si="257"/>
        <v>236.59540064678393</v>
      </c>
      <c r="BI80" s="187">
        <f t="shared" si="257"/>
        <v>235.7008174386921</v>
      </c>
      <c r="BJ80" s="184">
        <f t="shared" si="257"/>
        <v>238.87420103094956</v>
      </c>
      <c r="BK80" s="184">
        <f t="shared" si="257"/>
        <v>241.99054302218008</v>
      </c>
      <c r="BL80" s="184">
        <f t="shared" si="257"/>
        <v>231.12951852547934</v>
      </c>
      <c r="BM80" s="184">
        <f t="shared" si="257"/>
        <v>239.93043292942741</v>
      </c>
      <c r="BN80" s="183">
        <f t="shared" si="257"/>
        <v>237.98178230552199</v>
      </c>
      <c r="BO80" s="184">
        <f t="shared" si="257"/>
        <v>238.6892001250736</v>
      </c>
      <c r="BP80" s="184">
        <f t="shared" si="257"/>
        <v>241.88489870625313</v>
      </c>
      <c r="BQ80" s="184">
        <f t="shared" si="257"/>
        <v>231.08053410247163</v>
      </c>
      <c r="BR80" s="184">
        <f t="shared" si="257"/>
        <v>239.87979640396273</v>
      </c>
      <c r="BS80" s="183">
        <f t="shared" si="257"/>
        <v>237.8826842012129</v>
      </c>
      <c r="BT80" s="183">
        <f t="shared" si="257"/>
        <v>248.46020934165543</v>
      </c>
      <c r="BU80" s="183">
        <f t="shared" si="257"/>
        <v>259.45413143710397</v>
      </c>
      <c r="BV80" s="183">
        <f t="shared" si="257"/>
        <v>270.93057065575215</v>
      </c>
      <c r="BW80" s="188"/>
    </row>
    <row r="81" spans="1:75" ht="15.75" customHeight="1" outlineLevel="1" x14ac:dyDescent="0.2">
      <c r="A81" s="47"/>
      <c r="B81" s="47"/>
      <c r="C81" s="189"/>
      <c r="D81" s="189"/>
      <c r="E81" s="189"/>
      <c r="F81" s="189"/>
      <c r="G81" s="39"/>
      <c r="H81" s="39"/>
      <c r="I81" s="39"/>
      <c r="J81" s="39"/>
      <c r="K81" s="189"/>
      <c r="L81" s="39"/>
      <c r="M81" s="39"/>
      <c r="N81" s="39"/>
      <c r="O81" s="39"/>
      <c r="P81" s="189"/>
      <c r="Q81" s="39"/>
      <c r="R81" s="39"/>
      <c r="S81" s="39"/>
      <c r="T81" s="39"/>
      <c r="U81" s="189"/>
      <c r="V81" s="39"/>
      <c r="W81" s="39"/>
      <c r="X81" s="39"/>
      <c r="Y81" s="39"/>
      <c r="Z81" s="189"/>
      <c r="AA81" s="39"/>
      <c r="AB81" s="39"/>
      <c r="AC81" s="39"/>
      <c r="AD81" s="39"/>
      <c r="AE81" s="189"/>
      <c r="AF81" s="39"/>
      <c r="AG81" s="39"/>
      <c r="AH81" s="39"/>
      <c r="AI81" s="39"/>
      <c r="AJ81" s="189"/>
      <c r="AK81" s="39"/>
      <c r="AL81" s="39"/>
      <c r="AM81" s="39"/>
      <c r="AN81" s="39"/>
      <c r="AO81" s="189"/>
      <c r="AP81" s="39"/>
      <c r="AQ81" s="39"/>
      <c r="AR81" s="39"/>
      <c r="AS81" s="39"/>
      <c r="AT81" s="189"/>
      <c r="AU81" s="39"/>
      <c r="AV81" s="39"/>
      <c r="AW81" s="39"/>
      <c r="AX81" s="39"/>
      <c r="AY81" s="189"/>
      <c r="AZ81" s="39"/>
      <c r="BA81" s="39"/>
      <c r="BB81" s="39"/>
      <c r="BC81" s="39"/>
      <c r="BD81" s="189"/>
      <c r="BE81" s="39"/>
      <c r="BF81" s="39"/>
      <c r="BG81" s="39"/>
      <c r="BH81" s="39"/>
      <c r="BI81" s="190"/>
      <c r="BJ81" s="39"/>
      <c r="BK81" s="39"/>
      <c r="BL81" s="39"/>
      <c r="BM81" s="39"/>
      <c r="BN81" s="189"/>
      <c r="BO81" s="39"/>
      <c r="BP81" s="39"/>
      <c r="BQ81" s="39"/>
      <c r="BR81" s="39"/>
      <c r="BS81" s="189"/>
      <c r="BT81" s="189"/>
      <c r="BU81" s="189"/>
      <c r="BV81" s="189"/>
      <c r="BW81" s="45"/>
    </row>
    <row r="82" spans="1:75" ht="15.75" customHeight="1" outlineLevel="1" x14ac:dyDescent="0.2">
      <c r="A82" s="38" t="s">
        <v>535</v>
      </c>
      <c r="B82" s="39"/>
      <c r="C82" s="40"/>
      <c r="D82" s="40"/>
      <c r="E82" s="40"/>
      <c r="F82" s="40"/>
      <c r="G82" s="41"/>
      <c r="H82" s="41"/>
      <c r="I82" s="41"/>
      <c r="J82" s="41"/>
      <c r="K82" s="43">
        <f t="shared" ref="K82:K83" si="258">K16</f>
        <v>1.7999999999999999E-2</v>
      </c>
      <c r="L82" s="41"/>
      <c r="M82" s="41"/>
      <c r="N82" s="41"/>
      <c r="O82" s="41"/>
      <c r="P82" s="43">
        <f t="shared" ref="P82:BI83" si="259">P16</f>
        <v>0.02</v>
      </c>
      <c r="Q82" s="42">
        <f t="shared" si="259"/>
        <v>0.02</v>
      </c>
      <c r="R82" s="42">
        <f t="shared" si="259"/>
        <v>0.02</v>
      </c>
      <c r="S82" s="42">
        <f t="shared" si="259"/>
        <v>2.1000000000000001E-2</v>
      </c>
      <c r="T82" s="42">
        <f t="shared" si="259"/>
        <v>2.5000000000000001E-2</v>
      </c>
      <c r="U82" s="43">
        <f t="shared" si="259"/>
        <v>2.1999999999999999E-2</v>
      </c>
      <c r="V82" s="42">
        <f t="shared" si="259"/>
        <v>2.7E-2</v>
      </c>
      <c r="W82" s="42">
        <f t="shared" si="259"/>
        <v>2.9000000000000001E-2</v>
      </c>
      <c r="X82" s="42">
        <f t="shared" si="259"/>
        <v>2.5999999999999999E-2</v>
      </c>
      <c r="Y82" s="42">
        <f t="shared" si="259"/>
        <v>2.5000000000000001E-2</v>
      </c>
      <c r="Z82" s="43">
        <f t="shared" si="259"/>
        <v>2.7E-2</v>
      </c>
      <c r="AA82" s="42">
        <f t="shared" si="259"/>
        <v>2.4E-2</v>
      </c>
      <c r="AB82" s="42">
        <f t="shared" si="259"/>
        <v>2.1999999999999999E-2</v>
      </c>
      <c r="AC82" s="42">
        <f t="shared" si="259"/>
        <v>2.4E-2</v>
      </c>
      <c r="AD82" s="42">
        <f t="shared" si="259"/>
        <v>2.5000000000000001E-2</v>
      </c>
      <c r="AE82" s="43">
        <f t="shared" si="259"/>
        <v>2.4E-2</v>
      </c>
      <c r="AF82" s="42">
        <f t="shared" si="259"/>
        <v>2.7E-2</v>
      </c>
      <c r="AG82" s="42">
        <f t="shared" si="259"/>
        <v>2.9000000000000001E-2</v>
      </c>
      <c r="AH82" s="42">
        <f t="shared" si="259"/>
        <v>2.9000000000000001E-2</v>
      </c>
      <c r="AI82" s="42">
        <f t="shared" si="259"/>
        <v>2.9000000000000001E-2</v>
      </c>
      <c r="AJ82" s="43">
        <f t="shared" si="259"/>
        <v>2.8000000000000001E-2</v>
      </c>
      <c r="AK82" s="42">
        <f t="shared" si="259"/>
        <v>0.03</v>
      </c>
      <c r="AL82" s="42">
        <f t="shared" si="259"/>
        <v>3.1E-2</v>
      </c>
      <c r="AM82" s="42">
        <f t="shared" si="259"/>
        <v>3.2000000000000001E-2</v>
      </c>
      <c r="AN82" s="42">
        <f t="shared" si="259"/>
        <v>3.2000000000000001E-2</v>
      </c>
      <c r="AO82" s="43">
        <f t="shared" si="259"/>
        <v>3.1E-2</v>
      </c>
      <c r="AP82" s="42">
        <f t="shared" si="259"/>
        <v>3.2000000000000001E-2</v>
      </c>
      <c r="AQ82" s="42">
        <f t="shared" si="259"/>
        <v>3.1E-2</v>
      </c>
      <c r="AR82" s="42">
        <f t="shared" si="259"/>
        <v>0.03</v>
      </c>
      <c r="AS82" s="42">
        <f t="shared" si="259"/>
        <v>3.0836968197315771E-2</v>
      </c>
      <c r="AT82" s="43">
        <f t="shared" si="259"/>
        <v>3.1E-2</v>
      </c>
      <c r="AU82" s="42">
        <f t="shared" si="259"/>
        <v>0.03</v>
      </c>
      <c r="AV82" s="42">
        <f t="shared" si="259"/>
        <v>0.03</v>
      </c>
      <c r="AW82" s="42">
        <f t="shared" si="259"/>
        <v>0.03</v>
      </c>
      <c r="AX82" s="41">
        <f t="shared" si="259"/>
        <v>2.9999999999999978E-2</v>
      </c>
      <c r="AY82" s="40">
        <f t="shared" si="259"/>
        <v>0.03</v>
      </c>
      <c r="AZ82" s="42">
        <f t="shared" si="259"/>
        <v>3.5999999999999997E-2</v>
      </c>
      <c r="BA82" s="42">
        <f t="shared" si="259"/>
        <v>4.7E-2</v>
      </c>
      <c r="BB82" s="42">
        <f t="shared" si="259"/>
        <v>0.06</v>
      </c>
      <c r="BC82" s="41">
        <f t="shared" si="259"/>
        <v>9.0303476671208513E-2</v>
      </c>
      <c r="BD82" s="40">
        <f t="shared" si="259"/>
        <v>5.8999999999999997E-2</v>
      </c>
      <c r="BE82" s="42">
        <f t="shared" si="259"/>
        <v>0.104</v>
      </c>
      <c r="BF82" s="42">
        <f t="shared" si="259"/>
        <v>0.106</v>
      </c>
      <c r="BG82" s="42">
        <f t="shared" si="259"/>
        <v>9.5000000000000001E-2</v>
      </c>
      <c r="BH82" s="41">
        <f t="shared" si="259"/>
        <v>7.1191850496244907E-2</v>
      </c>
      <c r="BI82" s="46">
        <f t="shared" si="259"/>
        <v>9.4E-2</v>
      </c>
      <c r="BJ82" s="48">
        <v>4.4999999999999998E-2</v>
      </c>
      <c r="BK82" s="48">
        <v>4.4999999999999998E-2</v>
      </c>
      <c r="BL82" s="48">
        <v>4.4999999999999998E-2</v>
      </c>
      <c r="BM82" s="48">
        <v>4.4999999999999998E-2</v>
      </c>
      <c r="BN82" s="40">
        <f>SUM(BJ82*BJ77*BJ71,BK82*BK77*BK71,BL82*BL77*BL71,BM82*BM77*BM71)/(BN71*BN77)</f>
        <v>4.4989516544019698E-2</v>
      </c>
      <c r="BO82" s="48">
        <v>0.03</v>
      </c>
      <c r="BP82" s="48">
        <v>0.03</v>
      </c>
      <c r="BQ82" s="48">
        <v>0.03</v>
      </c>
      <c r="BR82" s="48">
        <v>0.03</v>
      </c>
      <c r="BS82" s="40">
        <f>SUM(BO82*BO77*BO71,BP82*BP77*BP71,BQ82*BQ77*BQ71,BR82*BR77*BR71)/(BS71*BS77)</f>
        <v>2.9998862894404076E-2</v>
      </c>
      <c r="BT82" s="49">
        <v>0.03</v>
      </c>
      <c r="BU82" s="49">
        <v>0.03</v>
      </c>
      <c r="BV82" s="49">
        <v>0.03</v>
      </c>
      <c r="BW82" s="45"/>
    </row>
    <row r="83" spans="1:75" ht="15.75" customHeight="1" outlineLevel="1" x14ac:dyDescent="0.2">
      <c r="A83" s="50" t="s">
        <v>536</v>
      </c>
      <c r="B83" s="51"/>
      <c r="C83" s="52"/>
      <c r="D83" s="52"/>
      <c r="E83" s="52"/>
      <c r="F83" s="52"/>
      <c r="G83" s="53"/>
      <c r="H83" s="53"/>
      <c r="I83" s="53"/>
      <c r="J83" s="53"/>
      <c r="K83" s="55">
        <f t="shared" si="258"/>
        <v>0</v>
      </c>
      <c r="L83" s="53"/>
      <c r="M83" s="53"/>
      <c r="N83" s="53"/>
      <c r="O83" s="53"/>
      <c r="P83" s="55">
        <f t="shared" si="259"/>
        <v>5.0000000000000001E-3</v>
      </c>
      <c r="Q83" s="54">
        <f t="shared" si="259"/>
        <v>1.2999999999999999E-2</v>
      </c>
      <c r="R83" s="54">
        <f t="shared" si="259"/>
        <v>0.01</v>
      </c>
      <c r="S83" s="54">
        <f t="shared" si="259"/>
        <v>6.0000000000000001E-3</v>
      </c>
      <c r="T83" s="54">
        <f t="shared" si="259"/>
        <v>5.0000000000000001E-3</v>
      </c>
      <c r="U83" s="55">
        <f t="shared" si="259"/>
        <v>8.0000000000000002E-3</v>
      </c>
      <c r="V83" s="54">
        <f t="shared" si="259"/>
        <v>-5.0000000000000001E-3</v>
      </c>
      <c r="W83" s="54">
        <f t="shared" si="259"/>
        <v>1E-3</v>
      </c>
      <c r="X83" s="54">
        <f t="shared" si="259"/>
        <v>5.0000000000000001E-3</v>
      </c>
      <c r="Y83" s="54">
        <f t="shared" si="259"/>
        <v>4.0000000000000001E-3</v>
      </c>
      <c r="Z83" s="55">
        <f t="shared" si="259"/>
        <v>1E-3</v>
      </c>
      <c r="AA83" s="54">
        <f t="shared" si="259"/>
        <v>2E-3</v>
      </c>
      <c r="AB83" s="54">
        <f t="shared" si="259"/>
        <v>-3.0000000000000001E-3</v>
      </c>
      <c r="AC83" s="54">
        <f t="shared" si="259"/>
        <v>-4.0000000000000001E-3</v>
      </c>
      <c r="AD83" s="54">
        <f t="shared" si="259"/>
        <v>-6.0000000000000001E-3</v>
      </c>
      <c r="AE83" s="55">
        <f t="shared" si="259"/>
        <v>-3.0000000000000001E-3</v>
      </c>
      <c r="AF83" s="54">
        <f t="shared" si="259"/>
        <v>0</v>
      </c>
      <c r="AG83" s="54">
        <f t="shared" si="259"/>
        <v>6.0000000000000001E-3</v>
      </c>
      <c r="AH83" s="54">
        <f t="shared" si="259"/>
        <v>6.0000000000000001E-3</v>
      </c>
      <c r="AI83" s="54">
        <f t="shared" si="259"/>
        <v>6.0000000000000001E-3</v>
      </c>
      <c r="AJ83" s="55">
        <f t="shared" si="259"/>
        <v>5.0000000000000001E-3</v>
      </c>
      <c r="AK83" s="54">
        <f t="shared" si="259"/>
        <v>8.0000000000000002E-3</v>
      </c>
      <c r="AL83" s="54">
        <f t="shared" si="259"/>
        <v>7.0000000000000001E-3</v>
      </c>
      <c r="AM83" s="54">
        <f t="shared" si="259"/>
        <v>8.9999999999999993E-3</v>
      </c>
      <c r="AN83" s="54">
        <f t="shared" si="259"/>
        <v>1.2E-2</v>
      </c>
      <c r="AO83" s="55">
        <f t="shared" si="259"/>
        <v>8.9999999999999993E-3</v>
      </c>
      <c r="AP83" s="54">
        <f t="shared" si="259"/>
        <v>1.9E-2</v>
      </c>
      <c r="AQ83" s="54">
        <f t="shared" si="259"/>
        <v>0.11700000000000001</v>
      </c>
      <c r="AR83" s="54">
        <f t="shared" si="259"/>
        <v>0.14099999999999999</v>
      </c>
      <c r="AS83" s="54">
        <f t="shared" si="259"/>
        <v>0.14912748896769557</v>
      </c>
      <c r="AT83" s="55">
        <f t="shared" si="259"/>
        <v>0.10199999999999999</v>
      </c>
      <c r="AU83" s="54">
        <f t="shared" si="259"/>
        <v>0.16600000000000001</v>
      </c>
      <c r="AV83" s="54">
        <f t="shared" si="259"/>
        <v>-0.55700000000000005</v>
      </c>
      <c r="AW83" s="54">
        <f t="shared" si="259"/>
        <v>2.1000000000000001E-2</v>
      </c>
      <c r="AX83" s="53">
        <f t="shared" si="259"/>
        <v>0.39255917186632799</v>
      </c>
      <c r="AY83" s="52">
        <f t="shared" si="259"/>
        <v>-4.0000000000000001E-3</v>
      </c>
      <c r="AZ83" s="54">
        <f t="shared" si="259"/>
        <v>-8.2000000000000003E-2</v>
      </c>
      <c r="BA83" s="54">
        <f t="shared" si="259"/>
        <v>-5.7000000000000002E-2</v>
      </c>
      <c r="BB83" s="54">
        <f t="shared" si="259"/>
        <v>-0.05</v>
      </c>
      <c r="BC83" s="53">
        <f t="shared" si="259"/>
        <v>-4.0653631682498935E-2</v>
      </c>
      <c r="BD83" s="52">
        <f t="shared" si="259"/>
        <v>-5.7000000000000002E-2</v>
      </c>
      <c r="BE83" s="54">
        <f t="shared" si="259"/>
        <v>-5.7000000000000002E-2</v>
      </c>
      <c r="BF83" s="54">
        <f t="shared" si="259"/>
        <v>-5.3999999999999999E-2</v>
      </c>
      <c r="BG83" s="54">
        <f t="shared" si="259"/>
        <v>-6.0999999999999999E-2</v>
      </c>
      <c r="BH83" s="53">
        <f t="shared" si="259"/>
        <v>-4.433331561481977E-2</v>
      </c>
      <c r="BI83" s="58">
        <f t="shared" si="259"/>
        <v>-5.3999999999999999E-2</v>
      </c>
      <c r="BJ83" s="73">
        <v>-0.02</v>
      </c>
      <c r="BK83" s="73">
        <v>-0.01</v>
      </c>
      <c r="BL83" s="73">
        <v>-0.01</v>
      </c>
      <c r="BM83" s="73">
        <v>-0.01</v>
      </c>
      <c r="BN83" s="52">
        <f>SUM(BJ83*BJ77*BJ71,BK83*BK77*BK71,BL83*BL77*BL71,BM83*BM77*BM71)/(BN71*BN77)</f>
        <v>-1.2523741366712882E-2</v>
      </c>
      <c r="BO83" s="73">
        <v>-0.01</v>
      </c>
      <c r="BP83" s="73">
        <v>-0.01</v>
      </c>
      <c r="BQ83" s="73">
        <v>-0.01</v>
      </c>
      <c r="BR83" s="73">
        <v>-0.01</v>
      </c>
      <c r="BS83" s="52">
        <f>SUM(BO83*BO77*BO71,BP83*BP77*BP71,BQ83*BQ77*BQ71,BR83*BR77*BR71)/(BS71*BS77)</f>
        <v>-9.9996209648013593E-3</v>
      </c>
      <c r="BT83" s="72">
        <v>5.0000000000000001E-3</v>
      </c>
      <c r="BU83" s="72">
        <v>5.0000000000000001E-3</v>
      </c>
      <c r="BV83" s="72">
        <v>5.0000000000000001E-3</v>
      </c>
      <c r="BW83" s="45"/>
    </row>
    <row r="84" spans="1:75" ht="15.75" customHeight="1" outlineLevel="1" x14ac:dyDescent="0.2">
      <c r="A84" s="191" t="s">
        <v>537</v>
      </c>
      <c r="B84" s="76"/>
      <c r="C84" s="77"/>
      <c r="D84" s="77"/>
      <c r="E84" s="77"/>
      <c r="F84" s="77"/>
      <c r="G84" s="78"/>
      <c r="H84" s="78"/>
      <c r="I84" s="78"/>
      <c r="J84" s="78"/>
      <c r="K84" s="192">
        <f>K82+K83</f>
        <v>1.7999999999999999E-2</v>
      </c>
      <c r="L84" s="78"/>
      <c r="M84" s="78"/>
      <c r="N84" s="78"/>
      <c r="O84" s="78"/>
      <c r="P84" s="192">
        <f t="shared" ref="P84:BV84" si="260">P82+P83</f>
        <v>2.5000000000000001E-2</v>
      </c>
      <c r="Q84" s="193">
        <f t="shared" si="260"/>
        <v>3.3000000000000002E-2</v>
      </c>
      <c r="R84" s="193">
        <f t="shared" si="260"/>
        <v>0.03</v>
      </c>
      <c r="S84" s="193">
        <f t="shared" si="260"/>
        <v>2.7000000000000003E-2</v>
      </c>
      <c r="T84" s="193">
        <f t="shared" si="260"/>
        <v>3.0000000000000002E-2</v>
      </c>
      <c r="U84" s="192">
        <f t="shared" si="260"/>
        <v>0.03</v>
      </c>
      <c r="V84" s="193">
        <f t="shared" si="260"/>
        <v>2.1999999999999999E-2</v>
      </c>
      <c r="W84" s="193">
        <f t="shared" si="260"/>
        <v>3.0000000000000002E-2</v>
      </c>
      <c r="X84" s="193">
        <f t="shared" si="260"/>
        <v>3.1E-2</v>
      </c>
      <c r="Y84" s="193">
        <f t="shared" si="260"/>
        <v>2.9000000000000001E-2</v>
      </c>
      <c r="Z84" s="192">
        <f t="shared" si="260"/>
        <v>2.8000000000000001E-2</v>
      </c>
      <c r="AA84" s="193">
        <f t="shared" si="260"/>
        <v>2.6000000000000002E-2</v>
      </c>
      <c r="AB84" s="193">
        <f t="shared" si="260"/>
        <v>1.9E-2</v>
      </c>
      <c r="AC84" s="193">
        <f t="shared" si="260"/>
        <v>0.02</v>
      </c>
      <c r="AD84" s="193">
        <f t="shared" si="260"/>
        <v>1.9000000000000003E-2</v>
      </c>
      <c r="AE84" s="192">
        <f t="shared" si="260"/>
        <v>2.1000000000000001E-2</v>
      </c>
      <c r="AF84" s="193">
        <f t="shared" si="260"/>
        <v>2.7E-2</v>
      </c>
      <c r="AG84" s="193">
        <f t="shared" si="260"/>
        <v>3.5000000000000003E-2</v>
      </c>
      <c r="AH84" s="193">
        <f t="shared" si="260"/>
        <v>3.5000000000000003E-2</v>
      </c>
      <c r="AI84" s="193">
        <f t="shared" si="260"/>
        <v>3.5000000000000003E-2</v>
      </c>
      <c r="AJ84" s="192">
        <f t="shared" si="260"/>
        <v>3.3000000000000002E-2</v>
      </c>
      <c r="AK84" s="193">
        <f t="shared" si="260"/>
        <v>3.7999999999999999E-2</v>
      </c>
      <c r="AL84" s="193">
        <f t="shared" si="260"/>
        <v>3.7999999999999999E-2</v>
      </c>
      <c r="AM84" s="193">
        <f t="shared" si="260"/>
        <v>4.1000000000000002E-2</v>
      </c>
      <c r="AN84" s="193">
        <f t="shared" si="260"/>
        <v>4.3999999999999997E-2</v>
      </c>
      <c r="AO84" s="192">
        <f t="shared" si="260"/>
        <v>0.04</v>
      </c>
      <c r="AP84" s="193">
        <f t="shared" si="260"/>
        <v>5.1000000000000004E-2</v>
      </c>
      <c r="AQ84" s="193">
        <f t="shared" si="260"/>
        <v>0.14800000000000002</v>
      </c>
      <c r="AR84" s="193">
        <f t="shared" si="260"/>
        <v>0.17099999999999999</v>
      </c>
      <c r="AS84" s="193">
        <f t="shared" si="260"/>
        <v>0.17996445716501133</v>
      </c>
      <c r="AT84" s="192">
        <f t="shared" si="260"/>
        <v>0.13300000000000001</v>
      </c>
      <c r="AU84" s="193">
        <f t="shared" si="260"/>
        <v>0.19600000000000001</v>
      </c>
      <c r="AV84" s="193">
        <f t="shared" si="260"/>
        <v>-0.52700000000000002</v>
      </c>
      <c r="AW84" s="193">
        <f t="shared" si="260"/>
        <v>5.1000000000000004E-2</v>
      </c>
      <c r="AX84" s="78">
        <f t="shared" si="260"/>
        <v>0.42255917186632797</v>
      </c>
      <c r="AY84" s="77">
        <f t="shared" si="260"/>
        <v>2.5999999999999999E-2</v>
      </c>
      <c r="AZ84" s="193">
        <f t="shared" si="260"/>
        <v>-4.6000000000000006E-2</v>
      </c>
      <c r="BA84" s="193">
        <f t="shared" si="260"/>
        <v>-1.0000000000000002E-2</v>
      </c>
      <c r="BB84" s="193">
        <f t="shared" si="260"/>
        <v>9.999999999999995E-3</v>
      </c>
      <c r="BC84" s="78">
        <f t="shared" si="260"/>
        <v>4.9649844988709578E-2</v>
      </c>
      <c r="BD84" s="77">
        <f t="shared" si="260"/>
        <v>1.9999999999999948E-3</v>
      </c>
      <c r="BE84" s="193">
        <f t="shared" si="260"/>
        <v>4.6999999999999993E-2</v>
      </c>
      <c r="BF84" s="193">
        <f t="shared" si="260"/>
        <v>5.1999999999999998E-2</v>
      </c>
      <c r="BG84" s="193">
        <f t="shared" si="260"/>
        <v>3.4000000000000002E-2</v>
      </c>
      <c r="BH84" s="78">
        <f t="shared" si="260"/>
        <v>2.6858534881425138E-2</v>
      </c>
      <c r="BI84" s="79">
        <f t="shared" si="260"/>
        <v>0.04</v>
      </c>
      <c r="BJ84" s="78">
        <f t="shared" si="260"/>
        <v>2.4999999999999998E-2</v>
      </c>
      <c r="BK84" s="78">
        <f t="shared" si="260"/>
        <v>3.4999999999999996E-2</v>
      </c>
      <c r="BL84" s="78">
        <f t="shared" si="260"/>
        <v>3.4999999999999996E-2</v>
      </c>
      <c r="BM84" s="78">
        <f t="shared" si="260"/>
        <v>3.4999999999999996E-2</v>
      </c>
      <c r="BN84" s="77">
        <f t="shared" si="260"/>
        <v>3.2465775177306817E-2</v>
      </c>
      <c r="BO84" s="78">
        <f t="shared" si="260"/>
        <v>1.9999999999999997E-2</v>
      </c>
      <c r="BP84" s="78">
        <f t="shared" si="260"/>
        <v>1.9999999999999997E-2</v>
      </c>
      <c r="BQ84" s="78">
        <f t="shared" si="260"/>
        <v>1.9999999999999997E-2</v>
      </c>
      <c r="BR84" s="78">
        <f t="shared" si="260"/>
        <v>1.9999999999999997E-2</v>
      </c>
      <c r="BS84" s="77">
        <f t="shared" si="260"/>
        <v>1.9999241929602715E-2</v>
      </c>
      <c r="BT84" s="77">
        <f t="shared" si="260"/>
        <v>3.4999999999999996E-2</v>
      </c>
      <c r="BU84" s="77">
        <f t="shared" si="260"/>
        <v>3.4999999999999996E-2</v>
      </c>
      <c r="BV84" s="77">
        <f t="shared" si="260"/>
        <v>3.4999999999999996E-2</v>
      </c>
      <c r="BW84" s="45"/>
    </row>
    <row r="85" spans="1:75" ht="15.75" customHeight="1" outlineLevel="1" x14ac:dyDescent="0.2">
      <c r="A85" s="50" t="s">
        <v>538</v>
      </c>
      <c r="B85" s="51"/>
      <c r="C85" s="52"/>
      <c r="D85" s="52"/>
      <c r="E85" s="52"/>
      <c r="F85" s="52"/>
      <c r="G85" s="53"/>
      <c r="H85" s="53"/>
      <c r="I85" s="53"/>
      <c r="J85" s="53"/>
      <c r="K85" s="55">
        <f>K19</f>
        <v>-7.0000000000000001E-3</v>
      </c>
      <c r="L85" s="53"/>
      <c r="M85" s="53"/>
      <c r="N85" s="53"/>
      <c r="O85" s="53"/>
      <c r="P85" s="55">
        <f t="shared" ref="P85:BI85" si="261">P19</f>
        <v>-0.01</v>
      </c>
      <c r="Q85" s="54">
        <f t="shared" si="261"/>
        <v>8.9999999999999993E-3</v>
      </c>
      <c r="R85" s="54">
        <f t="shared" si="261"/>
        <v>-2E-3</v>
      </c>
      <c r="S85" s="54">
        <f t="shared" si="261"/>
        <v>-5.0000000000000001E-3</v>
      </c>
      <c r="T85" s="54">
        <f t="shared" si="261"/>
        <v>-1.9E-2</v>
      </c>
      <c r="U85" s="55">
        <f t="shared" si="261"/>
        <v>-4.0000000000000001E-3</v>
      </c>
      <c r="V85" s="54">
        <f t="shared" si="261"/>
        <v>-5.0000000000000001E-3</v>
      </c>
      <c r="W85" s="54">
        <f t="shared" si="261"/>
        <v>-2.7E-2</v>
      </c>
      <c r="X85" s="54">
        <f t="shared" si="261"/>
        <v>-1.4E-2</v>
      </c>
      <c r="Y85" s="54">
        <f t="shared" si="261"/>
        <v>-1.7999999999999999E-2</v>
      </c>
      <c r="Z85" s="55">
        <f t="shared" si="261"/>
        <v>-1.6E-2</v>
      </c>
      <c r="AA85" s="54">
        <f t="shared" si="261"/>
        <v>-2.3E-2</v>
      </c>
      <c r="AB85" s="54">
        <f t="shared" si="261"/>
        <v>-2.4E-2</v>
      </c>
      <c r="AC85" s="54">
        <f t="shared" si="261"/>
        <v>-4.2999999999999997E-2</v>
      </c>
      <c r="AD85" s="54">
        <f t="shared" si="261"/>
        <v>-2.8000000000000001E-2</v>
      </c>
      <c r="AE85" s="55">
        <f t="shared" si="261"/>
        <v>-2.9000000000000001E-2</v>
      </c>
      <c r="AF85" s="54">
        <f t="shared" si="261"/>
        <v>-6.0000000000000001E-3</v>
      </c>
      <c r="AG85" s="54">
        <f t="shared" si="261"/>
        <v>-2.1000000000000001E-2</v>
      </c>
      <c r="AH85" s="54">
        <f t="shared" si="261"/>
        <v>-0.02</v>
      </c>
      <c r="AI85" s="54">
        <f t="shared" si="261"/>
        <v>-1.6E-2</v>
      </c>
      <c r="AJ85" s="55">
        <f t="shared" si="261"/>
        <v>-1.6E-2</v>
      </c>
      <c r="AK85" s="54">
        <f t="shared" si="261"/>
        <v>-2.5000000000000001E-2</v>
      </c>
      <c r="AL85" s="54">
        <f t="shared" si="261"/>
        <v>-2.8000000000000001E-2</v>
      </c>
      <c r="AM85" s="54">
        <f t="shared" si="261"/>
        <v>-3.6999999999999998E-2</v>
      </c>
      <c r="AN85" s="54">
        <f t="shared" si="261"/>
        <v>-3.7999999999999999E-2</v>
      </c>
      <c r="AO85" s="55">
        <f t="shared" si="261"/>
        <v>-3.2000000000000001E-2</v>
      </c>
      <c r="AP85" s="54">
        <f t="shared" si="261"/>
        <v>-0.18</v>
      </c>
      <c r="AQ85" s="54">
        <f t="shared" si="261"/>
        <v>-0.71699999999999997</v>
      </c>
      <c r="AR85" s="54">
        <f t="shared" si="261"/>
        <v>-0.40400000000000003</v>
      </c>
      <c r="AS85" s="54">
        <f t="shared" si="261"/>
        <v>-0.37496445716501137</v>
      </c>
      <c r="AT85" s="55">
        <f t="shared" si="261"/>
        <v>-0.41499999999999998</v>
      </c>
      <c r="AU85" s="54">
        <f t="shared" si="261"/>
        <v>-0.16800000000000001</v>
      </c>
      <c r="AV85" s="54">
        <f t="shared" si="261"/>
        <v>2.0270000000000001</v>
      </c>
      <c r="AW85" s="54">
        <f t="shared" si="261"/>
        <v>0.42899999999999999</v>
      </c>
      <c r="AX85" s="53">
        <f t="shared" si="261"/>
        <v>-8.4559171866327942E-2</v>
      </c>
      <c r="AY85" s="52">
        <f t="shared" si="261"/>
        <v>0.41399999999999998</v>
      </c>
      <c r="AZ85" s="54">
        <f t="shared" si="261"/>
        <v>0.253</v>
      </c>
      <c r="BA85" s="54">
        <f t="shared" si="261"/>
        <v>5.7000000000000002E-2</v>
      </c>
      <c r="BB85" s="54">
        <f t="shared" si="261"/>
        <v>1E-3</v>
      </c>
      <c r="BC85" s="53">
        <f t="shared" si="261"/>
        <v>-9.6498449887095772E-3</v>
      </c>
      <c r="BD85" s="52">
        <f t="shared" si="261"/>
        <v>6.8000000000000005E-2</v>
      </c>
      <c r="BE85" s="54">
        <f t="shared" si="261"/>
        <v>0.01</v>
      </c>
      <c r="BF85" s="54">
        <f t="shared" si="261"/>
        <v>-3.6999999999999998E-2</v>
      </c>
      <c r="BG85" s="54">
        <f t="shared" si="261"/>
        <v>-0.01</v>
      </c>
      <c r="BH85" s="53">
        <f t="shared" si="261"/>
        <v>-1.8585348814251362E-3</v>
      </c>
      <c r="BI85" s="58">
        <f t="shared" si="261"/>
        <v>-0.01</v>
      </c>
      <c r="BJ85" s="73">
        <v>-0.02</v>
      </c>
      <c r="BK85" s="73">
        <v>-0.02</v>
      </c>
      <c r="BL85" s="73">
        <v>-0.02</v>
      </c>
      <c r="BM85" s="73">
        <v>-0.02</v>
      </c>
      <c r="BN85" s="52">
        <f>BN86-BN84</f>
        <v>-1.9995340686230979E-2</v>
      </c>
      <c r="BO85" s="73">
        <v>-0.02</v>
      </c>
      <c r="BP85" s="73">
        <v>-0.02</v>
      </c>
      <c r="BQ85" s="73">
        <v>-0.02</v>
      </c>
      <c r="BR85" s="73">
        <v>-0.02</v>
      </c>
      <c r="BS85" s="52">
        <f>BS86-BS84</f>
        <v>-1.9999241929602715E-2</v>
      </c>
      <c r="BT85" s="72">
        <v>0.01</v>
      </c>
      <c r="BU85" s="72">
        <v>0.01</v>
      </c>
      <c r="BV85" s="72">
        <v>0.01</v>
      </c>
      <c r="BW85" s="45"/>
    </row>
    <row r="86" spans="1:75" ht="15.75" customHeight="1" outlineLevel="1" x14ac:dyDescent="0.2">
      <c r="A86" s="47" t="str">
        <f>A20</f>
        <v>The Cheesecake Factory comparable restaurant sales growth per period, %</v>
      </c>
      <c r="B86" s="47"/>
      <c r="C86" s="189">
        <f t="shared" ref="C86:BI86" si="262">C20</f>
        <v>-2.3E-2</v>
      </c>
      <c r="D86" s="189">
        <f t="shared" si="262"/>
        <v>0.02</v>
      </c>
      <c r="E86" s="189">
        <f t="shared" si="262"/>
        <v>0.02</v>
      </c>
      <c r="F86" s="189">
        <f t="shared" si="262"/>
        <v>2.1999999999999999E-2</v>
      </c>
      <c r="G86" s="39">
        <f t="shared" si="262"/>
        <v>1.6E-2</v>
      </c>
      <c r="H86" s="39">
        <f t="shared" si="262"/>
        <v>8.9999999999999993E-3</v>
      </c>
      <c r="I86" s="39">
        <f t="shared" si="262"/>
        <v>0.01</v>
      </c>
      <c r="J86" s="39">
        <f t="shared" si="262"/>
        <v>1.0999999999999999E-2</v>
      </c>
      <c r="K86" s="189">
        <f t="shared" si="262"/>
        <v>1.0999999999999999E-2</v>
      </c>
      <c r="L86" s="39">
        <f t="shared" si="262"/>
        <v>1.2E-2</v>
      </c>
      <c r="M86" s="39">
        <f t="shared" si="262"/>
        <v>1.4999999999999999E-2</v>
      </c>
      <c r="N86" s="39">
        <f t="shared" si="262"/>
        <v>2.1000000000000001E-2</v>
      </c>
      <c r="O86" s="39">
        <f t="shared" si="262"/>
        <v>1.4E-2</v>
      </c>
      <c r="P86" s="189">
        <f t="shared" si="262"/>
        <v>1.4999999999999999E-2</v>
      </c>
      <c r="Q86" s="39">
        <f t="shared" si="262"/>
        <v>4.2000000000000003E-2</v>
      </c>
      <c r="R86" s="39">
        <f t="shared" si="262"/>
        <v>2.8000000000000001E-2</v>
      </c>
      <c r="S86" s="39">
        <f t="shared" si="262"/>
        <v>2.1999999999999999E-2</v>
      </c>
      <c r="T86" s="39">
        <f t="shared" si="262"/>
        <v>1.0999999999999999E-2</v>
      </c>
      <c r="U86" s="189">
        <f t="shared" si="262"/>
        <v>2.5999999999999999E-2</v>
      </c>
      <c r="V86" s="39">
        <f t="shared" si="262"/>
        <v>1.7000000000000001E-2</v>
      </c>
      <c r="W86" s="39">
        <f t="shared" si="262"/>
        <v>3.0000000000000001E-3</v>
      </c>
      <c r="X86" s="39">
        <f t="shared" si="262"/>
        <v>1.7000000000000001E-2</v>
      </c>
      <c r="Y86" s="39">
        <f t="shared" si="262"/>
        <v>1.0999999999999999E-2</v>
      </c>
      <c r="Z86" s="189">
        <f t="shared" si="262"/>
        <v>1.2E-2</v>
      </c>
      <c r="AA86" s="39">
        <f t="shared" si="262"/>
        <v>3.0000000000000001E-3</v>
      </c>
      <c r="AB86" s="39">
        <f t="shared" si="262"/>
        <v>-5.0000000000000001E-3</v>
      </c>
      <c r="AC86" s="39">
        <f t="shared" si="262"/>
        <v>-2.3E-2</v>
      </c>
      <c r="AD86" s="39">
        <f t="shared" si="262"/>
        <v>-8.9999999999999993E-3</v>
      </c>
      <c r="AE86" s="189">
        <f t="shared" si="262"/>
        <v>-8.0000000000000002E-3</v>
      </c>
      <c r="AF86" s="39">
        <f t="shared" si="262"/>
        <v>2.1000000000000001E-2</v>
      </c>
      <c r="AG86" s="39">
        <f t="shared" si="262"/>
        <v>1.4E-2</v>
      </c>
      <c r="AH86" s="39">
        <f t="shared" si="262"/>
        <v>1.4999999999999999E-2</v>
      </c>
      <c r="AI86" s="39">
        <f t="shared" si="262"/>
        <v>1.9E-2</v>
      </c>
      <c r="AJ86" s="189">
        <f t="shared" si="262"/>
        <v>1.7000000000000001E-2</v>
      </c>
      <c r="AK86" s="39">
        <f t="shared" si="262"/>
        <v>1.2999999999999999E-2</v>
      </c>
      <c r="AL86" s="39">
        <f t="shared" si="262"/>
        <v>0.01</v>
      </c>
      <c r="AM86" s="39">
        <f t="shared" si="262"/>
        <v>4.0000000000000001E-3</v>
      </c>
      <c r="AN86" s="39">
        <f t="shared" si="262"/>
        <v>6.0000000000000001E-3</v>
      </c>
      <c r="AO86" s="189">
        <f t="shared" si="262"/>
        <v>8.0000000000000002E-3</v>
      </c>
      <c r="AP86" s="39">
        <f t="shared" si="262"/>
        <v>-0.129</v>
      </c>
      <c r="AQ86" s="39">
        <f t="shared" si="262"/>
        <v>-0.56899999999999995</v>
      </c>
      <c r="AR86" s="39">
        <f t="shared" si="262"/>
        <v>-0.23300000000000001</v>
      </c>
      <c r="AS86" s="39">
        <f t="shared" si="262"/>
        <v>-0.19500000000000001</v>
      </c>
      <c r="AT86" s="189">
        <f t="shared" si="262"/>
        <v>-0.28199999999999997</v>
      </c>
      <c r="AU86" s="39">
        <f t="shared" si="262"/>
        <v>2.8000000000000001E-2</v>
      </c>
      <c r="AV86" s="39">
        <f t="shared" si="262"/>
        <v>1.5</v>
      </c>
      <c r="AW86" s="39">
        <f t="shared" si="262"/>
        <v>0.48</v>
      </c>
      <c r="AX86" s="39">
        <f t="shared" si="262"/>
        <v>0.33800000000000002</v>
      </c>
      <c r="AY86" s="189">
        <f t="shared" si="262"/>
        <v>0.44</v>
      </c>
      <c r="AZ86" s="39">
        <f t="shared" si="262"/>
        <v>0.20699999999999999</v>
      </c>
      <c r="BA86" s="39">
        <f t="shared" si="262"/>
        <v>4.7E-2</v>
      </c>
      <c r="BB86" s="39">
        <f t="shared" si="262"/>
        <v>1.0999999999999999E-2</v>
      </c>
      <c r="BC86" s="39">
        <f t="shared" si="262"/>
        <v>0.04</v>
      </c>
      <c r="BD86" s="189">
        <f t="shared" si="262"/>
        <v>7.0000000000000007E-2</v>
      </c>
      <c r="BE86" s="39">
        <f t="shared" si="262"/>
        <v>5.7000000000000002E-2</v>
      </c>
      <c r="BF86" s="39">
        <f t="shared" si="262"/>
        <v>1.4999999999999999E-2</v>
      </c>
      <c r="BG86" s="39">
        <f t="shared" si="262"/>
        <v>2.4E-2</v>
      </c>
      <c r="BH86" s="39">
        <f t="shared" si="262"/>
        <v>2.5000000000000001E-2</v>
      </c>
      <c r="BI86" s="190">
        <f t="shared" si="262"/>
        <v>0.03</v>
      </c>
      <c r="BJ86" s="39">
        <f t="shared" ref="BJ86:BM86" si="263">BJ84+BJ85</f>
        <v>4.9999999999999975E-3</v>
      </c>
      <c r="BK86" s="39">
        <f t="shared" si="263"/>
        <v>1.4999999999999996E-2</v>
      </c>
      <c r="BL86" s="39">
        <f t="shared" si="263"/>
        <v>1.4999999999999996E-2</v>
      </c>
      <c r="BM86" s="39">
        <f t="shared" si="263"/>
        <v>1.4999999999999996E-2</v>
      </c>
      <c r="BN86" s="189">
        <f>SUM(BJ86*BJ77*BJ71,BK86*BK77*BK71,BL86*BL77*BL71,BM86*BM77*BM71)/(BN71*BN77)</f>
        <v>1.2470434491075839E-2</v>
      </c>
      <c r="BO86" s="39">
        <f t="shared" ref="BO86:BR86" si="264">BO84+BO85</f>
        <v>0</v>
      </c>
      <c r="BP86" s="39">
        <f t="shared" si="264"/>
        <v>0</v>
      </c>
      <c r="BQ86" s="39">
        <f t="shared" si="264"/>
        <v>0</v>
      </c>
      <c r="BR86" s="39">
        <f t="shared" si="264"/>
        <v>0</v>
      </c>
      <c r="BS86" s="189">
        <f>SUM(BO86*BO77*BO71,BP86*BP77*BP71,BQ86*BQ77*BQ71,BR86*BR77*BR71)/(BS71*BS77)</f>
        <v>0</v>
      </c>
      <c r="BT86" s="189">
        <f t="shared" ref="BT86:BV86" si="265">BT84+BT85</f>
        <v>4.4999999999999998E-2</v>
      </c>
      <c r="BU86" s="189">
        <f t="shared" si="265"/>
        <v>4.4999999999999998E-2</v>
      </c>
      <c r="BV86" s="189">
        <f t="shared" si="265"/>
        <v>4.4999999999999998E-2</v>
      </c>
      <c r="BW86" s="45"/>
    </row>
    <row r="87" spans="1:75" ht="15.75" customHeight="1" outlineLevel="1" x14ac:dyDescent="0.2">
      <c r="A87" s="47" t="s">
        <v>539</v>
      </c>
      <c r="B87" s="47"/>
      <c r="C87" s="189"/>
      <c r="D87" s="189"/>
      <c r="E87" s="189"/>
      <c r="F87" s="189"/>
      <c r="G87" s="39"/>
      <c r="H87" s="39"/>
      <c r="I87" s="39"/>
      <c r="J87" s="39"/>
      <c r="K87" s="189"/>
      <c r="L87" s="39"/>
      <c r="M87" s="39"/>
      <c r="N87" s="39"/>
      <c r="O87" s="39"/>
      <c r="P87" s="40"/>
      <c r="Q87" s="39">
        <f t="shared" ref="Q87:BI87" si="266">Q79/Q78</f>
        <v>0.81301548595614226</v>
      </c>
      <c r="R87" s="39">
        <f t="shared" si="266"/>
        <v>0.91546478262256792</v>
      </c>
      <c r="S87" s="39">
        <f t="shared" si="266"/>
        <v>0.79996829440485884</v>
      </c>
      <c r="T87" s="39">
        <f t="shared" si="266"/>
        <v>0.89692216484890885</v>
      </c>
      <c r="U87" s="189">
        <f t="shared" si="266"/>
        <v>0.85596092525654344</v>
      </c>
      <c r="V87" s="39">
        <f t="shared" si="266"/>
        <v>0.93863499537069162</v>
      </c>
      <c r="W87" s="39">
        <f t="shared" si="266"/>
        <v>0.95352228518486126</v>
      </c>
      <c r="X87" s="39">
        <f t="shared" si="266"/>
        <v>0.92174962919031156</v>
      </c>
      <c r="Y87" s="39">
        <f t="shared" si="266"/>
        <v>1.1685899075011645</v>
      </c>
      <c r="Z87" s="189">
        <f t="shared" si="266"/>
        <v>0.99609948144802085</v>
      </c>
      <c r="AA87" s="39">
        <f t="shared" si="266"/>
        <v>0.72248365386466096</v>
      </c>
      <c r="AB87" s="39">
        <f t="shared" si="266"/>
        <v>0.85744607220377245</v>
      </c>
      <c r="AC87" s="39">
        <f t="shared" si="266"/>
        <v>0.80034596736629704</v>
      </c>
      <c r="AD87" s="39">
        <f t="shared" si="266"/>
        <v>0.96978931252414236</v>
      </c>
      <c r="AE87" s="189">
        <f t="shared" si="266"/>
        <v>0.82941985190850698</v>
      </c>
      <c r="AF87" s="39">
        <f t="shared" si="266"/>
        <v>1.0181119955961695</v>
      </c>
      <c r="AG87" s="39">
        <f t="shared" si="266"/>
        <v>1.0263940050142015</v>
      </c>
      <c r="AH87" s="39">
        <f t="shared" si="266"/>
        <v>1.0295700367423224</v>
      </c>
      <c r="AI87" s="39">
        <f t="shared" si="266"/>
        <v>0.86835137218909841</v>
      </c>
      <c r="AJ87" s="189">
        <f t="shared" si="266"/>
        <v>0.98841863958310716</v>
      </c>
      <c r="AK87" s="39">
        <f t="shared" si="266"/>
        <v>0.79954863068246762</v>
      </c>
      <c r="AL87" s="39">
        <f t="shared" si="266"/>
        <v>0.73095440015079838</v>
      </c>
      <c r="AM87" s="39">
        <f t="shared" si="266"/>
        <v>0.56585458858969129</v>
      </c>
      <c r="AN87" s="39">
        <f t="shared" si="266"/>
        <v>0.91586985138654575</v>
      </c>
      <c r="AO87" s="189">
        <f t="shared" si="266"/>
        <v>0.7704526699591927</v>
      </c>
      <c r="AP87" s="39">
        <f t="shared" si="266"/>
        <v>0.97308584982998492</v>
      </c>
      <c r="AQ87" s="39">
        <f t="shared" si="266"/>
        <v>1.2500269582609218</v>
      </c>
      <c r="AR87" s="39">
        <f t="shared" si="266"/>
        <v>1.0262669440346315</v>
      </c>
      <c r="AS87" s="39">
        <f t="shared" si="266"/>
        <v>0.81592753132613094</v>
      </c>
      <c r="AT87" s="189">
        <f t="shared" si="266"/>
        <v>1.00068905305072</v>
      </c>
      <c r="AU87" s="39">
        <f t="shared" si="266"/>
        <v>0.69217157031773613</v>
      </c>
      <c r="AV87" s="39">
        <f t="shared" si="266"/>
        <v>0.3091164537909043</v>
      </c>
      <c r="AW87" s="39">
        <f t="shared" si="266"/>
        <v>1.0574564322743165</v>
      </c>
      <c r="AX87" s="39">
        <f t="shared" si="266"/>
        <v>1.0580059172324789</v>
      </c>
      <c r="AY87" s="189">
        <f t="shared" si="266"/>
        <v>0.69851646141582846</v>
      </c>
      <c r="AZ87" s="39">
        <f t="shared" si="266"/>
        <v>1.1368649656408747</v>
      </c>
      <c r="BA87" s="39">
        <f t="shared" si="266"/>
        <v>1.3368149698747036</v>
      </c>
      <c r="BB87" s="39">
        <f t="shared" si="266"/>
        <v>1.0456300401062188</v>
      </c>
      <c r="BC87" s="39">
        <f t="shared" si="266"/>
        <v>1.1409569200483944</v>
      </c>
      <c r="BD87" s="189">
        <f t="shared" si="266"/>
        <v>1.1704071829115814</v>
      </c>
      <c r="BE87" s="39">
        <f t="shared" si="266"/>
        <v>1.2392817245861811</v>
      </c>
      <c r="BF87" s="39">
        <f t="shared" si="266"/>
        <v>0.53801418342176011</v>
      </c>
      <c r="BG87" s="39">
        <f t="shared" si="266"/>
        <v>0.90057701847195037</v>
      </c>
      <c r="BH87" s="39">
        <f t="shared" si="266"/>
        <v>1.1385576352199236</v>
      </c>
      <c r="BI87" s="190">
        <f t="shared" si="266"/>
        <v>0.97903433659696726</v>
      </c>
      <c r="BJ87" s="194">
        <v>0.8</v>
      </c>
      <c r="BK87" s="194">
        <v>0.95</v>
      </c>
      <c r="BL87" s="194">
        <v>0.95</v>
      </c>
      <c r="BM87" s="194">
        <v>0.95</v>
      </c>
      <c r="BN87" s="189">
        <f>BN79/BN78</f>
        <v>0.90983398866646137</v>
      </c>
      <c r="BO87" s="194">
        <v>0.95</v>
      </c>
      <c r="BP87" s="194">
        <v>0.95</v>
      </c>
      <c r="BQ87" s="194">
        <v>0.95</v>
      </c>
      <c r="BR87" s="194">
        <v>0.95</v>
      </c>
      <c r="BS87" s="189">
        <f>BS79/BS78</f>
        <v>0.95109520521257496</v>
      </c>
      <c r="BT87" s="195">
        <v>0.95</v>
      </c>
      <c r="BU87" s="195">
        <v>0.95</v>
      </c>
      <c r="BV87" s="195">
        <v>0.95</v>
      </c>
      <c r="BW87" s="45"/>
    </row>
    <row r="88" spans="1:75" ht="15.75" customHeight="1" outlineLevel="1" x14ac:dyDescent="0.2">
      <c r="A88" s="47" t="s">
        <v>540</v>
      </c>
      <c r="B88" s="47"/>
      <c r="C88" s="189"/>
      <c r="D88" s="189"/>
      <c r="E88" s="189"/>
      <c r="F88" s="189"/>
      <c r="G88" s="39"/>
      <c r="H88" s="39"/>
      <c r="I88" s="39"/>
      <c r="J88" s="39"/>
      <c r="K88" s="189"/>
      <c r="L88" s="39"/>
      <c r="M88" s="39"/>
      <c r="N88" s="39"/>
      <c r="O88" s="39"/>
      <c r="P88" s="189"/>
      <c r="Q88" s="194">
        <v>0.9</v>
      </c>
      <c r="R88" s="194">
        <v>0.9</v>
      </c>
      <c r="S88" s="194">
        <v>0.9</v>
      </c>
      <c r="T88" s="194">
        <v>0.9</v>
      </c>
      <c r="U88" s="189">
        <f>AVERAGE(Q88,R88,S88,T88)</f>
        <v>0.9</v>
      </c>
      <c r="V88" s="194">
        <v>0.9</v>
      </c>
      <c r="W88" s="194">
        <v>0.9</v>
      </c>
      <c r="X88" s="194">
        <v>0.9</v>
      </c>
      <c r="Y88" s="194">
        <v>0.9</v>
      </c>
      <c r="Z88" s="189">
        <f>AVERAGE(V88,W88,X88,Y88)</f>
        <v>0.9</v>
      </c>
      <c r="AA88" s="194">
        <v>0.9</v>
      </c>
      <c r="AB88" s="194">
        <v>0.9</v>
      </c>
      <c r="AC88" s="194">
        <v>0.9</v>
      </c>
      <c r="AD88" s="194">
        <v>0.9</v>
      </c>
      <c r="AE88" s="189">
        <f>AVERAGE(AA88,AB88,AC88,AD88)</f>
        <v>0.9</v>
      </c>
      <c r="AF88" s="194">
        <v>0.9</v>
      </c>
      <c r="AG88" s="194">
        <v>0.9</v>
      </c>
      <c r="AH88" s="194">
        <v>0.9</v>
      </c>
      <c r="AI88" s="194">
        <v>0.9</v>
      </c>
      <c r="AJ88" s="189">
        <f>AVERAGE(AF88,AG88,AH88,AI88)</f>
        <v>0.9</v>
      </c>
      <c r="AK88" s="194">
        <v>0.9</v>
      </c>
      <c r="AL88" s="194">
        <v>0.9</v>
      </c>
      <c r="AM88" s="194">
        <v>0.9</v>
      </c>
      <c r="AN88" s="194">
        <v>0.9</v>
      </c>
      <c r="AO88" s="189">
        <f>AVERAGE(AK88,AL88,AM88,AN88)</f>
        <v>0.9</v>
      </c>
      <c r="AP88" s="194">
        <v>0.9</v>
      </c>
      <c r="AQ88" s="194">
        <v>0.9</v>
      </c>
      <c r="AR88" s="194">
        <v>0.9</v>
      </c>
      <c r="AS88" s="194">
        <v>0.9</v>
      </c>
      <c r="AT88" s="189">
        <f>AVERAGE(AP88,AQ88,AR88,AS88)</f>
        <v>0.9</v>
      </c>
      <c r="AU88" s="194">
        <v>0.9</v>
      </c>
      <c r="AV88" s="194">
        <v>1.1499999999999999</v>
      </c>
      <c r="AW88" s="39"/>
      <c r="AX88" s="194">
        <v>0.9</v>
      </c>
      <c r="AY88" s="189">
        <f>AVERAGE(AU88,AV88,AW88,AX88)</f>
        <v>0.98333333333333328</v>
      </c>
      <c r="AZ88" s="194">
        <v>0.8</v>
      </c>
      <c r="BA88" s="194">
        <v>0.8</v>
      </c>
      <c r="BB88" s="194">
        <v>0.8</v>
      </c>
      <c r="BC88" s="194">
        <v>0.8</v>
      </c>
      <c r="BD88" s="189">
        <f>AVERAGE(AZ88,BA88,BB88,BC88)</f>
        <v>0.8</v>
      </c>
      <c r="BE88" s="194">
        <v>0.8</v>
      </c>
      <c r="BF88" s="194">
        <v>0.8</v>
      </c>
      <c r="BG88" s="194">
        <v>0.8</v>
      </c>
      <c r="BH88" s="194">
        <v>0.8</v>
      </c>
      <c r="BI88" s="190">
        <f>AVERAGE(BE88,BF88,BG88,BH88)</f>
        <v>0.8</v>
      </c>
      <c r="BJ88" s="194">
        <v>0.8</v>
      </c>
      <c r="BK88" s="194">
        <v>0.8</v>
      </c>
      <c r="BL88" s="194">
        <v>0.8</v>
      </c>
      <c r="BM88" s="194">
        <v>0.8</v>
      </c>
      <c r="BN88" s="189">
        <f>AVERAGE(BJ88,BK88,BL88,BM88)</f>
        <v>0.8</v>
      </c>
      <c r="BO88" s="194">
        <v>0.8</v>
      </c>
      <c r="BP88" s="194">
        <v>0.8</v>
      </c>
      <c r="BQ88" s="194">
        <v>0.8</v>
      </c>
      <c r="BR88" s="194">
        <v>0.8</v>
      </c>
      <c r="BS88" s="189">
        <f>AVERAGE(BO88,BP88,BQ88,BR88)</f>
        <v>0.8</v>
      </c>
      <c r="BT88" s="195">
        <v>0.8</v>
      </c>
      <c r="BU88" s="195">
        <v>0.8</v>
      </c>
      <c r="BV88" s="195">
        <v>0.8</v>
      </c>
      <c r="BW88" s="45"/>
    </row>
    <row r="89" spans="1:75" ht="15.75" customHeight="1" outlineLevel="1" x14ac:dyDescent="0.2">
      <c r="A89" s="47" t="s">
        <v>541</v>
      </c>
      <c r="B89" s="47"/>
      <c r="C89" s="189"/>
      <c r="D89" s="189"/>
      <c r="E89" s="189"/>
      <c r="F89" s="189"/>
      <c r="G89" s="39"/>
      <c r="H89" s="39"/>
      <c r="I89" s="39"/>
      <c r="J89" s="39"/>
      <c r="K89" s="189"/>
      <c r="L89" s="39"/>
      <c r="M89" s="39"/>
      <c r="N89" s="39"/>
      <c r="O89" s="39"/>
      <c r="P89" s="189"/>
      <c r="Q89" s="39">
        <f>(Q61-(2-Q88)*SUM(Q56,O56,N56,M56)*Q$3/7)/(Q61-SUM(Q56,O56,N56,M56)*Q$3/7)-1</f>
        <v>7.4712643678160884E-3</v>
      </c>
      <c r="R89" s="39">
        <f>(R61-(2-R88)*SUM(R56,Q56,O56,N56)*R$3/7)/(R61-SUM(R56,Q56,O56,N56)*R$3/7)-1</f>
        <v>0</v>
      </c>
      <c r="S89" s="39">
        <f>(S61-(2-S88)*SUM(S56,R56,Q56,O56)*S$3/7)/(S61-SUM(S56,R56,Q56,O56)*S$3/7)-1</f>
        <v>0</v>
      </c>
      <c r="T89" s="39">
        <f>(T61-(2-T88)*SUM(T56,S56,R56,Q56)*T$3/7)/(T61-SUM(T56,S56,R56,Q56)*T$3/7)-1</f>
        <v>0</v>
      </c>
      <c r="U89" s="189">
        <f>U77/P80-1</f>
        <v>1.4857663932630327E-3</v>
      </c>
      <c r="V89" s="39">
        <f>(V71-(2-V88)*SUM(V56,T56,S56,R56)*V$3/7)/(V71-SUM(V56,T56,S56,R56)*V$3/7)-1</f>
        <v>0</v>
      </c>
      <c r="W89" s="39">
        <f>(W71-(2-W88)*SUM(W56,V56,T56,S56)*W$3/7)/(W71-SUM(W56,V56,T56,S56)*W$3/7)-1</f>
        <v>0</v>
      </c>
      <c r="X89" s="39">
        <f>(X71-(2-X88)*SUM(X56,W56,V56,T56)*X$3/7)/(X71-SUM(X56,W56,V56,T56)*X$3/7)-1</f>
        <v>0</v>
      </c>
      <c r="Y89" s="39">
        <f>(Y71-(2-Y88)*SUM(Y56,X56,W56,V56)*Y$3/7)/(Y71-SUM(Y56,X56,W56,V56)*Y$3/7)-1</f>
        <v>0</v>
      </c>
      <c r="Z89" s="189">
        <f>Z77/U80-1</f>
        <v>-5.3005826542595891E-4</v>
      </c>
      <c r="AA89" s="39">
        <f>(AA71-(2-AA88)*SUM(AA56,Y56,X56,W56)*AA$3/7)/(AA71-SUM(AA56,Y56,X56,W56)*AA$3/7)-1</f>
        <v>0</v>
      </c>
      <c r="AB89" s="39">
        <f>(AB71-(2-AB88)*SUM(AB56,AA56,Y56,X56)*AB$3/7)/(AB71-SUM(AB56,AA56,Y56,X56)*AB$3/7)-1</f>
        <v>1.0804072304175794E-3</v>
      </c>
      <c r="AC89" s="39">
        <f>(AC71-(2-AC88)*SUM(AC56,AB56,AA56,Y56)*AC$3/7)/(AC71-SUM(AC56,AB56,AA56,Y56)*AC$3/7)-1</f>
        <v>1.0686395396628523E-3</v>
      </c>
      <c r="AD89" s="39">
        <f>(AD71-(2-AD88)*SUM(AD56,AC56,AB56,AA56)*AD$3/7)/(AD71-SUM(AD56,AC56,AB56,AA56)*AD$3/7)-1</f>
        <v>1.0620915032679701E-3</v>
      </c>
      <c r="AE89" s="189">
        <f>AE77/Z80-1</f>
        <v>5.5177455358901284E-4</v>
      </c>
      <c r="AF89" s="39">
        <f>(AF71-(2-AF88)*SUM(AF56,AD56,AC56,AB56)*AF$3/7)/(AF71-SUM(AF56,AD56,AC56,AB56)*AF$3/7)-1</f>
        <v>1.0582010582009804E-3</v>
      </c>
      <c r="AG89" s="39">
        <f>(AG71-(2-AG88)*SUM(AG56,AF56,AD56,AC56)*AG$3/7)/(AG71-SUM(AG56,AF56,AD56,AC56)*AG$3/7)-1</f>
        <v>5.2599635848671333E-4</v>
      </c>
      <c r="AH89" s="39">
        <f>(AH71-(2-AH88)*SUM(AH56,AG56,AF56,AD56)*AH$3/7)/(AH71-SUM(AH56,AG56,AF56,AD56)*AH$3/7)-1</f>
        <v>5.2093768783811889E-4</v>
      </c>
      <c r="AI89" s="39">
        <f>(AI71-(2-AI88)*SUM(AI56,AH56,AG56,AF56)*AI$3/7)/(AI71-SUM(AI56,AH56,AG56,AF56)*AI$3/7)-1</f>
        <v>1.0383386581469534E-3</v>
      </c>
      <c r="AJ89" s="189">
        <f>AJ77/AE80-1</f>
        <v>9.9124956202678582E-4</v>
      </c>
      <c r="AK89" s="39">
        <f>(AK71-(2-AK88)*SUM(AK56,AI56,AH56,AG56)*AK$3/7)/(AK71-SUM(AK56,AI56,AH56,AG56)*AK$3/7)-1</f>
        <v>1.0335917312660481E-3</v>
      </c>
      <c r="AL89" s="39">
        <f>(AL71-(2-AL88)*SUM(AL56,AK56,AI56,AH56)*AL$3/7)/(AL71-SUM(AL56,AK56,AI56,AH56)*AL$3/7)-1</f>
        <v>5.1060487038490088E-4</v>
      </c>
      <c r="AM89" s="39">
        <f>(AM71-(2-AM88)*SUM(AM56,AL56,AK56,AI56)*AM$3/7)/(AM71-SUM(AM56,AL56,AK56,AI56)*AM$3/7)-1</f>
        <v>5.0593500681084258E-4</v>
      </c>
      <c r="AN89" s="39">
        <f>(AN71-(2-AN88)*SUM(AN56,AM56,AL56,AK56)*AN$3/7)/(AN71-SUM(AN56,AM56,AL56,AK56)*AN$3/7)-1</f>
        <v>0</v>
      </c>
      <c r="AO89" s="189">
        <f>AO77/AJ80-1</f>
        <v>8.4527195507804187E-3</v>
      </c>
      <c r="AP89" s="39">
        <f>(AP71-(2-AP88)*SUM(AP56,AN56,AM56,AL56)*AP$3/7)/(AP71-SUM(AP56,AN56,AM56,AL56)*AP$3/7)-1</f>
        <v>0</v>
      </c>
      <c r="AQ89" s="39">
        <f>(AQ71-(2-AQ88)*SUM(AQ56,AP56,AN56,AM56)*AQ$3/7)/(AQ71-SUM(AQ56,AP56,AN56,AM56)*AQ$3/7)-1</f>
        <v>0</v>
      </c>
      <c r="AR89" s="39">
        <f>(AR71-(2-AR88)*SUM(AR56,AQ56,AP56,AN56)*AR$3/7)/(AR71-SUM(AR56,AQ56,AP56,AN56)*AR$3/7)-1</f>
        <v>4.9808429118791686E-4</v>
      </c>
      <c r="AS89" s="39">
        <f>(AS71-(2-AS88)*SUM(AS56,AR56,AQ56,AP56)*AS$3/7)/(AS71-SUM(AS56,AR56,AQ56,AP56)*AS$3/7)-1</f>
        <v>4.9732211170616658E-4</v>
      </c>
      <c r="AT89" s="189">
        <f>AT77/AO80-1</f>
        <v>5.9468730094724975E-4</v>
      </c>
      <c r="AU89" s="39">
        <f>(AU71-(2-AU88)*SUM(AU56,AS56,AR56,AQ56)*AU$3/7)/(AU71-SUM(AU56,AS56,AR56,AQ56)*AU$3/7)-1</f>
        <v>4.9504950495049549E-4</v>
      </c>
      <c r="AV89" s="39">
        <f>(AV71-(2-AV88)*SUM(AV56,AU56,AS56,AR56)*AV$3/7)/(AV71-SUM(AV56,AU56,AS56,AR56)*AV$3/7)-1</f>
        <v>-7.3349633251829083E-4</v>
      </c>
      <c r="AW89" s="194">
        <v>-0.05</v>
      </c>
      <c r="AX89" s="39">
        <f>(AX71-(2-AX88)*SUM(AX56,AW56,AV56,AU56)*AX$3/7)/(AX71-SUM(AX56,AW56,AV56,AU56)*AX$3/7)-1</f>
        <v>0</v>
      </c>
      <c r="AY89" s="189">
        <f>AY77/AT80-1</f>
        <v>-1.3664098172342376E-3</v>
      </c>
      <c r="AZ89" s="39">
        <f>(AZ71-(2-AZ88)*SUM(AZ56,AX56,AW56,AV56)*AZ$3/7)/(AZ71-SUM(AZ56,AX56,AW56,AV56)*AZ$3/7)-1</f>
        <v>0</v>
      </c>
      <c r="BA89" s="39">
        <f>(BA71-(2-BA88)*SUM(BA56,AZ56,AX56,AW56)*BA$3/7)/(BA71-SUM(BA56,AZ56,AX56,AW56)*BA$3/7)-1</f>
        <v>0</v>
      </c>
      <c r="BB89" s="39">
        <f>(BB71-(2-BB88)*SUM(BB56,BA56,AZ56,AX56)*BB$3/7)/(BB71-SUM(BB56,BA56,AZ56,AX56)*BB$3/7)-1</f>
        <v>0</v>
      </c>
      <c r="BC89" s="39">
        <f>(BC71-(2-BC88)*SUM(BC56,BB56,BA56,AZ56)*BC$3/7)/(BC71-SUM(BC56,BB56,BA56,AZ56)*BC$3/7)-1</f>
        <v>0</v>
      </c>
      <c r="BD89" s="189">
        <f>BD77/AY80-1</f>
        <v>7.1763242390909809E-4</v>
      </c>
      <c r="BE89" s="39">
        <f>(BE71-(2-BE88)*SUM(BE56,BC56,BB56,BA56)*BE$3/7)/(BE71-SUM(BE56,BC56,BB56,BA56)*BE$3/7)-1</f>
        <v>9.5293557096742809E-4</v>
      </c>
      <c r="BF89" s="39">
        <f>(BF71-(2-BF88)*SUM(BF56,BE56,BC56,BB56)*BF$3/7)/(BF71-SUM(BF56,BE56,BC56,BB56)*BF$3/7)-1</f>
        <v>9.7550630898091129E-4</v>
      </c>
      <c r="BG89" s="39">
        <f>(BG71-(2-BG88)*SUM(BG56,BF56,BE56,BC56)*BG$3/7)/(BG71-SUM(BG56,BF56,BE56,BC56)*BG$3/7)-1</f>
        <v>9.6153846153845812E-4</v>
      </c>
      <c r="BH89" s="39">
        <f>(BH71-(2-BH88)*SUM(BH56,BG56,BF56,BE56)*BH$3/7)/(BH71-SUM(BH56,BG56,BF56,BE56)*BH$3/7)-1</f>
        <v>9.6349823976282778E-4</v>
      </c>
      <c r="BI89" s="190">
        <f>BI77/BD80-1</f>
        <v>9.2315242647078577E-4</v>
      </c>
      <c r="BJ89" s="39">
        <f>(BJ71-(2-BJ88)*SUM(BJ56,BH56,BG56,BF56)*BJ$3/7)/(BJ71-SUM(BJ56,BH56,BG56,BF56)*BJ$3/7)-1</f>
        <v>0</v>
      </c>
      <c r="BK89" s="39">
        <f>(BK71-(2-BK88)*SUM(BK56,BJ56,BH56,BG56)*BK$3/7)/(BK71-SUM(BK56,BJ56,BH56,BG56)*BK$3/7)-1</f>
        <v>9.5465393794746944E-4</v>
      </c>
      <c r="BL89" s="39">
        <f>(BL71-(2-BL88)*SUM(BL56,BK56,BJ56,BH56)*BL$3/7)/(BL71-SUM(BL56,BK56,BJ56,BH56)*BL$3/7)-1</f>
        <v>9.5238095238081577E-4</v>
      </c>
      <c r="BM89" s="39">
        <f>(BM71-(2-BM88)*SUM(BM56,BL56,BK56,BJ56)*BM$3/7)/(BM71-SUM(BM56,BL56,BK56,BJ56)*BM$3/7)-1</f>
        <v>9.5011876484552005E-4</v>
      </c>
      <c r="BN89" s="189">
        <f>(BN71-(2-BN88)*BN56*BN$3/7)/(BN71-BN56*BN$3/7)-1</f>
        <v>9.5408467501489902E-4</v>
      </c>
      <c r="BO89" s="39">
        <f>(BO71-(2-BO88)*SUM(BO56,BM56,BL56,BK56)*BO$3/7)/(BO71-SUM(BO56,BM56,BL56,BK56)*BO$3/7)-1</f>
        <v>9.4339622641514964E-4</v>
      </c>
      <c r="BP89" s="39">
        <f>(BP71-(2-BP88)*SUM(BP56,BO56,BM56,BL56)*BP$3/7)/(BP71-SUM(BP56,BO56,BM56,BL56)*BP$3/7)-1</f>
        <v>9.3457943925234765E-4</v>
      </c>
      <c r="BQ89" s="39">
        <f>(BQ71-(2-BQ88)*SUM(BQ56,BP56,BO56,BM56)*BQ$3/7)/(BQ71-SUM(BQ56,BP56,BO56,BM56)*BQ$3/7)-1</f>
        <v>9.2807424593965848E-4</v>
      </c>
      <c r="BR89" s="39">
        <f>(BR71-(2-BR88)*SUM(BR56,BQ56,BP56,BO56)*BR$3/7)/(BR71-SUM(BR56,BQ56,BP56,BO56)*BR$3/7)-1</f>
        <v>9.2378752886834725E-4</v>
      </c>
      <c r="BS89" s="189">
        <f t="shared" ref="BS89:BV89" si="267">(BS71-(2-BS88)*BS56*BS$3/7)/(BS71-BS56*BS$3/7)-1</f>
        <v>9.3240093240098965E-4</v>
      </c>
      <c r="BT89" s="189">
        <f t="shared" si="267"/>
        <v>9.1901206203326424E-4</v>
      </c>
      <c r="BU89" s="189">
        <f t="shared" si="267"/>
        <v>9.0651558073662208E-4</v>
      </c>
      <c r="BV89" s="189">
        <f t="shared" si="267"/>
        <v>8.908685968820329E-4</v>
      </c>
      <c r="BW89" s="45"/>
    </row>
    <row r="90" spans="1:75" ht="15.75" customHeight="1" outlineLevel="1" x14ac:dyDescent="0.2">
      <c r="A90" s="47"/>
      <c r="B90" s="47"/>
      <c r="C90" s="189"/>
      <c r="D90" s="189"/>
      <c r="E90" s="189"/>
      <c r="F90" s="189"/>
      <c r="G90" s="39"/>
      <c r="H90" s="39"/>
      <c r="I90" s="39"/>
      <c r="J90" s="39"/>
      <c r="K90" s="189"/>
      <c r="L90" s="39"/>
      <c r="M90" s="39"/>
      <c r="N90" s="39"/>
      <c r="O90" s="39"/>
      <c r="P90" s="189"/>
      <c r="Q90" s="39"/>
      <c r="R90" s="39"/>
      <c r="S90" s="39"/>
      <c r="T90" s="39"/>
      <c r="U90" s="189"/>
      <c r="V90" s="39"/>
      <c r="W90" s="39"/>
      <c r="X90" s="39"/>
      <c r="Y90" s="39"/>
      <c r="Z90" s="189"/>
      <c r="AA90" s="39"/>
      <c r="AB90" s="39"/>
      <c r="AC90" s="39"/>
      <c r="AD90" s="39"/>
      <c r="AE90" s="189"/>
      <c r="AF90" s="39"/>
      <c r="AG90" s="39"/>
      <c r="AH90" s="39"/>
      <c r="AI90" s="39"/>
      <c r="AJ90" s="189"/>
      <c r="AK90" s="39"/>
      <c r="AL90" s="39"/>
      <c r="AM90" s="39"/>
      <c r="AN90" s="39"/>
      <c r="AO90" s="189"/>
      <c r="AP90" s="39"/>
      <c r="AQ90" s="39"/>
      <c r="AR90" s="39"/>
      <c r="AS90" s="39"/>
      <c r="AT90" s="189"/>
      <c r="AU90" s="39"/>
      <c r="AV90" s="39"/>
      <c r="AW90" s="39"/>
      <c r="AX90" s="39"/>
      <c r="AY90" s="189"/>
      <c r="AZ90" s="39"/>
      <c r="BA90" s="39"/>
      <c r="BB90" s="39"/>
      <c r="BC90" s="39"/>
      <c r="BD90" s="189"/>
      <c r="BE90" s="39"/>
      <c r="BF90" s="39"/>
      <c r="BG90" s="39"/>
      <c r="BH90" s="39"/>
      <c r="BI90" s="190"/>
      <c r="BJ90" s="39"/>
      <c r="BK90" s="39"/>
      <c r="BL90" s="39"/>
      <c r="BM90" s="39"/>
      <c r="BN90" s="189"/>
      <c r="BO90" s="39"/>
      <c r="BP90" s="39"/>
      <c r="BQ90" s="39"/>
      <c r="BR90" s="39"/>
      <c r="BS90" s="189"/>
      <c r="BT90" s="189"/>
      <c r="BU90" s="189"/>
      <c r="BV90" s="189"/>
      <c r="BW90" s="45"/>
    </row>
    <row r="91" spans="1:75" ht="15.75" customHeight="1" outlineLevel="1" x14ac:dyDescent="0.2">
      <c r="A91" s="84" t="s">
        <v>542</v>
      </c>
      <c r="B91" s="85"/>
      <c r="C91" s="86"/>
      <c r="D91" s="86"/>
      <c r="E91" s="86"/>
      <c r="F91" s="86"/>
      <c r="G91" s="2"/>
      <c r="H91" s="2"/>
      <c r="I91" s="2"/>
      <c r="J91" s="2"/>
      <c r="K91" s="86"/>
      <c r="L91" s="2"/>
      <c r="M91" s="2"/>
      <c r="N91" s="2"/>
      <c r="O91" s="2"/>
      <c r="P91" s="86"/>
      <c r="Q91" s="4">
        <f t="shared" ref="Q91:T91" si="268">Q78*Q71/1000</f>
        <v>435.22132206746483</v>
      </c>
      <c r="R91" s="4">
        <f t="shared" si="268"/>
        <v>448.19312327479008</v>
      </c>
      <c r="S91" s="4">
        <f t="shared" si="268"/>
        <v>453.92707823076927</v>
      </c>
      <c r="T91" s="4">
        <f t="shared" si="268"/>
        <v>441.46741586290494</v>
      </c>
      <c r="U91" s="111">
        <f t="shared" ref="U91:U92" si="269">SUM(Q91,R91,S91,T91)</f>
        <v>1778.8089394359292</v>
      </c>
      <c r="V91" s="4">
        <f t="shared" ref="V91:Y91" si="270">V78*V71/1000</f>
        <v>464.24125854563232</v>
      </c>
      <c r="W91" s="4">
        <f t="shared" si="270"/>
        <v>475.5018101428571</v>
      </c>
      <c r="X91" s="4">
        <f t="shared" si="270"/>
        <v>481.92385526198632</v>
      </c>
      <c r="Y91" s="4">
        <f t="shared" si="270"/>
        <v>503.35746548872174</v>
      </c>
      <c r="Z91" s="111">
        <f t="shared" ref="Z91:Z92" si="271">SUM(V91,W91,X91,Y91)</f>
        <v>1925.0243894391976</v>
      </c>
      <c r="AA91" s="4">
        <f t="shared" ref="AA91:AD91" si="272">AA78*AA71/1000</f>
        <v>487.82174807881768</v>
      </c>
      <c r="AB91" s="4">
        <f t="shared" si="272"/>
        <v>495.84874129647261</v>
      </c>
      <c r="AC91" s="4">
        <f t="shared" si="272"/>
        <v>490.60643790981044</v>
      </c>
      <c r="AD91" s="4">
        <f t="shared" si="272"/>
        <v>489.31180328202834</v>
      </c>
      <c r="AE91" s="111">
        <f t="shared" ref="AE91:AE92" si="273">SUM(AA91,AB91,AC91,AD91)</f>
        <v>1963.588730567129</v>
      </c>
      <c r="AF91" s="4">
        <f t="shared" ref="AF91:AI91" si="274">AF78*AF71/1000</f>
        <v>507.60917195455181</v>
      </c>
      <c r="AG91" s="4">
        <f t="shared" si="274"/>
        <v>515.52182081249157</v>
      </c>
      <c r="AH91" s="4">
        <f t="shared" si="274"/>
        <v>509.60352635181073</v>
      </c>
      <c r="AI91" s="4">
        <f t="shared" si="274"/>
        <v>509.88105957427643</v>
      </c>
      <c r="AJ91" s="111">
        <f t="shared" ref="AJ91:AJ92" si="275">SUM(AF91,AG91,AH91,AI91)</f>
        <v>2042.6155786931306</v>
      </c>
      <c r="AK91" s="4">
        <f t="shared" ref="AK91:AN91" si="276">AK78*AK71/1000</f>
        <v>527.70207077334851</v>
      </c>
      <c r="AL91" s="4">
        <f t="shared" si="276"/>
        <v>537.40664415299432</v>
      </c>
      <c r="AM91" s="4">
        <f t="shared" si="276"/>
        <v>527.74896175562299</v>
      </c>
      <c r="AN91" s="4">
        <f t="shared" si="276"/>
        <v>526.25437617341049</v>
      </c>
      <c r="AO91" s="111">
        <f t="shared" ref="AO91:AO92" si="277">SUM(AK91,AL91,AM91,AN91)</f>
        <v>2119.1120528553765</v>
      </c>
      <c r="AP91" s="4">
        <f t="shared" ref="AP91:AS91" si="278">AP78*AP71/1000</f>
        <v>468.80689849999999</v>
      </c>
      <c r="AQ91" s="4">
        <f t="shared" si="278"/>
        <v>231.49936461108999</v>
      </c>
      <c r="AR91" s="4">
        <f t="shared" si="278"/>
        <v>406.54144962515812</v>
      </c>
      <c r="AS91" s="4">
        <f t="shared" si="278"/>
        <v>429.72280342184388</v>
      </c>
      <c r="AT91" s="111">
        <f t="shared" ref="AT91:AT92" si="279">SUM(AP91,AQ91,AR91,AS91)</f>
        <v>1536.5705161580918</v>
      </c>
      <c r="AU91" s="4">
        <f t="shared" ref="AU91:AX91" si="280">AU78*AU71/1000</f>
        <v>490.93596718086968</v>
      </c>
      <c r="AV91" s="4">
        <f t="shared" si="280"/>
        <v>603.48258531479235</v>
      </c>
      <c r="AW91" s="4">
        <f t="shared" si="280"/>
        <v>586.49974423441006</v>
      </c>
      <c r="AX91" s="4">
        <f t="shared" si="280"/>
        <v>587.02302729744952</v>
      </c>
      <c r="AY91" s="111">
        <f t="shared" ref="AY91:AY92" si="281">SUM(AU91,AV91,AW91,AX91)</f>
        <v>2267.9413240275217</v>
      </c>
      <c r="AZ91" s="4">
        <f t="shared" ref="AZ91:BC91" si="282">AZ78*AZ71/1000</f>
        <v>599.83649133495146</v>
      </c>
      <c r="BA91" s="4">
        <f t="shared" si="282"/>
        <v>630.60253876086949</v>
      </c>
      <c r="BB91" s="4">
        <f t="shared" si="282"/>
        <v>596.84523923205643</v>
      </c>
      <c r="BC91" s="4">
        <f t="shared" si="282"/>
        <v>663.49197007407417</v>
      </c>
      <c r="BD91" s="111">
        <f t="shared" ref="BD91:BD92" si="283">SUM(AZ91,BA91,BB91,BC91)</f>
        <v>2490.7762394019514</v>
      </c>
      <c r="BE91" s="4">
        <f t="shared" ref="BE91:BH91" si="284">BE78*BE71/1000</f>
        <v>640.79258916948345</v>
      </c>
      <c r="BF91" s="4">
        <f t="shared" si="284"/>
        <v>645.67035695117011</v>
      </c>
      <c r="BG91" s="4">
        <f t="shared" si="284"/>
        <v>614.76693305256936</v>
      </c>
      <c r="BH91" s="4">
        <f t="shared" si="284"/>
        <v>632.30757129840106</v>
      </c>
      <c r="BI91" s="112">
        <f t="shared" ref="BI91:BI92" si="285">SUM(BE91,BF91,BG91,BH91)</f>
        <v>2533.5374504716242</v>
      </c>
      <c r="BJ91" s="2">
        <f t="shared" ref="BJ91:BM91" si="286">BJ78*BJ71/1000</f>
        <v>649.76536353671895</v>
      </c>
      <c r="BK91" s="2">
        <f t="shared" si="286"/>
        <v>657.20251464375542</v>
      </c>
      <c r="BL91" s="2">
        <f t="shared" si="286"/>
        <v>629.13860433018851</v>
      </c>
      <c r="BM91" s="2">
        <f t="shared" si="286"/>
        <v>654.65449637548045</v>
      </c>
      <c r="BN91" s="86">
        <f t="shared" ref="BN91:BN92" si="287">SUM(BJ91,BK91,BL91,BM91)</f>
        <v>2590.7609788861432</v>
      </c>
      <c r="BO91" s="2">
        <f t="shared" ref="BO91:BR91" si="288">BO78*BO71/1000</f>
        <v>655.85007676131715</v>
      </c>
      <c r="BP91" s="2">
        <f t="shared" si="288"/>
        <v>670.69804896825633</v>
      </c>
      <c r="BQ91" s="2">
        <f t="shared" si="288"/>
        <v>645.10281058686837</v>
      </c>
      <c r="BR91" s="2">
        <f t="shared" si="288"/>
        <v>672.78604559576479</v>
      </c>
      <c r="BS91" s="86">
        <f t="shared" ref="BS91:BS92" si="289">SUM(BO91,BP91,BQ91,BR91)</f>
        <v>2644.4369819122066</v>
      </c>
      <c r="BT91" s="86">
        <f t="shared" ref="BT91:BV91" si="290">BT78*BT71/1000</f>
        <v>2802.7862528739365</v>
      </c>
      <c r="BU91" s="86">
        <f t="shared" si="290"/>
        <v>2967.9171391128984</v>
      </c>
      <c r="BV91" s="86">
        <f t="shared" si="290"/>
        <v>3214.52646181605</v>
      </c>
      <c r="BW91" s="4"/>
    </row>
    <row r="92" spans="1:75" ht="15.75" customHeight="1" outlineLevel="1" x14ac:dyDescent="0.2">
      <c r="A92" s="84" t="s">
        <v>543</v>
      </c>
      <c r="B92" s="85"/>
      <c r="C92" s="86"/>
      <c r="D92" s="86"/>
      <c r="E92" s="86"/>
      <c r="F92" s="86"/>
      <c r="G92" s="2"/>
      <c r="H92" s="2"/>
      <c r="I92" s="2"/>
      <c r="J92" s="2"/>
      <c r="K92" s="86"/>
      <c r="L92" s="2"/>
      <c r="M92" s="2"/>
      <c r="N92" s="2"/>
      <c r="O92" s="2"/>
      <c r="P92" s="86"/>
      <c r="Q92" s="4">
        <f t="shared" ref="Q92:T92" si="291">Q93-Q91</f>
        <v>37.595677932535182</v>
      </c>
      <c r="R92" s="4">
        <f t="shared" si="291"/>
        <v>35.091876725209943</v>
      </c>
      <c r="S92" s="4">
        <f t="shared" si="291"/>
        <v>27.148921769230753</v>
      </c>
      <c r="T92" s="4">
        <f t="shared" si="291"/>
        <v>35.112584137095041</v>
      </c>
      <c r="U92" s="111">
        <f t="shared" si="269"/>
        <v>134.94906056407092</v>
      </c>
      <c r="V92" s="4">
        <f t="shared" ref="V92:Y92" si="292">V93-V91</f>
        <v>42.074741454367654</v>
      </c>
      <c r="W92" s="4">
        <f t="shared" si="292"/>
        <v>36.416189857142911</v>
      </c>
      <c r="X92" s="4">
        <f t="shared" si="292"/>
        <v>30.116144738013645</v>
      </c>
      <c r="Y92" s="4">
        <f t="shared" si="292"/>
        <v>44.451534511278226</v>
      </c>
      <c r="Z92" s="111">
        <f t="shared" si="271"/>
        <v>153.05861056080244</v>
      </c>
      <c r="AA92" s="4">
        <f t="shared" ref="AA92:AD92" si="293">AA93-AA91</f>
        <v>27.41225192118236</v>
      </c>
      <c r="AB92" s="4">
        <f t="shared" si="293"/>
        <v>24.379258703527341</v>
      </c>
      <c r="AC92" s="4">
        <f t="shared" si="293"/>
        <v>16.965562090189565</v>
      </c>
      <c r="AD92" s="4">
        <f t="shared" si="293"/>
        <v>25.470196717971703</v>
      </c>
      <c r="AE92" s="111">
        <f t="shared" si="273"/>
        <v>94.227269432870969</v>
      </c>
      <c r="AF92" s="4">
        <f t="shared" ref="AF92:AI92" si="294">AF93-AF91</f>
        <v>33.163828045448213</v>
      </c>
      <c r="AG92" s="4">
        <f t="shared" si="294"/>
        <v>26.580179187508406</v>
      </c>
      <c r="AH92" s="4">
        <f t="shared" si="294"/>
        <v>20.606473648189308</v>
      </c>
      <c r="AI92" s="4">
        <f t="shared" si="294"/>
        <v>20.90494042572351</v>
      </c>
      <c r="AJ92" s="111">
        <f t="shared" si="275"/>
        <v>101.25542130686944</v>
      </c>
      <c r="AK92" s="4">
        <f t="shared" ref="AK92:AN92" si="295">AK93-AK91</f>
        <v>20.930929226651529</v>
      </c>
      <c r="AL92" s="4">
        <f t="shared" si="295"/>
        <v>14.112355847005688</v>
      </c>
      <c r="AM92" s="4">
        <f t="shared" si="295"/>
        <v>8.3520382443770131</v>
      </c>
      <c r="AN92" s="4">
        <f t="shared" si="295"/>
        <v>18.374623826589414</v>
      </c>
      <c r="AO92" s="111">
        <f t="shared" si="277"/>
        <v>61.769947144623643</v>
      </c>
      <c r="AP92" s="4">
        <f t="shared" ref="AP92:AS92" si="296">AP93-AP91</f>
        <v>19.664101500000015</v>
      </c>
      <c r="AQ92" s="4">
        <f t="shared" si="296"/>
        <v>9.5686353889100246</v>
      </c>
      <c r="AR92" s="4">
        <f t="shared" si="296"/>
        <v>10.442550374841858</v>
      </c>
      <c r="AS92" s="4">
        <f t="shared" si="296"/>
        <v>8.7621965781562494</v>
      </c>
      <c r="AT92" s="111">
        <f t="shared" si="279"/>
        <v>48.437483841908147</v>
      </c>
      <c r="AU92" s="4">
        <f t="shared" ref="AU92:AX92" si="297">AU93-AU91</f>
        <v>8.4530328191303283</v>
      </c>
      <c r="AV92" s="4">
        <f t="shared" si="297"/>
        <v>3.2084146852076856</v>
      </c>
      <c r="AW92" s="4">
        <f t="shared" si="297"/>
        <v>6.0552557655898909</v>
      </c>
      <c r="AX92" s="4">
        <f t="shared" si="297"/>
        <v>7.566972702550629</v>
      </c>
      <c r="AY92" s="111">
        <f t="shared" si="281"/>
        <v>25.283675972478534</v>
      </c>
      <c r="AZ92" s="4">
        <f t="shared" ref="AZ92:BC92" si="298">AZ93-AZ91</f>
        <v>9.97950866504857</v>
      </c>
      <c r="BA92" s="4">
        <f t="shared" si="298"/>
        <v>10.255461239130454</v>
      </c>
      <c r="BB92" s="4">
        <f t="shared" si="298"/>
        <v>6.0567607679436151</v>
      </c>
      <c r="BC92" s="4">
        <f t="shared" si="298"/>
        <v>10.975029925925924</v>
      </c>
      <c r="BD92" s="111">
        <f t="shared" si="283"/>
        <v>37.266760598048563</v>
      </c>
      <c r="BE92" s="4">
        <f t="shared" ref="BE92:BH92" si="299">BE93-BE91</f>
        <v>15.207410830516551</v>
      </c>
      <c r="BF92" s="4">
        <f t="shared" si="299"/>
        <v>6.8106430488298884</v>
      </c>
      <c r="BG92" s="4">
        <f t="shared" si="299"/>
        <v>13.37306694743063</v>
      </c>
      <c r="BH92" s="4">
        <f t="shared" si="299"/>
        <v>26.137428701598651</v>
      </c>
      <c r="BI92" s="112">
        <f t="shared" si="285"/>
        <v>61.52854952837572</v>
      </c>
      <c r="BJ92" s="2">
        <f t="shared" ref="BJ92:BM92" si="300">BJ79*BJ74/1000</f>
        <v>22.546075264888565</v>
      </c>
      <c r="BK92" s="2">
        <f t="shared" si="300"/>
        <v>25.452807221814506</v>
      </c>
      <c r="BL92" s="2">
        <f t="shared" si="300"/>
        <v>22.877767430188673</v>
      </c>
      <c r="BM92" s="2">
        <f t="shared" si="300"/>
        <v>23.74880273247566</v>
      </c>
      <c r="BN92" s="86">
        <f t="shared" si="287"/>
        <v>94.625452649367389</v>
      </c>
      <c r="BO92" s="2">
        <f t="shared" ref="BO92:BR92" si="301">BO79*BO74/1000</f>
        <v>22.146596193954434</v>
      </c>
      <c r="BP92" s="2">
        <f t="shared" si="301"/>
        <v>17.948257648446294</v>
      </c>
      <c r="BQ92" s="2">
        <f t="shared" si="301"/>
        <v>14.285493474534379</v>
      </c>
      <c r="BR92" s="2">
        <f t="shared" si="301"/>
        <v>14.82939079619435</v>
      </c>
      <c r="BS92" s="86">
        <f t="shared" si="289"/>
        <v>69.209738113129447</v>
      </c>
      <c r="BT92" s="86">
        <f t="shared" ref="BT92:BV92" si="302">BT79*BT74/1000</f>
        <v>78.358334651899725</v>
      </c>
      <c r="BU92" s="86">
        <f t="shared" si="302"/>
        <v>94.679428370676135</v>
      </c>
      <c r="BV92" s="86">
        <f t="shared" si="302"/>
        <v>102.47651472232374</v>
      </c>
      <c r="BW92" s="4"/>
    </row>
    <row r="93" spans="1:75" ht="15.75" customHeight="1" outlineLevel="1" x14ac:dyDescent="0.2">
      <c r="A93" s="101" t="s">
        <v>544</v>
      </c>
      <c r="B93" s="102"/>
      <c r="C93" s="103"/>
      <c r="D93" s="103"/>
      <c r="E93" s="103"/>
      <c r="F93" s="104">
        <f t="shared" ref="F93:BI93" si="303">F26</f>
        <v>1604.825</v>
      </c>
      <c r="G93" s="105">
        <f t="shared" si="303"/>
        <v>412.55099999999999</v>
      </c>
      <c r="H93" s="105">
        <f t="shared" si="303"/>
        <v>424.84500000000003</v>
      </c>
      <c r="I93" s="105">
        <f t="shared" si="303"/>
        <v>425.084</v>
      </c>
      <c r="J93" s="105">
        <f t="shared" si="303"/>
        <v>425.55599999999998</v>
      </c>
      <c r="K93" s="104">
        <f t="shared" si="303"/>
        <v>1688.0360000000001</v>
      </c>
      <c r="L93" s="105">
        <f t="shared" si="303"/>
        <v>436.60599999999999</v>
      </c>
      <c r="M93" s="105">
        <f t="shared" si="303"/>
        <v>451.45400000000001</v>
      </c>
      <c r="N93" s="105">
        <f t="shared" si="303"/>
        <v>454.27100000000002</v>
      </c>
      <c r="O93" s="105">
        <f t="shared" si="303"/>
        <v>450.46499999999997</v>
      </c>
      <c r="P93" s="104">
        <f t="shared" si="303"/>
        <v>1792.796</v>
      </c>
      <c r="Q93" s="105">
        <f t="shared" si="303"/>
        <v>472.81700000000001</v>
      </c>
      <c r="R93" s="105">
        <f t="shared" si="303"/>
        <v>483.28500000000003</v>
      </c>
      <c r="S93" s="105">
        <f t="shared" si="303"/>
        <v>481.07600000000002</v>
      </c>
      <c r="T93" s="105">
        <f t="shared" si="303"/>
        <v>476.58</v>
      </c>
      <c r="U93" s="104">
        <f t="shared" si="303"/>
        <v>1913.758</v>
      </c>
      <c r="V93" s="105">
        <f t="shared" si="303"/>
        <v>506.31599999999997</v>
      </c>
      <c r="W93" s="105">
        <f t="shared" si="303"/>
        <v>511.91800000000001</v>
      </c>
      <c r="X93" s="105">
        <f t="shared" si="303"/>
        <v>512.04</v>
      </c>
      <c r="Y93" s="105">
        <f t="shared" si="303"/>
        <v>547.80899999999997</v>
      </c>
      <c r="Z93" s="104">
        <f t="shared" si="303"/>
        <v>2078.0830000000001</v>
      </c>
      <c r="AA93" s="105">
        <f t="shared" si="303"/>
        <v>515.23400000000004</v>
      </c>
      <c r="AB93" s="105">
        <f t="shared" si="303"/>
        <v>520.22799999999995</v>
      </c>
      <c r="AC93" s="105">
        <f t="shared" si="303"/>
        <v>507.572</v>
      </c>
      <c r="AD93" s="105">
        <f t="shared" si="303"/>
        <v>514.78200000000004</v>
      </c>
      <c r="AE93" s="104">
        <f t="shared" si="303"/>
        <v>2057.8159999999998</v>
      </c>
      <c r="AF93" s="105">
        <f t="shared" si="303"/>
        <v>540.77300000000002</v>
      </c>
      <c r="AG93" s="105">
        <f t="shared" si="303"/>
        <v>542.10199999999998</v>
      </c>
      <c r="AH93" s="105">
        <f t="shared" si="303"/>
        <v>530.21</v>
      </c>
      <c r="AI93" s="105">
        <f t="shared" si="303"/>
        <v>530.78599999999994</v>
      </c>
      <c r="AJ93" s="104">
        <f t="shared" si="303"/>
        <v>2127.3470000000002</v>
      </c>
      <c r="AK93" s="105">
        <f t="shared" si="303"/>
        <v>548.63300000000004</v>
      </c>
      <c r="AL93" s="105">
        <f t="shared" si="303"/>
        <v>551.51900000000001</v>
      </c>
      <c r="AM93" s="105">
        <f t="shared" si="303"/>
        <v>536.101</v>
      </c>
      <c r="AN93" s="105">
        <f t="shared" si="303"/>
        <v>544.62899999999991</v>
      </c>
      <c r="AO93" s="104">
        <f t="shared" si="303"/>
        <v>2180.8820000000001</v>
      </c>
      <c r="AP93" s="105">
        <f t="shared" si="303"/>
        <v>488.471</v>
      </c>
      <c r="AQ93" s="105">
        <f t="shared" si="303"/>
        <v>241.06800000000001</v>
      </c>
      <c r="AR93" s="105">
        <f t="shared" si="303"/>
        <v>416.98399999999998</v>
      </c>
      <c r="AS93" s="105">
        <f t="shared" si="303"/>
        <v>438.48500000000013</v>
      </c>
      <c r="AT93" s="104">
        <f t="shared" si="303"/>
        <v>1585.008</v>
      </c>
      <c r="AU93" s="105">
        <f t="shared" si="303"/>
        <v>499.38900000000001</v>
      </c>
      <c r="AV93" s="105">
        <f t="shared" si="303"/>
        <v>606.69100000000003</v>
      </c>
      <c r="AW93" s="105">
        <f t="shared" si="303"/>
        <v>592.55499999999995</v>
      </c>
      <c r="AX93" s="105">
        <f t="shared" si="303"/>
        <v>594.59000000000015</v>
      </c>
      <c r="AY93" s="104">
        <f t="shared" si="303"/>
        <v>2293.2249999999999</v>
      </c>
      <c r="AZ93" s="105">
        <f t="shared" si="303"/>
        <v>609.81600000000003</v>
      </c>
      <c r="BA93" s="105">
        <f t="shared" si="303"/>
        <v>640.85799999999995</v>
      </c>
      <c r="BB93" s="105">
        <f t="shared" si="303"/>
        <v>602.90200000000004</v>
      </c>
      <c r="BC93" s="105">
        <f t="shared" si="303"/>
        <v>674.4670000000001</v>
      </c>
      <c r="BD93" s="104">
        <f t="shared" si="303"/>
        <v>2528.0430000000001</v>
      </c>
      <c r="BE93" s="105">
        <f t="shared" si="303"/>
        <v>656</v>
      </c>
      <c r="BF93" s="105">
        <f t="shared" si="303"/>
        <v>652.48099999999999</v>
      </c>
      <c r="BG93" s="105">
        <f t="shared" si="303"/>
        <v>628.14</v>
      </c>
      <c r="BH93" s="105">
        <f t="shared" si="303"/>
        <v>658.44499999999971</v>
      </c>
      <c r="BI93" s="114">
        <f t="shared" si="303"/>
        <v>2595.0659999999998</v>
      </c>
      <c r="BJ93" s="106">
        <f t="shared" ref="BJ93:BV93" si="304">BJ91+BJ92</f>
        <v>672.31143880160755</v>
      </c>
      <c r="BK93" s="106">
        <f t="shared" si="304"/>
        <v>682.65532186556993</v>
      </c>
      <c r="BL93" s="106">
        <f t="shared" si="304"/>
        <v>652.01637176037718</v>
      </c>
      <c r="BM93" s="106">
        <f t="shared" si="304"/>
        <v>678.40329910795606</v>
      </c>
      <c r="BN93" s="103">
        <f t="shared" si="304"/>
        <v>2685.3864315355104</v>
      </c>
      <c r="BO93" s="106">
        <f t="shared" si="304"/>
        <v>677.99667295527161</v>
      </c>
      <c r="BP93" s="106">
        <f t="shared" si="304"/>
        <v>688.64630661670265</v>
      </c>
      <c r="BQ93" s="106">
        <f t="shared" si="304"/>
        <v>659.38830406140278</v>
      </c>
      <c r="BR93" s="106">
        <f t="shared" si="304"/>
        <v>687.61543639195918</v>
      </c>
      <c r="BS93" s="103">
        <f t="shared" si="304"/>
        <v>2713.646720025336</v>
      </c>
      <c r="BT93" s="103">
        <f t="shared" si="304"/>
        <v>2881.1445875258364</v>
      </c>
      <c r="BU93" s="103">
        <f t="shared" si="304"/>
        <v>3062.5965674835747</v>
      </c>
      <c r="BV93" s="103">
        <f t="shared" si="304"/>
        <v>3317.0029765383738</v>
      </c>
      <c r="BW93" s="83"/>
    </row>
    <row r="94" spans="1:75" ht="15.75" customHeight="1" outlineLevel="1" x14ac:dyDescent="0.2">
      <c r="A94" s="196"/>
      <c r="B94" s="196"/>
      <c r="C94" s="109"/>
      <c r="D94" s="109"/>
      <c r="E94" s="109"/>
      <c r="F94" s="109"/>
      <c r="G94" s="110"/>
      <c r="H94" s="110"/>
      <c r="I94" s="110"/>
      <c r="J94" s="110"/>
      <c r="K94" s="109"/>
      <c r="L94" s="110"/>
      <c r="M94" s="110"/>
      <c r="N94" s="110"/>
      <c r="O94" s="110"/>
      <c r="P94" s="109"/>
      <c r="Q94" s="110"/>
      <c r="R94" s="110"/>
      <c r="S94" s="110"/>
      <c r="T94" s="110"/>
      <c r="U94" s="109"/>
      <c r="V94" s="110"/>
      <c r="W94" s="110"/>
      <c r="X94" s="110"/>
      <c r="Y94" s="110"/>
      <c r="Z94" s="109"/>
      <c r="AA94" s="110"/>
      <c r="AB94" s="110"/>
      <c r="AC94" s="110"/>
      <c r="AD94" s="110"/>
      <c r="AE94" s="109"/>
      <c r="AF94" s="110"/>
      <c r="AG94" s="110"/>
      <c r="AH94" s="110"/>
      <c r="AI94" s="110"/>
      <c r="AJ94" s="109"/>
      <c r="AK94" s="110"/>
      <c r="AL94" s="110"/>
      <c r="AM94" s="110"/>
      <c r="AN94" s="110"/>
      <c r="AO94" s="109"/>
      <c r="AP94" s="110"/>
      <c r="AQ94" s="110"/>
      <c r="AR94" s="110"/>
      <c r="AS94" s="110"/>
      <c r="AT94" s="109"/>
      <c r="AU94" s="110"/>
      <c r="AV94" s="110"/>
      <c r="AW94" s="110"/>
      <c r="AX94" s="110"/>
      <c r="AY94" s="109"/>
      <c r="AZ94" s="110"/>
      <c r="BA94" s="110"/>
      <c r="BB94" s="110"/>
      <c r="BC94" s="110"/>
      <c r="BD94" s="109"/>
      <c r="BE94" s="110"/>
      <c r="BF94" s="110"/>
      <c r="BG94" s="110"/>
      <c r="BH94" s="110"/>
      <c r="BI94" s="107"/>
      <c r="BJ94" s="110"/>
      <c r="BK94" s="110"/>
      <c r="BL94" s="110"/>
      <c r="BM94" s="110"/>
      <c r="BN94" s="109"/>
      <c r="BO94" s="110"/>
      <c r="BP94" s="110"/>
      <c r="BQ94" s="110"/>
      <c r="BR94" s="110"/>
      <c r="BS94" s="109"/>
      <c r="BT94" s="109"/>
      <c r="BU94" s="109"/>
      <c r="BV94" s="109"/>
      <c r="BW94" s="197"/>
    </row>
    <row r="95" spans="1:75" ht="15.75" customHeight="1" outlineLevel="1" x14ac:dyDescent="0.2">
      <c r="A95" s="38" t="str">
        <f>A86</f>
        <v>The Cheesecake Factory comparable restaurant sales growth per period, %</v>
      </c>
      <c r="B95" s="47"/>
      <c r="C95" s="189">
        <f t="shared" ref="C95:BV95" si="305">C86</f>
        <v>-2.3E-2</v>
      </c>
      <c r="D95" s="189">
        <f t="shared" si="305"/>
        <v>0.02</v>
      </c>
      <c r="E95" s="189">
        <f t="shared" si="305"/>
        <v>0.02</v>
      </c>
      <c r="F95" s="189">
        <f t="shared" si="305"/>
        <v>2.1999999999999999E-2</v>
      </c>
      <c r="G95" s="39">
        <f t="shared" si="305"/>
        <v>1.6E-2</v>
      </c>
      <c r="H95" s="39">
        <f t="shared" si="305"/>
        <v>8.9999999999999993E-3</v>
      </c>
      <c r="I95" s="39">
        <f t="shared" si="305"/>
        <v>0.01</v>
      </c>
      <c r="J95" s="39">
        <f t="shared" si="305"/>
        <v>1.0999999999999999E-2</v>
      </c>
      <c r="K95" s="189">
        <f t="shared" si="305"/>
        <v>1.0999999999999999E-2</v>
      </c>
      <c r="L95" s="39">
        <f t="shared" si="305"/>
        <v>1.2E-2</v>
      </c>
      <c r="M95" s="39">
        <f t="shared" si="305"/>
        <v>1.4999999999999999E-2</v>
      </c>
      <c r="N95" s="39">
        <f t="shared" si="305"/>
        <v>2.1000000000000001E-2</v>
      </c>
      <c r="O95" s="39">
        <f t="shared" si="305"/>
        <v>1.4E-2</v>
      </c>
      <c r="P95" s="189">
        <f t="shared" si="305"/>
        <v>1.4999999999999999E-2</v>
      </c>
      <c r="Q95" s="39">
        <f t="shared" si="305"/>
        <v>4.2000000000000003E-2</v>
      </c>
      <c r="R95" s="39">
        <f t="shared" si="305"/>
        <v>2.8000000000000001E-2</v>
      </c>
      <c r="S95" s="39">
        <f t="shared" si="305"/>
        <v>2.1999999999999999E-2</v>
      </c>
      <c r="T95" s="39">
        <f t="shared" si="305"/>
        <v>1.0999999999999999E-2</v>
      </c>
      <c r="U95" s="189">
        <f t="shared" si="305"/>
        <v>2.5999999999999999E-2</v>
      </c>
      <c r="V95" s="39">
        <f t="shared" si="305"/>
        <v>1.7000000000000001E-2</v>
      </c>
      <c r="W95" s="39">
        <f t="shared" si="305"/>
        <v>3.0000000000000001E-3</v>
      </c>
      <c r="X95" s="39">
        <f t="shared" si="305"/>
        <v>1.7000000000000001E-2</v>
      </c>
      <c r="Y95" s="39">
        <f t="shared" si="305"/>
        <v>1.0999999999999999E-2</v>
      </c>
      <c r="Z95" s="189">
        <f t="shared" si="305"/>
        <v>1.2E-2</v>
      </c>
      <c r="AA95" s="39">
        <f t="shared" si="305"/>
        <v>3.0000000000000001E-3</v>
      </c>
      <c r="AB95" s="39">
        <f t="shared" si="305"/>
        <v>-5.0000000000000001E-3</v>
      </c>
      <c r="AC95" s="39">
        <f t="shared" si="305"/>
        <v>-2.3E-2</v>
      </c>
      <c r="AD95" s="39">
        <f t="shared" si="305"/>
        <v>-8.9999999999999993E-3</v>
      </c>
      <c r="AE95" s="189">
        <f t="shared" si="305"/>
        <v>-8.0000000000000002E-3</v>
      </c>
      <c r="AF95" s="39">
        <f t="shared" si="305"/>
        <v>2.1000000000000001E-2</v>
      </c>
      <c r="AG95" s="39">
        <f t="shared" si="305"/>
        <v>1.4E-2</v>
      </c>
      <c r="AH95" s="39">
        <f t="shared" si="305"/>
        <v>1.4999999999999999E-2</v>
      </c>
      <c r="AI95" s="39">
        <f t="shared" si="305"/>
        <v>1.9E-2</v>
      </c>
      <c r="AJ95" s="189">
        <f t="shared" si="305"/>
        <v>1.7000000000000001E-2</v>
      </c>
      <c r="AK95" s="39">
        <f t="shared" si="305"/>
        <v>1.2999999999999999E-2</v>
      </c>
      <c r="AL95" s="39">
        <f t="shared" si="305"/>
        <v>0.01</v>
      </c>
      <c r="AM95" s="39">
        <f t="shared" si="305"/>
        <v>4.0000000000000001E-3</v>
      </c>
      <c r="AN95" s="39">
        <f t="shared" si="305"/>
        <v>6.0000000000000001E-3</v>
      </c>
      <c r="AO95" s="189">
        <f t="shared" si="305"/>
        <v>8.0000000000000002E-3</v>
      </c>
      <c r="AP95" s="39">
        <f t="shared" si="305"/>
        <v>-0.129</v>
      </c>
      <c r="AQ95" s="39">
        <f t="shared" si="305"/>
        <v>-0.56899999999999995</v>
      </c>
      <c r="AR95" s="39">
        <f t="shared" si="305"/>
        <v>-0.23300000000000001</v>
      </c>
      <c r="AS95" s="39">
        <f t="shared" si="305"/>
        <v>-0.19500000000000001</v>
      </c>
      <c r="AT95" s="189">
        <f t="shared" si="305"/>
        <v>-0.28199999999999997</v>
      </c>
      <c r="AU95" s="39">
        <f t="shared" si="305"/>
        <v>2.8000000000000001E-2</v>
      </c>
      <c r="AV95" s="39">
        <f t="shared" si="305"/>
        <v>1.5</v>
      </c>
      <c r="AW95" s="39">
        <f t="shared" si="305"/>
        <v>0.48</v>
      </c>
      <c r="AX95" s="39">
        <f t="shared" si="305"/>
        <v>0.33800000000000002</v>
      </c>
      <c r="AY95" s="189">
        <f t="shared" si="305"/>
        <v>0.44</v>
      </c>
      <c r="AZ95" s="39">
        <f t="shared" si="305"/>
        <v>0.20699999999999999</v>
      </c>
      <c r="BA95" s="39">
        <f t="shared" si="305"/>
        <v>4.7E-2</v>
      </c>
      <c r="BB95" s="39">
        <f t="shared" si="305"/>
        <v>1.0999999999999999E-2</v>
      </c>
      <c r="BC95" s="39">
        <f t="shared" si="305"/>
        <v>0.04</v>
      </c>
      <c r="BD95" s="189">
        <f t="shared" si="305"/>
        <v>7.0000000000000007E-2</v>
      </c>
      <c r="BE95" s="39">
        <f t="shared" si="305"/>
        <v>5.7000000000000002E-2</v>
      </c>
      <c r="BF95" s="39">
        <f t="shared" si="305"/>
        <v>1.4999999999999999E-2</v>
      </c>
      <c r="BG95" s="39">
        <f t="shared" si="305"/>
        <v>2.4E-2</v>
      </c>
      <c r="BH95" s="39">
        <f t="shared" si="305"/>
        <v>2.5000000000000001E-2</v>
      </c>
      <c r="BI95" s="190">
        <f t="shared" si="305"/>
        <v>0.03</v>
      </c>
      <c r="BJ95" s="39">
        <f t="shared" si="305"/>
        <v>4.9999999999999975E-3</v>
      </c>
      <c r="BK95" s="39">
        <f t="shared" si="305"/>
        <v>1.4999999999999996E-2</v>
      </c>
      <c r="BL95" s="39">
        <f t="shared" si="305"/>
        <v>1.4999999999999996E-2</v>
      </c>
      <c r="BM95" s="39">
        <f t="shared" si="305"/>
        <v>1.4999999999999996E-2</v>
      </c>
      <c r="BN95" s="189">
        <f t="shared" si="305"/>
        <v>1.2470434491075839E-2</v>
      </c>
      <c r="BO95" s="39">
        <f t="shared" si="305"/>
        <v>0</v>
      </c>
      <c r="BP95" s="39">
        <f t="shared" si="305"/>
        <v>0</v>
      </c>
      <c r="BQ95" s="39">
        <f t="shared" si="305"/>
        <v>0</v>
      </c>
      <c r="BR95" s="39">
        <f t="shared" si="305"/>
        <v>0</v>
      </c>
      <c r="BS95" s="189">
        <f t="shared" si="305"/>
        <v>0</v>
      </c>
      <c r="BT95" s="189">
        <f t="shared" si="305"/>
        <v>4.4999999999999998E-2</v>
      </c>
      <c r="BU95" s="189">
        <f t="shared" si="305"/>
        <v>4.4999999999999998E-2</v>
      </c>
      <c r="BV95" s="189">
        <f t="shared" si="305"/>
        <v>4.4999999999999998E-2</v>
      </c>
      <c r="BW95" s="45"/>
    </row>
    <row r="96" spans="1:75" ht="15.75" customHeight="1" outlineLevel="1" x14ac:dyDescent="0.2">
      <c r="A96" s="38" t="s">
        <v>545</v>
      </c>
      <c r="B96" s="47"/>
      <c r="C96" s="189"/>
      <c r="D96" s="189"/>
      <c r="E96" s="189"/>
      <c r="F96" s="189"/>
      <c r="G96" s="39"/>
      <c r="H96" s="39"/>
      <c r="I96" s="39"/>
      <c r="J96" s="39"/>
      <c r="K96" s="189"/>
      <c r="L96" s="39"/>
      <c r="M96" s="39"/>
      <c r="N96" s="39"/>
      <c r="O96" s="39"/>
      <c r="P96" s="189"/>
      <c r="Q96" s="39">
        <f t="shared" ref="Q96:BV96" si="306">Q99-Q98-Q97</f>
        <v>-4.5171458780995155E-2</v>
      </c>
      <c r="R96" s="39">
        <f t="shared" si="306"/>
        <v>-3.5223054231903847E-2</v>
      </c>
      <c r="S96" s="39">
        <f t="shared" si="306"/>
        <v>-2.2757085020242856E-2</v>
      </c>
      <c r="T96" s="39">
        <f t="shared" si="306"/>
        <v>-3.0973991624421587E-2</v>
      </c>
      <c r="U96" s="189">
        <f t="shared" si="306"/>
        <v>-3.3801813794804847E-2</v>
      </c>
      <c r="V96" s="39">
        <f t="shared" si="306"/>
        <v>-7.0737043182657194E-3</v>
      </c>
      <c r="W96" s="39">
        <f t="shared" si="306"/>
        <v>-9.5197590622612233E-4</v>
      </c>
      <c r="X96" s="39">
        <f t="shared" si="306"/>
        <v>-1.6934860882652299E-3</v>
      </c>
      <c r="Y96" s="39">
        <f t="shared" si="306"/>
        <v>7.6924139384317664E-2</v>
      </c>
      <c r="Z96" s="189">
        <f t="shared" si="306"/>
        <v>1.6743067277823646E-2</v>
      </c>
      <c r="AA96" s="39">
        <f t="shared" si="306"/>
        <v>-1.7544723886353513E-3</v>
      </c>
      <c r="AB96" s="39">
        <f t="shared" si="306"/>
        <v>-3.5249098896196324E-3</v>
      </c>
      <c r="AC96" s="39">
        <f t="shared" si="306"/>
        <v>-1.1507155686934244E-2</v>
      </c>
      <c r="AD96" s="39">
        <f t="shared" si="306"/>
        <v>-8.103988224100922E-2</v>
      </c>
      <c r="AE96" s="189">
        <f t="shared" si="306"/>
        <v>-2.5789654098269495E-2</v>
      </c>
      <c r="AF96" s="39">
        <f t="shared" si="306"/>
        <v>-1.6797517387434437E-2</v>
      </c>
      <c r="AG96" s="39">
        <f t="shared" si="306"/>
        <v>-9.6570517172975961E-3</v>
      </c>
      <c r="AH96" s="39">
        <f t="shared" si="306"/>
        <v>-4.7303845686498848E-3</v>
      </c>
      <c r="AI96" s="39">
        <f t="shared" si="306"/>
        <v>-8.7293645436999391E-3</v>
      </c>
      <c r="AJ96" s="189">
        <f t="shared" si="306"/>
        <v>-1.7871509556998889E-2</v>
      </c>
      <c r="AK96" s="39">
        <f t="shared" si="306"/>
        <v>-9.0627497535708777E-3</v>
      </c>
      <c r="AL96" s="39">
        <f t="shared" si="306"/>
        <v>-5.758310890372936E-3</v>
      </c>
      <c r="AM96" s="39">
        <f t="shared" si="306"/>
        <v>-6.0506466013424158E-3</v>
      </c>
      <c r="AN96" s="39">
        <f t="shared" si="306"/>
        <v>-3.5973291129665951E-3</v>
      </c>
      <c r="AO96" s="189">
        <f t="shared" si="306"/>
        <v>1.9070968240557425E-3</v>
      </c>
      <c r="AP96" s="39">
        <f t="shared" si="306"/>
        <v>-2.4443471715336028E-3</v>
      </c>
      <c r="AQ96" s="39">
        <f t="shared" si="306"/>
        <v>-3.9404312785906274E-3</v>
      </c>
      <c r="AR96" s="39">
        <f t="shared" si="306"/>
        <v>-4.4211608684539558E-3</v>
      </c>
      <c r="AS96" s="39">
        <f t="shared" si="306"/>
        <v>-2.4855306043569075E-3</v>
      </c>
      <c r="AT96" s="189">
        <f t="shared" si="306"/>
        <v>-3.8350514645623121E-3</v>
      </c>
      <c r="AU96" s="39">
        <f t="shared" si="306"/>
        <v>-6.3775287551197119E-3</v>
      </c>
      <c r="AV96" s="39">
        <f t="shared" si="306"/>
        <v>1.2530621828705183E-2</v>
      </c>
      <c r="AW96" s="39">
        <f t="shared" si="306"/>
        <v>-7.3471825694966422E-2</v>
      </c>
      <c r="AX96" s="39">
        <f t="shared" si="306"/>
        <v>2.7511019881294842E-3</v>
      </c>
      <c r="AY96" s="189">
        <f t="shared" si="306"/>
        <v>-2.4062651590773124E-3</v>
      </c>
      <c r="AZ96" s="39">
        <f t="shared" si="306"/>
        <v>-7.8119826289625455E-4</v>
      </c>
      <c r="BA96" s="39">
        <f t="shared" si="306"/>
        <v>-5.3205064423925202E-3</v>
      </c>
      <c r="BB96" s="39">
        <f t="shared" si="306"/>
        <v>-1.2050389019518202E-3</v>
      </c>
      <c r="BC96" s="39">
        <f t="shared" si="306"/>
        <v>7.8622545921120043E-2</v>
      </c>
      <c r="BD96" s="189">
        <f t="shared" si="306"/>
        <v>1.9570642123618413E-2</v>
      </c>
      <c r="BE96" s="39">
        <f t="shared" si="306"/>
        <v>-8.0839944993596794E-4</v>
      </c>
      <c r="BF96" s="39">
        <f t="shared" si="306"/>
        <v>-4.2550476482355395E-3</v>
      </c>
      <c r="BG96" s="39">
        <f t="shared" si="306"/>
        <v>-1.8087927315630034E-3</v>
      </c>
      <c r="BH96" s="39">
        <f t="shared" si="306"/>
        <v>-7.743453357536878E-2</v>
      </c>
      <c r="BI96" s="190">
        <f t="shared" si="306"/>
        <v>-2.2339164718880828E-2</v>
      </c>
      <c r="BJ96" s="39">
        <f t="shared" si="306"/>
        <v>1.4573525220770538E-4</v>
      </c>
      <c r="BK96" s="39">
        <f t="shared" si="306"/>
        <v>-3.8920213557640123E-3</v>
      </c>
      <c r="BL96" s="39">
        <f t="shared" si="306"/>
        <v>-4.8942415557666425E-3</v>
      </c>
      <c r="BM96" s="39">
        <f t="shared" si="306"/>
        <v>4.1428418420154508E-4</v>
      </c>
      <c r="BN96" s="189">
        <f t="shared" si="306"/>
        <v>-2.5635937843843043E-3</v>
      </c>
      <c r="BO96" s="39">
        <f t="shared" si="306"/>
        <v>-7.717144329857482E-3</v>
      </c>
      <c r="BP96" s="39">
        <f t="shared" si="306"/>
        <v>-4.3564139569585939E-3</v>
      </c>
      <c r="BQ96" s="39">
        <f t="shared" si="306"/>
        <v>-4.0244078124356177E-3</v>
      </c>
      <c r="BR96" s="39">
        <f t="shared" si="306"/>
        <v>-3.9042457106481989E-3</v>
      </c>
      <c r="BS96" s="189">
        <f t="shared" si="306"/>
        <v>-4.7304349564728917E-3</v>
      </c>
      <c r="BT96" s="189">
        <f t="shared" si="306"/>
        <v>-4.0117068963985139E-3</v>
      </c>
      <c r="BU96" s="189">
        <f t="shared" si="306"/>
        <v>-4.7504155668511268E-3</v>
      </c>
      <c r="BV96" s="189">
        <f t="shared" si="306"/>
        <v>1.5289306125655397E-2</v>
      </c>
      <c r="BW96" s="45"/>
    </row>
    <row r="97" spans="1:75" ht="15.75" customHeight="1" outlineLevel="1" x14ac:dyDescent="0.2">
      <c r="A97" s="38" t="s">
        <v>546</v>
      </c>
      <c r="B97" s="47"/>
      <c r="C97" s="189"/>
      <c r="D97" s="189"/>
      <c r="E97" s="189"/>
      <c r="F97" s="189"/>
      <c r="G97" s="39"/>
      <c r="H97" s="39"/>
      <c r="I97" s="39"/>
      <c r="J97" s="39"/>
      <c r="K97" s="189"/>
      <c r="L97" s="39"/>
      <c r="M97" s="39"/>
      <c r="N97" s="39"/>
      <c r="O97" s="39"/>
      <c r="P97" s="189"/>
      <c r="Q97" s="39">
        <f>((Q79-L79)/1000*Q$72)/L93</f>
        <v>3.7989236290036955E-2</v>
      </c>
      <c r="R97" s="39">
        <f>((R79-M79)/1000*R$72)/M93</f>
        <v>2.7760996947964592E-2</v>
      </c>
      <c r="S97" s="39">
        <f>((S79-N79)/1000*S$72)/N93</f>
        <v>1.6733839702258366E-2</v>
      </c>
      <c r="T97" s="39">
        <f>((T79-O79)/1000*T$72)/O93</f>
        <v>2.8580720330328695E-2</v>
      </c>
      <c r="U97" s="189">
        <f t="shared" ref="U97:BS97" si="307">((U79-P79)/1000*U$72)/P93</f>
        <v>2.7664420985003976E-2</v>
      </c>
      <c r="V97" s="39">
        <f t="shared" si="307"/>
        <v>4.2951991651910201E-3</v>
      </c>
      <c r="W97" s="39">
        <f t="shared" si="307"/>
        <v>6.8505805680549282E-4</v>
      </c>
      <c r="X97" s="39">
        <f t="shared" si="307"/>
        <v>2.1063095225869331E-3</v>
      </c>
      <c r="Y97" s="39">
        <f t="shared" si="307"/>
        <v>9.7167667579667119E-3</v>
      </c>
      <c r="Z97" s="189">
        <f t="shared" si="307"/>
        <v>3.7314224932361298E-3</v>
      </c>
      <c r="AA97" s="39">
        <f t="shared" si="307"/>
        <v>-8.7687284649937223E-3</v>
      </c>
      <c r="AB97" s="39">
        <f t="shared" si="307"/>
        <v>-2.4553740102319769E-3</v>
      </c>
      <c r="AC97" s="39">
        <f t="shared" si="307"/>
        <v>-1.1395109763713037E-3</v>
      </c>
      <c r="AD97" s="39">
        <f t="shared" si="307"/>
        <v>-2.7956456575468957E-3</v>
      </c>
      <c r="AE97" s="189">
        <f t="shared" si="307"/>
        <v>-3.7025527917814985E-3</v>
      </c>
      <c r="AF97" s="39">
        <f t="shared" si="307"/>
        <v>7.8181403279919005E-3</v>
      </c>
      <c r="AG97" s="39">
        <f t="shared" si="307"/>
        <v>2.7454083773522163E-3</v>
      </c>
      <c r="AH97" s="39">
        <f t="shared" si="307"/>
        <v>1.8524501700789597E-3</v>
      </c>
      <c r="AI97" s="39">
        <f t="shared" si="307"/>
        <v>-1.7424736170530185E-3</v>
      </c>
      <c r="AJ97" s="189">
        <f t="shared" si="307"/>
        <v>2.9357851873621056E-3</v>
      </c>
      <c r="AK97" s="39">
        <f t="shared" si="307"/>
        <v>-5.6995845942503839E-3</v>
      </c>
      <c r="AL97" s="39">
        <f t="shared" si="307"/>
        <v>-3.6056994965826023E-3</v>
      </c>
      <c r="AM97" s="39">
        <f t="shared" si="307"/>
        <v>-1.1589534445691576E-3</v>
      </c>
      <c r="AN97" s="39">
        <f t="shared" si="307"/>
        <v>5.9901111338435506E-4</v>
      </c>
      <c r="AO97" s="189">
        <f t="shared" si="307"/>
        <v>-2.9510550957792588E-3</v>
      </c>
      <c r="AP97" s="39">
        <f t="shared" si="307"/>
        <v>7.0281589395498173E-4</v>
      </c>
      <c r="AQ97" s="39">
        <f t="shared" si="307"/>
        <v>-1.9725633501167608E-3</v>
      </c>
      <c r="AR97" s="39">
        <f t="shared" si="307"/>
        <v>1.5947302846846681E-3</v>
      </c>
      <c r="AS97" s="39">
        <f t="shared" si="307"/>
        <v>-3.8421229566218758E-3</v>
      </c>
      <c r="AT97" s="189">
        <f t="shared" si="307"/>
        <v>-7.1712802297761453E-4</v>
      </c>
      <c r="AU97" s="39">
        <f t="shared" si="307"/>
        <v>-4.4626190647899504E-3</v>
      </c>
      <c r="AV97" s="39">
        <f t="shared" si="307"/>
        <v>-3.4559201682554186E-3</v>
      </c>
      <c r="AW97" s="39">
        <f t="shared" si="307"/>
        <v>0</v>
      </c>
      <c r="AX97" s="39">
        <f t="shared" si="307"/>
        <v>1.4531281177109837E-3</v>
      </c>
      <c r="AY97" s="189">
        <f t="shared" si="307"/>
        <v>2.5673933059237122E-5</v>
      </c>
      <c r="AZ97" s="39">
        <f t="shared" si="307"/>
        <v>4.9136935070359716E-3</v>
      </c>
      <c r="BA97" s="39">
        <f t="shared" si="307"/>
        <v>7.8759069747025498E-3</v>
      </c>
      <c r="BB97" s="39">
        <f t="shared" si="307"/>
        <v>6.3496314845214831E-7</v>
      </c>
      <c r="BC97" s="39">
        <f t="shared" si="307"/>
        <v>3.3529347812145613E-4</v>
      </c>
      <c r="BD97" s="189">
        <f t="shared" si="307"/>
        <v>2.6908517804715443E-3</v>
      </c>
      <c r="BE97" s="39">
        <f t="shared" si="307"/>
        <v>8.3944139883942624E-4</v>
      </c>
      <c r="BF97" s="39">
        <f t="shared" si="307"/>
        <v>-1.907288887668081E-3</v>
      </c>
      <c r="BG97" s="39">
        <f t="shared" si="307"/>
        <v>-2.9338681451187903E-4</v>
      </c>
      <c r="BH97" s="39">
        <f t="shared" si="307"/>
        <v>2.6082053306116394E-4</v>
      </c>
      <c r="BI97" s="190">
        <f t="shared" si="307"/>
        <v>-7.4499961580570416E-4</v>
      </c>
      <c r="BJ97" s="39">
        <f t="shared" si="307"/>
        <v>-5.1028050366432025E-3</v>
      </c>
      <c r="BK97" s="39">
        <f t="shared" si="307"/>
        <v>3.0122585832519275E-3</v>
      </c>
      <c r="BL97" s="39">
        <f t="shared" si="307"/>
        <v>5.8938306520029966E-4</v>
      </c>
      <c r="BM97" s="39">
        <f t="shared" si="307"/>
        <v>-3.1370283135996476E-3</v>
      </c>
      <c r="BN97" s="189">
        <f t="shared" si="307"/>
        <v>-6.8110900581222391E-4</v>
      </c>
      <c r="BO97" s="39">
        <f t="shared" si="307"/>
        <v>2.9970040187326935E-3</v>
      </c>
      <c r="BP97" s="39">
        <f t="shared" si="307"/>
        <v>-1.3498614641963026E-5</v>
      </c>
      <c r="BQ97" s="39">
        <f t="shared" si="307"/>
        <v>-6.0325951470246935E-6</v>
      </c>
      <c r="BR97" s="39">
        <f t="shared" si="307"/>
        <v>-4.0126313126230076E-6</v>
      </c>
      <c r="BS97" s="189">
        <f t="shared" si="307"/>
        <v>4.4855689985235937E-4</v>
      </c>
      <c r="BT97" s="189">
        <f t="shared" ref="BT97:BV97" si="308">((BT79-BS79)/1000*BT$72)/BS93</f>
        <v>3.531611969856505E-4</v>
      </c>
      <c r="BU97" s="189">
        <f t="shared" si="308"/>
        <v>4.5039900477598319E-4</v>
      </c>
      <c r="BV97" s="189">
        <f t="shared" si="308"/>
        <v>4.7244569925191082E-4</v>
      </c>
      <c r="BW97" s="45"/>
    </row>
    <row r="98" spans="1:75" ht="15.75" customHeight="1" outlineLevel="1" x14ac:dyDescent="0.2">
      <c r="A98" s="50" t="s">
        <v>547</v>
      </c>
      <c r="B98" s="57"/>
      <c r="C98" s="198"/>
      <c r="D98" s="198"/>
      <c r="E98" s="198"/>
      <c r="F98" s="198"/>
      <c r="G98" s="51"/>
      <c r="H98" s="51"/>
      <c r="I98" s="51"/>
      <c r="J98" s="51"/>
      <c r="K98" s="198"/>
      <c r="L98" s="51"/>
      <c r="M98" s="51"/>
      <c r="N98" s="51"/>
      <c r="O98" s="51"/>
      <c r="P98" s="198"/>
      <c r="Q98" s="51">
        <f>(Q79/1000*Q$73)/L93</f>
        <v>4.811969930071347E-2</v>
      </c>
      <c r="R98" s="51">
        <f>(R79/1000*R$73)/M93</f>
        <v>4.9969794506336263E-2</v>
      </c>
      <c r="S98" s="51">
        <f>(S79/1000*S$73)/N93</f>
        <v>4.3029873520092937E-2</v>
      </c>
      <c r="T98" s="51">
        <f>(T79/1000*T$73)/O93</f>
        <v>4.9366698752385932E-2</v>
      </c>
      <c r="U98" s="198">
        <f t="shared" ref="U98:BS98" si="309">(U79/1000*U$73)/P93</f>
        <v>4.7608538439309164E-2</v>
      </c>
      <c r="V98" s="51">
        <f t="shared" si="309"/>
        <v>5.6628326542745362E-2</v>
      </c>
      <c r="W98" s="51">
        <f t="shared" si="309"/>
        <v>5.6513532166024567E-2</v>
      </c>
      <c r="X98" s="51">
        <f t="shared" si="309"/>
        <v>4.6951227152279958E-2</v>
      </c>
      <c r="Y98" s="51">
        <f t="shared" si="309"/>
        <v>5.1817736687880582E-2</v>
      </c>
      <c r="Z98" s="198">
        <f t="shared" si="309"/>
        <v>5.339059870930201E-2</v>
      </c>
      <c r="AA98" s="51">
        <f t="shared" si="309"/>
        <v>2.5136707043439465E-2</v>
      </c>
      <c r="AB98" s="51">
        <f t="shared" si="309"/>
        <v>2.7213352477240875E-2</v>
      </c>
      <c r="AC98" s="51">
        <f t="shared" si="309"/>
        <v>2.6920785872742412E-2</v>
      </c>
      <c r="AD98" s="51">
        <f t="shared" si="309"/>
        <v>3.2546266495402945E-2</v>
      </c>
      <c r="AE98" s="198">
        <f t="shared" si="309"/>
        <v>2.7739468428690062E-2</v>
      </c>
      <c r="AF98" s="51">
        <f t="shared" si="309"/>
        <v>3.7547146267219923E-2</v>
      </c>
      <c r="AG98" s="51">
        <f t="shared" si="309"/>
        <v>3.4958591985539265E-2</v>
      </c>
      <c r="AH98" s="51">
        <f t="shared" si="309"/>
        <v>3.2478503381887583E-2</v>
      </c>
      <c r="AI98" s="51">
        <f t="shared" si="309"/>
        <v>2.2560726272613681E-2</v>
      </c>
      <c r="AJ98" s="198">
        <f t="shared" si="309"/>
        <v>3.1724459611271842E-2</v>
      </c>
      <c r="AK98" s="51">
        <f t="shared" si="309"/>
        <v>1.6297083678871407E-2</v>
      </c>
      <c r="AL98" s="51">
        <f t="shared" si="309"/>
        <v>1.6735280000423115E-2</v>
      </c>
      <c r="AM98" s="51">
        <f t="shared" si="309"/>
        <v>1.4320292035877744E-2</v>
      </c>
      <c r="AN98" s="51">
        <f t="shared" si="309"/>
        <v>2.3078508509505293E-2</v>
      </c>
      <c r="AO98" s="198">
        <f t="shared" si="309"/>
        <v>1.820910528347084E-2</v>
      </c>
      <c r="AP98" s="51">
        <f t="shared" si="309"/>
        <v>2.1083526746316337E-2</v>
      </c>
      <c r="AQ98" s="51">
        <f t="shared" si="309"/>
        <v>1.2011263228701127E-2</v>
      </c>
      <c r="AR98" s="51">
        <f t="shared" si="309"/>
        <v>1.3635089772989231E-2</v>
      </c>
      <c r="AS98" s="51">
        <f t="shared" si="309"/>
        <v>6.43535072730703E-3</v>
      </c>
      <c r="AT98" s="198">
        <f t="shared" si="309"/>
        <v>1.3326026032194722E-2</v>
      </c>
      <c r="AU98" s="51">
        <f t="shared" si="309"/>
        <v>5.1915258955784445E-3</v>
      </c>
      <c r="AV98" s="51">
        <f t="shared" si="309"/>
        <v>7.6052392690804148E-3</v>
      </c>
      <c r="AW98" s="51">
        <f t="shared" si="309"/>
        <v>1.4521554221720476E-2</v>
      </c>
      <c r="AX98" s="51">
        <f t="shared" si="309"/>
        <v>1.3805667610158844E-2</v>
      </c>
      <c r="AY98" s="198">
        <f t="shared" si="309"/>
        <v>9.2029416494859243E-3</v>
      </c>
      <c r="AZ98" s="51">
        <f t="shared" si="309"/>
        <v>9.9917185451106946E-3</v>
      </c>
      <c r="BA98" s="51">
        <f t="shared" si="309"/>
        <v>6.7615713693662529E-3</v>
      </c>
      <c r="BB98" s="51">
        <f t="shared" si="309"/>
        <v>7.6660741635083858E-3</v>
      </c>
      <c r="BC98" s="51">
        <f t="shared" si="309"/>
        <v>1.5381789588800576E-2</v>
      </c>
      <c r="BD98" s="198">
        <f t="shared" si="309"/>
        <v>1.0134912902917823E-2</v>
      </c>
      <c r="BE98" s="51">
        <f t="shared" si="309"/>
        <v>1.8703277911513327E-2</v>
      </c>
      <c r="BF98" s="51">
        <f t="shared" si="309"/>
        <v>9.2989596255740777E-3</v>
      </c>
      <c r="BG98" s="51">
        <f t="shared" si="309"/>
        <v>1.9963045822849426E-2</v>
      </c>
      <c r="BH98" s="51">
        <f t="shared" si="309"/>
        <v>2.8418659051526136E-2</v>
      </c>
      <c r="BI98" s="199">
        <f t="shared" si="309"/>
        <v>1.959597604042089E-2</v>
      </c>
      <c r="BJ98" s="51">
        <f t="shared" si="309"/>
        <v>2.4822067957617829E-2</v>
      </c>
      <c r="BK98" s="51">
        <f t="shared" si="309"/>
        <v>3.2125280826784772E-2</v>
      </c>
      <c r="BL98" s="51">
        <f t="shared" si="309"/>
        <v>2.7316084905660371E-2</v>
      </c>
      <c r="BM98" s="51">
        <f t="shared" si="309"/>
        <v>1.8034006433700362E-2</v>
      </c>
      <c r="BN98" s="198">
        <f t="shared" si="309"/>
        <v>2.557894437884695E-2</v>
      </c>
      <c r="BO98" s="51">
        <f t="shared" si="309"/>
        <v>1.3176391128153732E-2</v>
      </c>
      <c r="BP98" s="51">
        <f t="shared" si="309"/>
        <v>1.3145914983418753E-2</v>
      </c>
      <c r="BQ98" s="51">
        <f t="shared" si="309"/>
        <v>1.5336801137639395E-2</v>
      </c>
      <c r="BR98" s="51">
        <f t="shared" si="309"/>
        <v>1.748740410395264E-2</v>
      </c>
      <c r="BS98" s="198">
        <f t="shared" si="309"/>
        <v>1.4805610566010626E-2</v>
      </c>
      <c r="BT98" s="198">
        <f t="shared" ref="BT98:BV98" si="310">(BT79/1000*BT$73)/BS93</f>
        <v>2.0382817419991459E-2</v>
      </c>
      <c r="BU98" s="198">
        <f t="shared" si="310"/>
        <v>2.2279146711721435E-2</v>
      </c>
      <c r="BV98" s="198">
        <f t="shared" si="310"/>
        <v>2.2307109335554222E-2</v>
      </c>
      <c r="BW98" s="45"/>
    </row>
    <row r="99" spans="1:75" ht="15.75" customHeight="1" outlineLevel="1" x14ac:dyDescent="0.2">
      <c r="A99" s="38" t="s">
        <v>548</v>
      </c>
      <c r="B99" s="47"/>
      <c r="C99" s="189"/>
      <c r="D99" s="189"/>
      <c r="E99" s="189"/>
      <c r="F99" s="189"/>
      <c r="G99" s="39"/>
      <c r="H99" s="39"/>
      <c r="I99" s="39"/>
      <c r="J99" s="39"/>
      <c r="K99" s="189"/>
      <c r="L99" s="39">
        <f t="shared" ref="L99:BV99" si="311">L100-L95</f>
        <v>4.6307942533165627E-2</v>
      </c>
      <c r="M99" s="39">
        <f t="shared" si="311"/>
        <v>4.7632254116206987E-2</v>
      </c>
      <c r="N99" s="39">
        <f t="shared" si="311"/>
        <v>4.7661723329977104E-2</v>
      </c>
      <c r="O99" s="39">
        <f t="shared" si="311"/>
        <v>4.4532837041423537E-2</v>
      </c>
      <c r="P99" s="189">
        <f t="shared" si="311"/>
        <v>4.7060287813767046E-2</v>
      </c>
      <c r="Q99" s="39">
        <f t="shared" si="311"/>
        <v>4.093747680975527E-2</v>
      </c>
      <c r="R99" s="39">
        <f t="shared" si="311"/>
        <v>4.2507737222397007E-2</v>
      </c>
      <c r="S99" s="39">
        <f t="shared" si="311"/>
        <v>3.7006628202108448E-2</v>
      </c>
      <c r="T99" s="39">
        <f t="shared" si="311"/>
        <v>4.6973427458293041E-2</v>
      </c>
      <c r="U99" s="189">
        <f t="shared" si="311"/>
        <v>4.1471145629508294E-2</v>
      </c>
      <c r="V99" s="39">
        <f t="shared" si="311"/>
        <v>5.3849821389670663E-2</v>
      </c>
      <c r="W99" s="39">
        <f t="shared" si="311"/>
        <v>5.6246614316603938E-2</v>
      </c>
      <c r="X99" s="39">
        <f t="shared" si="311"/>
        <v>4.7364050586601661E-2</v>
      </c>
      <c r="Y99" s="39">
        <f t="shared" si="311"/>
        <v>0.13845864283016496</v>
      </c>
      <c r="Z99" s="189">
        <f t="shared" si="311"/>
        <v>7.3865088480361787E-2</v>
      </c>
      <c r="AA99" s="39">
        <f t="shared" si="311"/>
        <v>1.4613506189810391E-2</v>
      </c>
      <c r="AB99" s="39">
        <f t="shared" si="311"/>
        <v>2.1233068577389266E-2</v>
      </c>
      <c r="AC99" s="39">
        <f t="shared" si="311"/>
        <v>1.4274119209436865E-2</v>
      </c>
      <c r="AD99" s="39">
        <f t="shared" si="311"/>
        <v>-5.1289261403153159E-2</v>
      </c>
      <c r="AE99" s="189">
        <f t="shared" si="311"/>
        <v>-1.7527384613609323E-3</v>
      </c>
      <c r="AF99" s="39">
        <f t="shared" si="311"/>
        <v>2.8567769207777389E-2</v>
      </c>
      <c r="AG99" s="39">
        <f t="shared" si="311"/>
        <v>2.8046948645593886E-2</v>
      </c>
      <c r="AH99" s="39">
        <f t="shared" si="311"/>
        <v>2.9600568983316658E-2</v>
      </c>
      <c r="AI99" s="39">
        <f t="shared" si="311"/>
        <v>1.2088888111860725E-2</v>
      </c>
      <c r="AJ99" s="189">
        <f t="shared" si="311"/>
        <v>1.6788735241635058E-2</v>
      </c>
      <c r="AK99" s="39">
        <f t="shared" si="311"/>
        <v>1.5347493310501458E-3</v>
      </c>
      <c r="AL99" s="39">
        <f t="shared" si="311"/>
        <v>7.3712696134675768E-3</v>
      </c>
      <c r="AM99" s="39">
        <f t="shared" si="311"/>
        <v>7.1106919899661704E-3</v>
      </c>
      <c r="AN99" s="39">
        <f t="shared" si="311"/>
        <v>2.0080190509923053E-2</v>
      </c>
      <c r="AO99" s="189">
        <f t="shared" si="311"/>
        <v>1.7165147011747324E-2</v>
      </c>
      <c r="AP99" s="39">
        <f t="shared" si="311"/>
        <v>1.9341995468737716E-2</v>
      </c>
      <c r="AQ99" s="39">
        <f t="shared" si="311"/>
        <v>6.0982685999937392E-3</v>
      </c>
      <c r="AR99" s="39">
        <f t="shared" si="311"/>
        <v>1.0808659189219944E-2</v>
      </c>
      <c r="AS99" s="39">
        <f t="shared" si="311"/>
        <v>1.0769716632824666E-4</v>
      </c>
      <c r="AT99" s="189">
        <f t="shared" si="311"/>
        <v>8.7738465446547953E-3</v>
      </c>
      <c r="AU99" s="39">
        <f t="shared" si="311"/>
        <v>-5.6486219243312187E-3</v>
      </c>
      <c r="AV99" s="39">
        <f t="shared" si="311"/>
        <v>1.6679940929530179E-2</v>
      </c>
      <c r="AW99" s="39">
        <f t="shared" si="311"/>
        <v>-5.8950271473245941E-2</v>
      </c>
      <c r="AX99" s="39">
        <f t="shared" si="311"/>
        <v>1.8009897715999312E-2</v>
      </c>
      <c r="AY99" s="189">
        <f t="shared" si="311"/>
        <v>6.8223504234678489E-3</v>
      </c>
      <c r="AZ99" s="39">
        <f t="shared" si="311"/>
        <v>1.4124213789250412E-2</v>
      </c>
      <c r="BA99" s="39">
        <f t="shared" si="311"/>
        <v>9.3169719016762825E-3</v>
      </c>
      <c r="BB99" s="39">
        <f t="shared" si="311"/>
        <v>6.4616702247050177E-3</v>
      </c>
      <c r="BC99" s="39">
        <f t="shared" si="311"/>
        <v>9.4339628988042074E-2</v>
      </c>
      <c r="BD99" s="189">
        <f t="shared" si="311"/>
        <v>3.2396406807007783E-2</v>
      </c>
      <c r="BE99" s="39">
        <f t="shared" si="311"/>
        <v>1.8734319860416786E-2</v>
      </c>
      <c r="BF99" s="39">
        <f t="shared" si="311"/>
        <v>3.1366230896704567E-3</v>
      </c>
      <c r="BG99" s="39">
        <f t="shared" si="311"/>
        <v>1.7860866276774544E-2</v>
      </c>
      <c r="BH99" s="39">
        <f t="shared" si="311"/>
        <v>-4.8755053990781484E-2</v>
      </c>
      <c r="BI99" s="190">
        <f t="shared" si="311"/>
        <v>-3.4881882942656428E-3</v>
      </c>
      <c r="BJ99" s="39">
        <f t="shared" si="311"/>
        <v>1.9864998173182331E-2</v>
      </c>
      <c r="BK99" s="39">
        <f t="shared" si="311"/>
        <v>3.1245518054272687E-2</v>
      </c>
      <c r="BL99" s="39">
        <f t="shared" si="311"/>
        <v>2.3011226415094028E-2</v>
      </c>
      <c r="BM99" s="39">
        <f t="shared" si="311"/>
        <v>1.531126230430226E-2</v>
      </c>
      <c r="BN99" s="189">
        <f t="shared" si="311"/>
        <v>2.2334241588650421E-2</v>
      </c>
      <c r="BO99" s="39">
        <f t="shared" si="311"/>
        <v>8.456250817028943E-3</v>
      </c>
      <c r="BP99" s="39">
        <f t="shared" si="311"/>
        <v>8.7760024118181956E-3</v>
      </c>
      <c r="BQ99" s="39">
        <f t="shared" si="311"/>
        <v>1.1306360730056753E-2</v>
      </c>
      <c r="BR99" s="39">
        <f t="shared" si="311"/>
        <v>1.3579145761991818E-2</v>
      </c>
      <c r="BS99" s="189">
        <f t="shared" si="311"/>
        <v>1.0523732509390094E-2</v>
      </c>
      <c r="BT99" s="189">
        <f t="shared" si="311"/>
        <v>1.6724271720578596E-2</v>
      </c>
      <c r="BU99" s="189">
        <f t="shared" si="311"/>
        <v>1.7979130149646291E-2</v>
      </c>
      <c r="BV99" s="189">
        <f t="shared" si="311"/>
        <v>3.8068861160461528E-2</v>
      </c>
      <c r="BW99" s="45"/>
    </row>
    <row r="100" spans="1:75" ht="15.75" customHeight="1" outlineLevel="1" x14ac:dyDescent="0.2">
      <c r="A100" s="59" t="s">
        <v>549</v>
      </c>
      <c r="B100" s="200"/>
      <c r="C100" s="201"/>
      <c r="D100" s="201"/>
      <c r="E100" s="201"/>
      <c r="F100" s="201"/>
      <c r="G100" s="60"/>
      <c r="H100" s="60"/>
      <c r="I100" s="60"/>
      <c r="J100" s="60"/>
      <c r="K100" s="201"/>
      <c r="L100" s="60">
        <f t="shared" ref="L100:BV100" si="312">L7</f>
        <v>5.8307942533165624E-2</v>
      </c>
      <c r="M100" s="60">
        <f t="shared" si="312"/>
        <v>6.2632254116206987E-2</v>
      </c>
      <c r="N100" s="60">
        <f t="shared" si="312"/>
        <v>6.8661723329977109E-2</v>
      </c>
      <c r="O100" s="60">
        <f t="shared" si="312"/>
        <v>5.8532837041423535E-2</v>
      </c>
      <c r="P100" s="201">
        <f t="shared" si="312"/>
        <v>6.2060287813767046E-2</v>
      </c>
      <c r="Q100" s="60">
        <f t="shared" si="312"/>
        <v>8.2937476809755273E-2</v>
      </c>
      <c r="R100" s="60">
        <f t="shared" si="312"/>
        <v>7.0507737222397004E-2</v>
      </c>
      <c r="S100" s="60">
        <f t="shared" si="312"/>
        <v>5.9006628202108447E-2</v>
      </c>
      <c r="T100" s="60">
        <f t="shared" si="312"/>
        <v>5.7973427458293036E-2</v>
      </c>
      <c r="U100" s="201">
        <f t="shared" si="312"/>
        <v>6.7471145629508289E-2</v>
      </c>
      <c r="V100" s="60">
        <f t="shared" si="312"/>
        <v>7.0849821389670664E-2</v>
      </c>
      <c r="W100" s="60">
        <f t="shared" si="312"/>
        <v>5.9246614316603941E-2</v>
      </c>
      <c r="X100" s="60">
        <f t="shared" si="312"/>
        <v>6.4364050586601662E-2</v>
      </c>
      <c r="Y100" s="60">
        <f t="shared" si="312"/>
        <v>0.14945864283016497</v>
      </c>
      <c r="Z100" s="201">
        <f t="shared" si="312"/>
        <v>8.5865088480361784E-2</v>
      </c>
      <c r="AA100" s="60">
        <f t="shared" si="312"/>
        <v>1.7613506189810391E-2</v>
      </c>
      <c r="AB100" s="60">
        <f t="shared" si="312"/>
        <v>1.6233068577389265E-2</v>
      </c>
      <c r="AC100" s="60">
        <f t="shared" si="312"/>
        <v>-8.7258807905631341E-3</v>
      </c>
      <c r="AD100" s="60">
        <f t="shared" si="312"/>
        <v>-6.028926140315316E-2</v>
      </c>
      <c r="AE100" s="201">
        <f t="shared" si="312"/>
        <v>-9.7527384613609325E-3</v>
      </c>
      <c r="AF100" s="60">
        <f t="shared" si="312"/>
        <v>4.956776920777739E-2</v>
      </c>
      <c r="AG100" s="60">
        <f t="shared" si="312"/>
        <v>4.2046948645593885E-2</v>
      </c>
      <c r="AH100" s="60">
        <f t="shared" si="312"/>
        <v>4.4600568983316657E-2</v>
      </c>
      <c r="AI100" s="60">
        <f t="shared" si="312"/>
        <v>3.1088888111860724E-2</v>
      </c>
      <c r="AJ100" s="201">
        <f t="shared" si="312"/>
        <v>3.3788735241635059E-2</v>
      </c>
      <c r="AK100" s="60">
        <f t="shared" si="312"/>
        <v>1.4534749331050145E-2</v>
      </c>
      <c r="AL100" s="60">
        <f t="shared" si="312"/>
        <v>1.7371269613467577E-2</v>
      </c>
      <c r="AM100" s="60">
        <f t="shared" si="312"/>
        <v>1.111069198996617E-2</v>
      </c>
      <c r="AN100" s="60">
        <f t="shared" si="312"/>
        <v>2.6080190509923051E-2</v>
      </c>
      <c r="AO100" s="201">
        <f t="shared" si="312"/>
        <v>2.5165147011747324E-2</v>
      </c>
      <c r="AP100" s="60">
        <f t="shared" si="312"/>
        <v>-0.10965800453126229</v>
      </c>
      <c r="AQ100" s="60">
        <f t="shared" si="312"/>
        <v>-0.56290173140000621</v>
      </c>
      <c r="AR100" s="60">
        <f t="shared" si="312"/>
        <v>-0.22219134081078007</v>
      </c>
      <c r="AS100" s="60">
        <f t="shared" si="312"/>
        <v>-0.19489230283367176</v>
      </c>
      <c r="AT100" s="201">
        <f t="shared" si="312"/>
        <v>-0.27322615345534518</v>
      </c>
      <c r="AU100" s="60">
        <f t="shared" si="312"/>
        <v>2.2351378075668782E-2</v>
      </c>
      <c r="AV100" s="60">
        <f t="shared" si="312"/>
        <v>1.5166799409295302</v>
      </c>
      <c r="AW100" s="60">
        <f t="shared" si="312"/>
        <v>0.42104972852675404</v>
      </c>
      <c r="AX100" s="60">
        <f t="shared" si="312"/>
        <v>0.35600989771599933</v>
      </c>
      <c r="AY100" s="201">
        <f t="shared" si="312"/>
        <v>0.44682235042346785</v>
      </c>
      <c r="AZ100" s="60">
        <f t="shared" si="312"/>
        <v>0.2211242137892504</v>
      </c>
      <c r="BA100" s="60">
        <f t="shared" si="312"/>
        <v>5.6316971901676283E-2</v>
      </c>
      <c r="BB100" s="60">
        <f t="shared" si="312"/>
        <v>1.7461670224705017E-2</v>
      </c>
      <c r="BC100" s="60">
        <f t="shared" si="312"/>
        <v>0.13433962898804208</v>
      </c>
      <c r="BD100" s="201">
        <f t="shared" si="312"/>
        <v>0.10239640680700779</v>
      </c>
      <c r="BE100" s="60">
        <f t="shared" si="312"/>
        <v>7.5734319860416788E-2</v>
      </c>
      <c r="BF100" s="60">
        <f t="shared" si="312"/>
        <v>1.8136623089670456E-2</v>
      </c>
      <c r="BG100" s="60">
        <f t="shared" si="312"/>
        <v>4.1860866276774544E-2</v>
      </c>
      <c r="BH100" s="60">
        <f t="shared" si="312"/>
        <v>-2.3755053990781483E-2</v>
      </c>
      <c r="BI100" s="202">
        <f t="shared" si="312"/>
        <v>2.6511811705734356E-2</v>
      </c>
      <c r="BJ100" s="60">
        <f t="shared" si="312"/>
        <v>2.4864998173182329E-2</v>
      </c>
      <c r="BK100" s="60">
        <f t="shared" si="312"/>
        <v>4.6245518054272683E-2</v>
      </c>
      <c r="BL100" s="60">
        <f t="shared" si="312"/>
        <v>3.8011226415094024E-2</v>
      </c>
      <c r="BM100" s="60">
        <f t="shared" si="312"/>
        <v>3.0311262304302256E-2</v>
      </c>
      <c r="BN100" s="201">
        <f t="shared" si="312"/>
        <v>3.480467607972626E-2</v>
      </c>
      <c r="BO100" s="60">
        <f t="shared" si="312"/>
        <v>8.456250817028943E-3</v>
      </c>
      <c r="BP100" s="60">
        <f t="shared" si="312"/>
        <v>8.7760024118181956E-3</v>
      </c>
      <c r="BQ100" s="60">
        <f t="shared" si="312"/>
        <v>1.1306360730056753E-2</v>
      </c>
      <c r="BR100" s="60">
        <f t="shared" si="312"/>
        <v>1.3579145761991818E-2</v>
      </c>
      <c r="BS100" s="201">
        <f t="shared" si="312"/>
        <v>1.0523732509390094E-2</v>
      </c>
      <c r="BT100" s="201">
        <f t="shared" si="312"/>
        <v>6.1724271720578594E-2</v>
      </c>
      <c r="BU100" s="201">
        <f t="shared" si="312"/>
        <v>6.297913014964629E-2</v>
      </c>
      <c r="BV100" s="201">
        <f t="shared" si="312"/>
        <v>8.3068861160461527E-2</v>
      </c>
      <c r="BW100" s="37"/>
    </row>
    <row r="101" spans="1:75" x14ac:dyDescent="0.2">
      <c r="A101" s="85"/>
      <c r="B101" s="85"/>
      <c r="C101" s="86"/>
      <c r="D101" s="86"/>
      <c r="E101" s="86"/>
      <c r="F101" s="86"/>
      <c r="G101" s="2"/>
      <c r="H101" s="2"/>
      <c r="I101" s="2"/>
      <c r="J101" s="2"/>
      <c r="K101" s="86"/>
      <c r="L101" s="2"/>
      <c r="M101" s="2"/>
      <c r="N101" s="2"/>
      <c r="O101" s="2"/>
      <c r="P101" s="86"/>
      <c r="Q101" s="2"/>
      <c r="R101" s="2"/>
      <c r="S101" s="2"/>
      <c r="T101" s="2"/>
      <c r="U101" s="86"/>
      <c r="V101" s="2"/>
      <c r="W101" s="2"/>
      <c r="X101" s="2"/>
      <c r="Y101" s="2"/>
      <c r="Z101" s="86"/>
      <c r="AA101" s="2"/>
      <c r="AB101" s="2"/>
      <c r="AC101" s="2"/>
      <c r="AD101" s="2"/>
      <c r="AE101" s="86"/>
      <c r="AF101" s="2"/>
      <c r="AG101" s="2"/>
      <c r="AH101" s="2"/>
      <c r="AI101" s="2"/>
      <c r="AJ101" s="86"/>
      <c r="AK101" s="2"/>
      <c r="AL101" s="2"/>
      <c r="AM101" s="2"/>
      <c r="AN101" s="2"/>
      <c r="AO101" s="86"/>
      <c r="AP101" s="2"/>
      <c r="AQ101" s="2"/>
      <c r="AR101" s="2"/>
      <c r="AS101" s="2"/>
      <c r="AT101" s="86"/>
      <c r="AU101" s="2"/>
      <c r="AV101" s="2"/>
      <c r="AW101" s="2"/>
      <c r="AX101" s="2"/>
      <c r="AY101" s="86"/>
      <c r="AZ101" s="2"/>
      <c r="BA101" s="2"/>
      <c r="BB101" s="2"/>
      <c r="BC101" s="2"/>
      <c r="BD101" s="86"/>
      <c r="BE101" s="2"/>
      <c r="BF101" s="2"/>
      <c r="BG101" s="2"/>
      <c r="BH101" s="2"/>
      <c r="BI101" s="90"/>
      <c r="BJ101" s="2"/>
      <c r="BK101" s="2"/>
      <c r="BL101" s="2"/>
      <c r="BM101" s="2"/>
      <c r="BN101" s="86"/>
      <c r="BO101" s="2"/>
      <c r="BP101" s="2"/>
      <c r="BQ101" s="2"/>
      <c r="BR101" s="2"/>
      <c r="BS101" s="86"/>
      <c r="BT101" s="86"/>
      <c r="BU101" s="86"/>
      <c r="BV101" s="86"/>
      <c r="BW101" s="4"/>
    </row>
    <row r="102" spans="1:75" ht="15.75" customHeight="1" x14ac:dyDescent="0.2">
      <c r="A102" s="81" t="s">
        <v>550</v>
      </c>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2"/>
      <c r="BJ102" s="81"/>
      <c r="BK102" s="81"/>
      <c r="BL102" s="81"/>
      <c r="BM102" s="81"/>
      <c r="BN102" s="81"/>
      <c r="BO102" s="81"/>
      <c r="BP102" s="81"/>
      <c r="BQ102" s="81"/>
      <c r="BR102" s="81"/>
      <c r="BS102" s="81"/>
      <c r="BT102" s="81"/>
      <c r="BU102" s="81"/>
      <c r="BV102" s="81"/>
      <c r="BW102" s="83"/>
    </row>
    <row r="103" spans="1:75" ht="15.75" customHeight="1" outlineLevel="1" x14ac:dyDescent="0.2">
      <c r="A103" s="117" t="s">
        <v>288</v>
      </c>
      <c r="B103" s="117"/>
      <c r="C103" s="122"/>
      <c r="D103" s="122"/>
      <c r="E103" s="122"/>
      <c r="F103" s="122"/>
      <c r="G103" s="121"/>
      <c r="H103" s="121"/>
      <c r="I103" s="121"/>
      <c r="J103" s="121"/>
      <c r="K103" s="122"/>
      <c r="L103" s="121"/>
      <c r="M103" s="121"/>
      <c r="N103" s="121"/>
      <c r="O103" s="121"/>
      <c r="P103" s="122"/>
      <c r="Q103" s="121"/>
      <c r="R103" s="121"/>
      <c r="S103" s="121"/>
      <c r="T103" s="121"/>
      <c r="U103" s="122"/>
      <c r="V103" s="121"/>
      <c r="W103" s="121"/>
      <c r="X103" s="121"/>
      <c r="Y103" s="121"/>
      <c r="Z103" s="122"/>
      <c r="AA103" s="121"/>
      <c r="AB103" s="121"/>
      <c r="AC103" s="121"/>
      <c r="AD103" s="121"/>
      <c r="AE103" s="122"/>
      <c r="AF103" s="121"/>
      <c r="AG103" s="121"/>
      <c r="AH103" s="121"/>
      <c r="AI103" s="121"/>
      <c r="AJ103" s="122"/>
      <c r="AK103" s="121"/>
      <c r="AL103" s="121"/>
      <c r="AM103" s="121"/>
      <c r="AN103" s="121">
        <f>AM106</f>
        <v>21</v>
      </c>
      <c r="AO103" s="122">
        <f>AJ106</f>
        <v>0</v>
      </c>
      <c r="AP103" s="121">
        <f t="shared" ref="AP103:AS103" si="313">AO106</f>
        <v>22</v>
      </c>
      <c r="AQ103" s="121">
        <f t="shared" si="313"/>
        <v>23</v>
      </c>
      <c r="AR103" s="121">
        <f t="shared" si="313"/>
        <v>23</v>
      </c>
      <c r="AS103" s="121">
        <f t="shared" si="313"/>
        <v>23</v>
      </c>
      <c r="AT103" s="122">
        <f>AO106</f>
        <v>22</v>
      </c>
      <c r="AU103" s="121">
        <f t="shared" ref="AU103:AX103" si="314">AT106</f>
        <v>23</v>
      </c>
      <c r="AV103" s="121">
        <f t="shared" si="314"/>
        <v>24</v>
      </c>
      <c r="AW103" s="121">
        <f t="shared" si="314"/>
        <v>26</v>
      </c>
      <c r="AX103" s="121">
        <f t="shared" si="314"/>
        <v>28</v>
      </c>
      <c r="AY103" s="122">
        <f>AT106</f>
        <v>23</v>
      </c>
      <c r="AZ103" s="121">
        <f t="shared" ref="AZ103:BC103" si="315">AY106</f>
        <v>29</v>
      </c>
      <c r="BA103" s="121">
        <f t="shared" si="315"/>
        <v>29</v>
      </c>
      <c r="BB103" s="121">
        <f t="shared" si="315"/>
        <v>30</v>
      </c>
      <c r="BC103" s="121">
        <f t="shared" si="315"/>
        <v>31</v>
      </c>
      <c r="BD103" s="122">
        <f>AY106</f>
        <v>29</v>
      </c>
      <c r="BE103" s="121">
        <f t="shared" ref="BE103:BH103" si="316">BD106</f>
        <v>33</v>
      </c>
      <c r="BF103" s="121">
        <f t="shared" si="316"/>
        <v>33</v>
      </c>
      <c r="BG103" s="121">
        <f t="shared" si="316"/>
        <v>33</v>
      </c>
      <c r="BH103" s="121">
        <f t="shared" si="316"/>
        <v>33</v>
      </c>
      <c r="BI103" s="123">
        <f>BD106</f>
        <v>33</v>
      </c>
      <c r="BJ103" s="121">
        <f t="shared" ref="BJ103:BM103" si="317">BI106</f>
        <v>36</v>
      </c>
      <c r="BK103" s="121">
        <f t="shared" si="317"/>
        <v>37</v>
      </c>
      <c r="BL103" s="121">
        <f t="shared" si="317"/>
        <v>38</v>
      </c>
      <c r="BM103" s="121">
        <f t="shared" si="317"/>
        <v>40</v>
      </c>
      <c r="BN103" s="122">
        <f>BI106</f>
        <v>36</v>
      </c>
      <c r="BO103" s="121">
        <f t="shared" ref="BO103:BR103" si="318">BN106</f>
        <v>42</v>
      </c>
      <c r="BP103" s="121">
        <f t="shared" si="318"/>
        <v>43</v>
      </c>
      <c r="BQ103" s="121">
        <f t="shared" si="318"/>
        <v>45</v>
      </c>
      <c r="BR103" s="121">
        <f t="shared" si="318"/>
        <v>47</v>
      </c>
      <c r="BS103" s="122">
        <f>BN106</f>
        <v>42</v>
      </c>
      <c r="BT103" s="122">
        <f t="shared" ref="BT103:BV103" si="319">BS106</f>
        <v>49</v>
      </c>
      <c r="BU103" s="122">
        <f t="shared" si="319"/>
        <v>54</v>
      </c>
      <c r="BV103" s="122">
        <f t="shared" si="319"/>
        <v>59</v>
      </c>
      <c r="BW103" s="120"/>
    </row>
    <row r="104" spans="1:75" ht="15.75" customHeight="1" outlineLevel="1" x14ac:dyDescent="0.2">
      <c r="A104" s="125" t="s">
        <v>289</v>
      </c>
      <c r="B104" s="125"/>
      <c r="C104" s="130"/>
      <c r="D104" s="130"/>
      <c r="E104" s="130"/>
      <c r="F104" s="130"/>
      <c r="G104" s="154"/>
      <c r="H104" s="154"/>
      <c r="I104" s="154"/>
      <c r="J104" s="154"/>
      <c r="K104" s="130"/>
      <c r="L104" s="154"/>
      <c r="M104" s="154"/>
      <c r="N104" s="154"/>
      <c r="O104" s="154"/>
      <c r="P104" s="130"/>
      <c r="Q104" s="154"/>
      <c r="R104" s="154"/>
      <c r="S104" s="154"/>
      <c r="T104" s="154"/>
      <c r="U104" s="130"/>
      <c r="V104" s="154"/>
      <c r="W104" s="154"/>
      <c r="X104" s="154"/>
      <c r="Y104" s="154"/>
      <c r="Z104" s="130"/>
      <c r="AA104" s="154"/>
      <c r="AB104" s="154"/>
      <c r="AC104" s="154"/>
      <c r="AD104" s="154"/>
      <c r="AE104" s="130"/>
      <c r="AF104" s="154"/>
      <c r="AG104" s="154"/>
      <c r="AH104" s="154"/>
      <c r="AI104" s="154"/>
      <c r="AJ104" s="130"/>
      <c r="AK104" s="154"/>
      <c r="AL104" s="154"/>
      <c r="AM104" s="154"/>
      <c r="AN104" s="127">
        <v>1</v>
      </c>
      <c r="AO104" s="130">
        <f>AN104+AM106</f>
        <v>22</v>
      </c>
      <c r="AP104" s="127">
        <v>1</v>
      </c>
      <c r="AQ104" s="127">
        <v>0</v>
      </c>
      <c r="AR104" s="127">
        <v>0</v>
      </c>
      <c r="AS104" s="127">
        <v>0</v>
      </c>
      <c r="AT104" s="130">
        <f t="shared" ref="AT104:AT105" si="320">SUM(AP104,AQ104,AR104,AS104)</f>
        <v>1</v>
      </c>
      <c r="AU104" s="127">
        <v>1</v>
      </c>
      <c r="AV104" s="127">
        <v>2</v>
      </c>
      <c r="AW104" s="127">
        <v>2</v>
      </c>
      <c r="AX104" s="127">
        <v>1</v>
      </c>
      <c r="AY104" s="130">
        <f t="shared" ref="AY104:AY105" si="321">SUM(AU104,AV104,AW104,AX104)</f>
        <v>6</v>
      </c>
      <c r="AZ104" s="127">
        <v>0</v>
      </c>
      <c r="BA104" s="127">
        <v>1</v>
      </c>
      <c r="BB104" s="127">
        <v>1</v>
      </c>
      <c r="BC104" s="127">
        <v>2</v>
      </c>
      <c r="BD104" s="130">
        <f t="shared" ref="BD104:BD105" si="322">SUM(AZ104,BA104,BB104,BC104)</f>
        <v>4</v>
      </c>
      <c r="BE104" s="127">
        <v>0</v>
      </c>
      <c r="BF104" s="127">
        <v>0</v>
      </c>
      <c r="BG104" s="127">
        <v>0</v>
      </c>
      <c r="BH104" s="127">
        <v>3</v>
      </c>
      <c r="BI104" s="155">
        <f t="shared" ref="BI104:BI105" si="323">SUM(BE104,BF104,BG104,BH104)</f>
        <v>3</v>
      </c>
      <c r="BJ104" s="127">
        <v>1</v>
      </c>
      <c r="BK104" s="127">
        <v>1</v>
      </c>
      <c r="BL104" s="127">
        <v>2</v>
      </c>
      <c r="BM104" s="127">
        <v>2</v>
      </c>
      <c r="BN104" s="130">
        <f t="shared" ref="BN104:BN105" si="324">SUM(BJ104,BK104,BL104,BM104)</f>
        <v>6</v>
      </c>
      <c r="BO104" s="127">
        <v>1</v>
      </c>
      <c r="BP104" s="127">
        <v>2</v>
      </c>
      <c r="BQ104" s="127">
        <v>2</v>
      </c>
      <c r="BR104" s="127">
        <v>2</v>
      </c>
      <c r="BS104" s="130">
        <f t="shared" ref="BS104:BS105" si="325">SUM(BO104,BP104,BQ104,BR104)</f>
        <v>7</v>
      </c>
      <c r="BT104" s="126">
        <v>5</v>
      </c>
      <c r="BU104" s="126">
        <v>5</v>
      </c>
      <c r="BV104" s="126">
        <v>5</v>
      </c>
      <c r="BW104" s="131"/>
    </row>
    <row r="105" spans="1:75" ht="15.75" customHeight="1" outlineLevel="1" x14ac:dyDescent="0.2">
      <c r="A105" s="133" t="s">
        <v>290</v>
      </c>
      <c r="B105" s="133"/>
      <c r="C105" s="138"/>
      <c r="D105" s="138"/>
      <c r="E105" s="138"/>
      <c r="F105" s="138"/>
      <c r="G105" s="174"/>
      <c r="H105" s="174"/>
      <c r="I105" s="174"/>
      <c r="J105" s="174"/>
      <c r="K105" s="138"/>
      <c r="L105" s="174"/>
      <c r="M105" s="174"/>
      <c r="N105" s="174"/>
      <c r="O105" s="174"/>
      <c r="P105" s="138"/>
      <c r="Q105" s="174"/>
      <c r="R105" s="174"/>
      <c r="S105" s="174"/>
      <c r="T105" s="174"/>
      <c r="U105" s="138"/>
      <c r="V105" s="174"/>
      <c r="W105" s="174"/>
      <c r="X105" s="174"/>
      <c r="Y105" s="174"/>
      <c r="Z105" s="138"/>
      <c r="AA105" s="174"/>
      <c r="AB105" s="174"/>
      <c r="AC105" s="174"/>
      <c r="AD105" s="174"/>
      <c r="AE105" s="138"/>
      <c r="AF105" s="174"/>
      <c r="AG105" s="174"/>
      <c r="AH105" s="174"/>
      <c r="AI105" s="174"/>
      <c r="AJ105" s="138"/>
      <c r="AK105" s="174"/>
      <c r="AL105" s="174"/>
      <c r="AM105" s="174"/>
      <c r="AN105" s="137">
        <v>0</v>
      </c>
      <c r="AO105" s="139">
        <v>0</v>
      </c>
      <c r="AP105" s="174">
        <f t="shared" ref="AP105:AR105" si="326">-(AP104-(AP106-AP103))</f>
        <v>0</v>
      </c>
      <c r="AQ105" s="174">
        <f t="shared" si="326"/>
        <v>0</v>
      </c>
      <c r="AR105" s="174">
        <f t="shared" si="326"/>
        <v>0</v>
      </c>
      <c r="AS105" s="137">
        <v>0</v>
      </c>
      <c r="AT105" s="138">
        <f t="shared" si="320"/>
        <v>0</v>
      </c>
      <c r="AU105" s="174">
        <f t="shared" ref="AU105:AX105" si="327">-(AU104-(AU106-AU103))</f>
        <v>0</v>
      </c>
      <c r="AV105" s="174">
        <f t="shared" si="327"/>
        <v>0</v>
      </c>
      <c r="AW105" s="174">
        <f t="shared" si="327"/>
        <v>0</v>
      </c>
      <c r="AX105" s="174">
        <f t="shared" si="327"/>
        <v>0</v>
      </c>
      <c r="AY105" s="138">
        <f t="shared" si="321"/>
        <v>0</v>
      </c>
      <c r="AZ105" s="174">
        <f t="shared" ref="AZ105:BC105" si="328">-(AZ104-(AZ106-AZ103))</f>
        <v>0</v>
      </c>
      <c r="BA105" s="174">
        <f t="shared" si="328"/>
        <v>0</v>
      </c>
      <c r="BB105" s="174">
        <f t="shared" si="328"/>
        <v>0</v>
      </c>
      <c r="BC105" s="174">
        <f t="shared" si="328"/>
        <v>0</v>
      </c>
      <c r="BD105" s="138">
        <f t="shared" si="322"/>
        <v>0</v>
      </c>
      <c r="BE105" s="174">
        <f t="shared" ref="BE105:BH105" si="329">-(BE104-(BE106-BE103))</f>
        <v>0</v>
      </c>
      <c r="BF105" s="174">
        <f t="shared" si="329"/>
        <v>0</v>
      </c>
      <c r="BG105" s="154">
        <f t="shared" si="329"/>
        <v>0</v>
      </c>
      <c r="BH105" s="174">
        <f t="shared" si="329"/>
        <v>0</v>
      </c>
      <c r="BI105" s="203">
        <f t="shared" si="323"/>
        <v>0</v>
      </c>
      <c r="BJ105" s="137">
        <v>0</v>
      </c>
      <c r="BK105" s="137">
        <v>0</v>
      </c>
      <c r="BL105" s="137">
        <v>0</v>
      </c>
      <c r="BM105" s="137">
        <v>0</v>
      </c>
      <c r="BN105" s="138">
        <f t="shared" si="324"/>
        <v>0</v>
      </c>
      <c r="BO105" s="137">
        <v>0</v>
      </c>
      <c r="BP105" s="137">
        <v>0</v>
      </c>
      <c r="BQ105" s="137">
        <v>0</v>
      </c>
      <c r="BR105" s="137">
        <v>0</v>
      </c>
      <c r="BS105" s="138">
        <f t="shared" si="325"/>
        <v>0</v>
      </c>
      <c r="BT105" s="139">
        <v>0</v>
      </c>
      <c r="BU105" s="139">
        <v>0</v>
      </c>
      <c r="BV105" s="139">
        <v>0</v>
      </c>
      <c r="BW105" s="131"/>
    </row>
    <row r="106" spans="1:75" ht="15.75" customHeight="1" outlineLevel="1" x14ac:dyDescent="0.2">
      <c r="A106" s="141" t="s">
        <v>291</v>
      </c>
      <c r="B106" s="141"/>
      <c r="C106" s="145"/>
      <c r="D106" s="145"/>
      <c r="E106" s="145"/>
      <c r="F106" s="145"/>
      <c r="G106" s="147"/>
      <c r="H106" s="147"/>
      <c r="I106" s="147"/>
      <c r="J106" s="147"/>
      <c r="K106" s="145"/>
      <c r="L106" s="147"/>
      <c r="M106" s="147"/>
      <c r="N106" s="147"/>
      <c r="O106" s="147"/>
      <c r="P106" s="145"/>
      <c r="Q106" s="147"/>
      <c r="R106" s="147"/>
      <c r="S106" s="147"/>
      <c r="T106" s="147"/>
      <c r="U106" s="145"/>
      <c r="V106" s="147"/>
      <c r="W106" s="147"/>
      <c r="X106" s="147"/>
      <c r="Y106" s="147"/>
      <c r="Z106" s="145"/>
      <c r="AA106" s="147"/>
      <c r="AB106" s="147"/>
      <c r="AC106" s="147"/>
      <c r="AD106" s="147"/>
      <c r="AE106" s="145"/>
      <c r="AF106" s="147"/>
      <c r="AG106" s="147"/>
      <c r="AH106" s="147"/>
      <c r="AI106" s="147"/>
      <c r="AJ106" s="145"/>
      <c r="AK106" s="147"/>
      <c r="AL106" s="147"/>
      <c r="AM106" s="143">
        <v>21</v>
      </c>
      <c r="AN106" s="147">
        <f>AN103+AN104+AN105</f>
        <v>22</v>
      </c>
      <c r="AO106" s="145">
        <f>AN106</f>
        <v>22</v>
      </c>
      <c r="AP106" s="143">
        <v>23</v>
      </c>
      <c r="AQ106" s="143">
        <v>23</v>
      </c>
      <c r="AR106" s="143">
        <v>23</v>
      </c>
      <c r="AS106" s="147">
        <f>AS103+AS104+AS105</f>
        <v>23</v>
      </c>
      <c r="AT106" s="145">
        <f>AS106</f>
        <v>23</v>
      </c>
      <c r="AU106" s="143">
        <v>24</v>
      </c>
      <c r="AV106" s="143">
        <v>26</v>
      </c>
      <c r="AW106" s="143">
        <v>28</v>
      </c>
      <c r="AX106" s="143">
        <v>29</v>
      </c>
      <c r="AY106" s="145">
        <f>AX106</f>
        <v>29</v>
      </c>
      <c r="AZ106" s="143">
        <v>29</v>
      </c>
      <c r="BA106" s="143">
        <v>30</v>
      </c>
      <c r="BB106" s="143">
        <v>31</v>
      </c>
      <c r="BC106" s="143">
        <v>33</v>
      </c>
      <c r="BD106" s="145">
        <f>BC106</f>
        <v>33</v>
      </c>
      <c r="BE106" s="143">
        <v>33</v>
      </c>
      <c r="BF106" s="143">
        <v>33</v>
      </c>
      <c r="BG106" s="143">
        <v>33</v>
      </c>
      <c r="BH106" s="143">
        <v>36</v>
      </c>
      <c r="BI106" s="146">
        <f>BH106</f>
        <v>36</v>
      </c>
      <c r="BJ106" s="147">
        <f t="shared" ref="BJ106:BV106" si="330">BJ103+BJ104+BJ105</f>
        <v>37</v>
      </c>
      <c r="BK106" s="147">
        <f t="shared" si="330"/>
        <v>38</v>
      </c>
      <c r="BL106" s="147">
        <f t="shared" si="330"/>
        <v>40</v>
      </c>
      <c r="BM106" s="147">
        <f t="shared" si="330"/>
        <v>42</v>
      </c>
      <c r="BN106" s="145">
        <f t="shared" si="330"/>
        <v>42</v>
      </c>
      <c r="BO106" s="147">
        <f t="shared" si="330"/>
        <v>43</v>
      </c>
      <c r="BP106" s="147">
        <f t="shared" si="330"/>
        <v>45</v>
      </c>
      <c r="BQ106" s="147">
        <f t="shared" si="330"/>
        <v>47</v>
      </c>
      <c r="BR106" s="147">
        <f t="shared" si="330"/>
        <v>49</v>
      </c>
      <c r="BS106" s="145">
        <f t="shared" si="330"/>
        <v>49</v>
      </c>
      <c r="BT106" s="145">
        <f t="shared" si="330"/>
        <v>54</v>
      </c>
      <c r="BU106" s="145">
        <f t="shared" si="330"/>
        <v>59</v>
      </c>
      <c r="BV106" s="145">
        <f t="shared" si="330"/>
        <v>64</v>
      </c>
      <c r="BW106" s="120"/>
    </row>
    <row r="107" spans="1:75" ht="15.75" customHeight="1" outlineLevel="1" x14ac:dyDescent="0.2">
      <c r="A107" s="148" t="s">
        <v>292</v>
      </c>
      <c r="B107" s="149"/>
      <c r="C107" s="150"/>
      <c r="D107" s="150"/>
      <c r="E107" s="150"/>
      <c r="F107" s="150"/>
      <c r="G107" s="151"/>
      <c r="H107" s="151"/>
      <c r="I107" s="151"/>
      <c r="J107" s="151"/>
      <c r="K107" s="150"/>
      <c r="L107" s="151"/>
      <c r="M107" s="151"/>
      <c r="N107" s="151"/>
      <c r="O107" s="151"/>
      <c r="P107" s="150"/>
      <c r="Q107" s="151"/>
      <c r="R107" s="151"/>
      <c r="S107" s="151"/>
      <c r="T107" s="151"/>
      <c r="U107" s="150"/>
      <c r="V107" s="151"/>
      <c r="W107" s="151"/>
      <c r="X107" s="151"/>
      <c r="Y107" s="151"/>
      <c r="Z107" s="150"/>
      <c r="AA107" s="151"/>
      <c r="AB107" s="151"/>
      <c r="AC107" s="151"/>
      <c r="AD107" s="151"/>
      <c r="AE107" s="150"/>
      <c r="AF107" s="151"/>
      <c r="AG107" s="151"/>
      <c r="AH107" s="151"/>
      <c r="AI107" s="151"/>
      <c r="AJ107" s="150"/>
      <c r="AK107" s="151"/>
      <c r="AL107" s="151"/>
      <c r="AM107" s="151"/>
      <c r="AN107" s="151"/>
      <c r="AO107" s="150"/>
      <c r="AP107" s="151"/>
      <c r="AQ107" s="151"/>
      <c r="AR107" s="152">
        <f t="shared" ref="AR107:BS107" si="331">AR106/AM106-1</f>
        <v>9.5238095238095344E-2</v>
      </c>
      <c r="AS107" s="151">
        <f t="shared" si="331"/>
        <v>4.5454545454545414E-2</v>
      </c>
      <c r="AT107" s="150">
        <f t="shared" si="331"/>
        <v>4.5454545454545414E-2</v>
      </c>
      <c r="AU107" s="152">
        <f t="shared" si="331"/>
        <v>4.3478260869565188E-2</v>
      </c>
      <c r="AV107" s="152">
        <f t="shared" si="331"/>
        <v>0.13043478260869557</v>
      </c>
      <c r="AW107" s="152">
        <f t="shared" si="331"/>
        <v>0.21739130434782616</v>
      </c>
      <c r="AX107" s="151">
        <f t="shared" si="331"/>
        <v>0.26086956521739135</v>
      </c>
      <c r="AY107" s="150">
        <f t="shared" si="331"/>
        <v>0.26086956521739135</v>
      </c>
      <c r="AZ107" s="152">
        <f t="shared" si="331"/>
        <v>0.20833333333333326</v>
      </c>
      <c r="BA107" s="152">
        <f t="shared" si="331"/>
        <v>0.15384615384615374</v>
      </c>
      <c r="BB107" s="152">
        <f t="shared" si="331"/>
        <v>0.10714285714285721</v>
      </c>
      <c r="BC107" s="151">
        <f t="shared" si="331"/>
        <v>0.13793103448275867</v>
      </c>
      <c r="BD107" s="150">
        <f t="shared" si="331"/>
        <v>0.13793103448275867</v>
      </c>
      <c r="BE107" s="152">
        <f t="shared" si="331"/>
        <v>0.13793103448275867</v>
      </c>
      <c r="BF107" s="152">
        <f t="shared" si="331"/>
        <v>0.10000000000000009</v>
      </c>
      <c r="BG107" s="152">
        <f t="shared" si="331"/>
        <v>6.4516129032258007E-2</v>
      </c>
      <c r="BH107" s="151">
        <f t="shared" si="331"/>
        <v>9.0909090909090828E-2</v>
      </c>
      <c r="BI107" s="153">
        <f t="shared" si="331"/>
        <v>9.0909090909090828E-2</v>
      </c>
      <c r="BJ107" s="151">
        <f t="shared" si="331"/>
        <v>0.1212121212121211</v>
      </c>
      <c r="BK107" s="151">
        <f t="shared" si="331"/>
        <v>0.1515151515151516</v>
      </c>
      <c r="BL107" s="151">
        <f t="shared" si="331"/>
        <v>0.21212121212121215</v>
      </c>
      <c r="BM107" s="151">
        <f t="shared" si="331"/>
        <v>0.16666666666666674</v>
      </c>
      <c r="BN107" s="150">
        <f t="shared" si="331"/>
        <v>0.16666666666666674</v>
      </c>
      <c r="BO107" s="151">
        <f t="shared" si="331"/>
        <v>0.16216216216216206</v>
      </c>
      <c r="BP107" s="151">
        <f t="shared" si="331"/>
        <v>0.18421052631578938</v>
      </c>
      <c r="BQ107" s="151">
        <f t="shared" si="331"/>
        <v>0.17500000000000004</v>
      </c>
      <c r="BR107" s="151">
        <f t="shared" si="331"/>
        <v>0.16666666666666674</v>
      </c>
      <c r="BS107" s="150">
        <f t="shared" si="331"/>
        <v>0.16666666666666674</v>
      </c>
      <c r="BT107" s="150">
        <f t="shared" ref="BT107:BV107" si="332">BT106/BS106-1</f>
        <v>0.1020408163265305</v>
      </c>
      <c r="BU107" s="150">
        <f t="shared" si="332"/>
        <v>9.259259259259256E-2</v>
      </c>
      <c r="BV107" s="150">
        <f t="shared" si="332"/>
        <v>8.4745762711864403E-2</v>
      </c>
      <c r="BW107" s="152"/>
    </row>
    <row r="108" spans="1:75" ht="15.75" customHeight="1" outlineLevel="1" x14ac:dyDescent="0.2">
      <c r="A108" s="117" t="s">
        <v>293</v>
      </c>
      <c r="B108" s="117"/>
      <c r="C108" s="122"/>
      <c r="D108" s="122"/>
      <c r="E108" s="122"/>
      <c r="F108" s="122"/>
      <c r="G108" s="121"/>
      <c r="H108" s="121"/>
      <c r="I108" s="121"/>
      <c r="J108" s="121"/>
      <c r="K108" s="122"/>
      <c r="L108" s="121"/>
      <c r="M108" s="121"/>
      <c r="N108" s="121"/>
      <c r="O108" s="121"/>
      <c r="P108" s="122"/>
      <c r="Q108" s="121"/>
      <c r="R108" s="121"/>
      <c r="S108" s="121"/>
      <c r="T108" s="121"/>
      <c r="U108" s="122"/>
      <c r="V108" s="121"/>
      <c r="W108" s="121"/>
      <c r="X108" s="121"/>
      <c r="Y108" s="121"/>
      <c r="Z108" s="122"/>
      <c r="AA108" s="121"/>
      <c r="AB108" s="121"/>
      <c r="AC108" s="121"/>
      <c r="AD108" s="121"/>
      <c r="AE108" s="122"/>
      <c r="AF108" s="121"/>
      <c r="AG108" s="121"/>
      <c r="AH108" s="121"/>
      <c r="AI108" s="121"/>
      <c r="AJ108" s="122"/>
      <c r="AK108" s="121"/>
      <c r="AL108" s="121"/>
      <c r="AM108" s="121"/>
      <c r="AN108" s="121">
        <f>AVERAGE(AN103,AN106)</f>
        <v>21.5</v>
      </c>
      <c r="AO108" s="122">
        <f>AN108</f>
        <v>21.5</v>
      </c>
      <c r="AP108" s="121">
        <f t="shared" ref="AP108:AS108" si="333">AVERAGE(AP103,AP106)</f>
        <v>22.5</v>
      </c>
      <c r="AQ108" s="121">
        <f t="shared" si="333"/>
        <v>23</v>
      </c>
      <c r="AR108" s="121">
        <f t="shared" si="333"/>
        <v>23</v>
      </c>
      <c r="AS108" s="121">
        <f t="shared" si="333"/>
        <v>23</v>
      </c>
      <c r="AT108" s="122">
        <f>AS108</f>
        <v>23</v>
      </c>
      <c r="AU108" s="121">
        <f t="shared" ref="AU108:AX108" si="334">AVERAGE(AU103,AU106)</f>
        <v>23.5</v>
      </c>
      <c r="AV108" s="121">
        <f t="shared" si="334"/>
        <v>25</v>
      </c>
      <c r="AW108" s="121">
        <f t="shared" si="334"/>
        <v>27</v>
      </c>
      <c r="AX108" s="121">
        <f t="shared" si="334"/>
        <v>28.5</v>
      </c>
      <c r="AY108" s="122">
        <f>AX108</f>
        <v>28.5</v>
      </c>
      <c r="AZ108" s="121">
        <f t="shared" ref="AZ108:BC108" si="335">AVERAGE(AZ103,AZ106)</f>
        <v>29</v>
      </c>
      <c r="BA108" s="121">
        <f t="shared" si="335"/>
        <v>29.5</v>
      </c>
      <c r="BB108" s="121">
        <f t="shared" si="335"/>
        <v>30.5</v>
      </c>
      <c r="BC108" s="121">
        <f t="shared" si="335"/>
        <v>32</v>
      </c>
      <c r="BD108" s="122">
        <f>BC108</f>
        <v>32</v>
      </c>
      <c r="BE108" s="121">
        <f t="shared" ref="BE108:BH108" si="336">AVERAGE(BE103,BE106)</f>
        <v>33</v>
      </c>
      <c r="BF108" s="121">
        <f t="shared" si="336"/>
        <v>33</v>
      </c>
      <c r="BG108" s="121">
        <f t="shared" si="336"/>
        <v>33</v>
      </c>
      <c r="BH108" s="121">
        <f t="shared" si="336"/>
        <v>34.5</v>
      </c>
      <c r="BI108" s="123">
        <f>BH108</f>
        <v>34.5</v>
      </c>
      <c r="BJ108" s="121">
        <f t="shared" ref="BJ108:BM108" si="337">AVERAGE(BJ103,BJ106)</f>
        <v>36.5</v>
      </c>
      <c r="BK108" s="121">
        <f t="shared" si="337"/>
        <v>37.5</v>
      </c>
      <c r="BL108" s="121">
        <f t="shared" si="337"/>
        <v>39</v>
      </c>
      <c r="BM108" s="121">
        <f t="shared" si="337"/>
        <v>41</v>
      </c>
      <c r="BN108" s="122">
        <f>AVERAGE(BJ108,BK108,BL108,BM108)</f>
        <v>38.5</v>
      </c>
      <c r="BO108" s="121">
        <f t="shared" ref="BO108:BR108" si="338">AVERAGE(BO103,BO106)</f>
        <v>42.5</v>
      </c>
      <c r="BP108" s="121">
        <f t="shared" si="338"/>
        <v>44</v>
      </c>
      <c r="BQ108" s="121">
        <f t="shared" si="338"/>
        <v>46</v>
      </c>
      <c r="BR108" s="121">
        <f t="shared" si="338"/>
        <v>48</v>
      </c>
      <c r="BS108" s="122">
        <f>AVERAGE(BO108,BP108,BQ108,BR108)</f>
        <v>45.125</v>
      </c>
      <c r="BT108" s="122">
        <f t="shared" ref="BT108:BV108" si="339">AVERAGE(BT103,BT106)</f>
        <v>51.5</v>
      </c>
      <c r="BU108" s="122">
        <f t="shared" si="339"/>
        <v>56.5</v>
      </c>
      <c r="BV108" s="122">
        <f t="shared" si="339"/>
        <v>61.5</v>
      </c>
      <c r="BW108" s="120"/>
    </row>
    <row r="109" spans="1:75" ht="15.75" customHeight="1" outlineLevel="1" x14ac:dyDescent="0.2">
      <c r="A109" s="117"/>
      <c r="B109" s="117"/>
      <c r="C109" s="122"/>
      <c r="D109" s="122"/>
      <c r="E109" s="122"/>
      <c r="F109" s="122"/>
      <c r="G109" s="121"/>
      <c r="H109" s="121"/>
      <c r="I109" s="121"/>
      <c r="J109" s="121"/>
      <c r="K109" s="122"/>
      <c r="L109" s="121"/>
      <c r="M109" s="121"/>
      <c r="N109" s="121"/>
      <c r="O109" s="121"/>
      <c r="P109" s="122"/>
      <c r="Q109" s="121"/>
      <c r="R109" s="121"/>
      <c r="S109" s="121"/>
      <c r="T109" s="121"/>
      <c r="U109" s="122"/>
      <c r="V109" s="121"/>
      <c r="W109" s="121"/>
      <c r="X109" s="121"/>
      <c r="Y109" s="121"/>
      <c r="Z109" s="122"/>
      <c r="AA109" s="121"/>
      <c r="AB109" s="121"/>
      <c r="AC109" s="121"/>
      <c r="AD109" s="121"/>
      <c r="AE109" s="122"/>
      <c r="AF109" s="121"/>
      <c r="AG109" s="121"/>
      <c r="AH109" s="121"/>
      <c r="AI109" s="121"/>
      <c r="AJ109" s="122"/>
      <c r="AK109" s="121"/>
      <c r="AL109" s="121"/>
      <c r="AM109" s="121"/>
      <c r="AN109" s="121"/>
      <c r="AO109" s="122"/>
      <c r="AP109" s="121"/>
      <c r="AQ109" s="121"/>
      <c r="AR109" s="121"/>
      <c r="AS109" s="121"/>
      <c r="AT109" s="122"/>
      <c r="AU109" s="121"/>
      <c r="AV109" s="121"/>
      <c r="AW109" s="121"/>
      <c r="AX109" s="121"/>
      <c r="AY109" s="122"/>
      <c r="AZ109" s="121"/>
      <c r="BA109" s="121"/>
      <c r="BB109" s="121"/>
      <c r="BC109" s="121"/>
      <c r="BD109" s="122"/>
      <c r="BE109" s="121"/>
      <c r="BF109" s="121"/>
      <c r="BG109" s="121"/>
      <c r="BH109" s="121"/>
      <c r="BI109" s="123"/>
      <c r="BJ109" s="121"/>
      <c r="BK109" s="121"/>
      <c r="BL109" s="121"/>
      <c r="BM109" s="121"/>
      <c r="BN109" s="122"/>
      <c r="BO109" s="121"/>
      <c r="BP109" s="121"/>
      <c r="BQ109" s="121"/>
      <c r="BR109" s="121"/>
      <c r="BS109" s="122"/>
      <c r="BT109" s="122"/>
      <c r="BU109" s="122"/>
      <c r="BV109" s="122"/>
      <c r="BW109" s="120"/>
    </row>
    <row r="110" spans="1:75" ht="15.75" customHeight="1" outlineLevel="1" x14ac:dyDescent="0.2">
      <c r="A110" s="124" t="s">
        <v>551</v>
      </c>
      <c r="B110" s="125"/>
      <c r="C110" s="130"/>
      <c r="D110" s="130"/>
      <c r="E110" s="130"/>
      <c r="F110" s="130"/>
      <c r="G110" s="154"/>
      <c r="H110" s="154"/>
      <c r="I110" s="154"/>
      <c r="J110" s="154"/>
      <c r="K110" s="130"/>
      <c r="L110" s="154"/>
      <c r="M110" s="154"/>
      <c r="N110" s="154"/>
      <c r="O110" s="154"/>
      <c r="P110" s="130"/>
      <c r="Q110" s="154"/>
      <c r="R110" s="154"/>
      <c r="S110" s="154"/>
      <c r="T110" s="154"/>
      <c r="U110" s="130"/>
      <c r="V110" s="154"/>
      <c r="W110" s="154"/>
      <c r="X110" s="154"/>
      <c r="Y110" s="154"/>
      <c r="Z110" s="130"/>
      <c r="AA110" s="154"/>
      <c r="AB110" s="154"/>
      <c r="AC110" s="154"/>
      <c r="AD110" s="154"/>
      <c r="AE110" s="130"/>
      <c r="AF110" s="154"/>
      <c r="AG110" s="154"/>
      <c r="AH110" s="154"/>
      <c r="AI110" s="154"/>
      <c r="AJ110" s="130"/>
      <c r="AK110" s="154"/>
      <c r="AL110" s="154"/>
      <c r="AM110" s="154"/>
      <c r="AN110" s="154"/>
      <c r="AO110" s="130"/>
      <c r="AP110" s="154"/>
      <c r="AQ110" s="154"/>
      <c r="AR110" s="154"/>
      <c r="AS110" s="154"/>
      <c r="AT110" s="130"/>
      <c r="AU110" s="131">
        <f>AN103+SUM(AU105,AS105,AR105,AQ105,AP105,AN105)</f>
        <v>21</v>
      </c>
      <c r="AV110" s="154">
        <f t="shared" ref="AV110:AW110" si="340">AP103+SUM(AV105,AU105,AS105,AR105,AQ105,AP105)</f>
        <v>22</v>
      </c>
      <c r="AW110" s="154">
        <f t="shared" si="340"/>
        <v>23</v>
      </c>
      <c r="AX110" s="131">
        <f>AR103+SUM(AX105,AW105,AV105,AU105,AS105,AR105)</f>
        <v>23</v>
      </c>
      <c r="AY110" s="128">
        <f>AR103+SUM(AX105,AW105,AV105,AU105,AS105,AR105)</f>
        <v>23</v>
      </c>
      <c r="AZ110" s="131">
        <f>AS103+SUM(AZ105,AX105,AW105,AV105,AU105,AS105)</f>
        <v>23</v>
      </c>
      <c r="BA110" s="154">
        <f t="shared" ref="BA110:BB110" si="341">AU103+SUM(BA105,AZ105,AX105,AW105,AV105,AU105)</f>
        <v>23</v>
      </c>
      <c r="BB110" s="154">
        <f t="shared" si="341"/>
        <v>24</v>
      </c>
      <c r="BC110" s="131">
        <f>AW103+SUM(BC105,BB105,BA105,AZ105,AX105,AW105)</f>
        <v>26</v>
      </c>
      <c r="BD110" s="128">
        <f>AW103+SUM(BC105,BB105,BA105,AZ105,AX105,AW105)</f>
        <v>26</v>
      </c>
      <c r="BE110" s="131">
        <f>AX103+SUM(BE105,BC105,BB105,BA105,AZ105,AX105)</f>
        <v>28</v>
      </c>
      <c r="BF110" s="154">
        <f t="shared" ref="BF110:BG110" si="342">AZ103+SUM(BF105,BE105,BC105,BB105,BA105,AZ105)</f>
        <v>29</v>
      </c>
      <c r="BG110" s="154">
        <f t="shared" si="342"/>
        <v>29</v>
      </c>
      <c r="BH110" s="131">
        <f>BB103+SUM(BH105,BG105,BF105,BE105,BC105,BB105)</f>
        <v>30</v>
      </c>
      <c r="BI110" s="129">
        <f>BB103+SUM(BH105,BG105,BF105,BE105,BC105,BB105)</f>
        <v>30</v>
      </c>
      <c r="BJ110" s="154">
        <f>BC103+SUM(BJ105,BH105,BG105,BF105,BE105,BC105)</f>
        <v>31</v>
      </c>
      <c r="BK110" s="154">
        <f>BE103+SUM(BK105,BJ105,BH105,BG105,BF105,BE105)</f>
        <v>33</v>
      </c>
      <c r="BL110" s="154">
        <f>BF103+SUM(BL105,BK105,BJ105,BH105,BG105,BF105)</f>
        <v>33</v>
      </c>
      <c r="BM110" s="154">
        <f>BG103+SUM(BM105,BL105,BK105,BJ105,BH105,BG105)</f>
        <v>33</v>
      </c>
      <c r="BN110" s="130">
        <f>BG103+SUM(BM105,BL105,BK105,BJ105,BH105,BG105)</f>
        <v>33</v>
      </c>
      <c r="BO110" s="154">
        <f>BH103+SUM(BO105,BM105,BL105,BK105,BJ105,BH105)</f>
        <v>33</v>
      </c>
      <c r="BP110" s="154">
        <f>BJ103+SUM(BP105,BO105,BM105,BL105,BK105,BJ105)</f>
        <v>36</v>
      </c>
      <c r="BQ110" s="154">
        <f>BK103+SUM(BQ105,BP105,BO105,BM105,BL105,BK105)</f>
        <v>37</v>
      </c>
      <c r="BR110" s="154">
        <f>BL103+SUM(BR105,BQ105,BP105,BO105,BM105,BL105)</f>
        <v>38</v>
      </c>
      <c r="BS110" s="130">
        <f>BL103+SUM(BR105,BQ105,BP105,BO105,BM105,BL105)</f>
        <v>38</v>
      </c>
      <c r="BT110" s="130">
        <f>BQ103+SUM(BT105,BQ105,BR105)</f>
        <v>45</v>
      </c>
      <c r="BU110" s="130">
        <f t="shared" ref="BU110:BV110" si="343">BT103+BT104/2+SUM(BU105,BT105)</f>
        <v>51.5</v>
      </c>
      <c r="BV110" s="130">
        <f t="shared" si="343"/>
        <v>56.5</v>
      </c>
      <c r="BW110" s="131"/>
    </row>
    <row r="111" spans="1:75" ht="15.75" customHeight="1" outlineLevel="1" x14ac:dyDescent="0.2">
      <c r="A111" s="124" t="s">
        <v>552</v>
      </c>
      <c r="B111" s="125"/>
      <c r="C111" s="130"/>
      <c r="D111" s="130"/>
      <c r="E111" s="130"/>
      <c r="F111" s="130"/>
      <c r="G111" s="154"/>
      <c r="H111" s="154"/>
      <c r="I111" s="154"/>
      <c r="J111" s="154"/>
      <c r="K111" s="130"/>
      <c r="L111" s="154"/>
      <c r="M111" s="154"/>
      <c r="N111" s="154"/>
      <c r="O111" s="154"/>
      <c r="P111" s="130"/>
      <c r="Q111" s="154"/>
      <c r="R111" s="154"/>
      <c r="S111" s="154"/>
      <c r="T111" s="154"/>
      <c r="U111" s="130"/>
      <c r="V111" s="154"/>
      <c r="W111" s="154"/>
      <c r="X111" s="154"/>
      <c r="Y111" s="154"/>
      <c r="Z111" s="130"/>
      <c r="AA111" s="154"/>
      <c r="AB111" s="154"/>
      <c r="AC111" s="154"/>
      <c r="AD111" s="154"/>
      <c r="AE111" s="130"/>
      <c r="AF111" s="154"/>
      <c r="AG111" s="154"/>
      <c r="AH111" s="154"/>
      <c r="AI111" s="154"/>
      <c r="AJ111" s="130"/>
      <c r="AK111" s="154"/>
      <c r="AL111" s="154"/>
      <c r="AM111" s="154"/>
      <c r="AN111" s="154"/>
      <c r="AO111" s="130"/>
      <c r="AP111" s="154"/>
      <c r="AQ111" s="154"/>
      <c r="AR111" s="154"/>
      <c r="AS111" s="154"/>
      <c r="AT111" s="130"/>
      <c r="AU111" s="131">
        <f t="shared" ref="AU111:AV111" si="344">AU120/AU$3*7</f>
        <v>20.807692307692307</v>
      </c>
      <c r="AV111" s="131">
        <f t="shared" si="344"/>
        <v>21.73076923076923</v>
      </c>
      <c r="AW111" s="154">
        <f t="shared" ref="AW111:AX111" si="345">AW110-(AP104+AW105)/2</f>
        <v>22.5</v>
      </c>
      <c r="AX111" s="131">
        <f t="shared" si="345"/>
        <v>23</v>
      </c>
      <c r="AY111" s="128">
        <f t="shared" ref="AY111:BA111" si="346">AY120/AY$3*7</f>
        <v>21.971153846153847</v>
      </c>
      <c r="AZ111" s="131">
        <f t="shared" si="346"/>
        <v>23</v>
      </c>
      <c r="BA111" s="131">
        <f t="shared" si="346"/>
        <v>22.576923076923077</v>
      </c>
      <c r="BB111" s="154">
        <f t="shared" ref="BB111:BC111" si="347">BB110-(AU104+BB105)/2</f>
        <v>23.5</v>
      </c>
      <c r="BC111" s="131">
        <f t="shared" si="347"/>
        <v>25</v>
      </c>
      <c r="BD111" s="128">
        <f t="shared" ref="BD111:BF111" si="348">BD120/BD$3*7</f>
        <v>22.047169811320753</v>
      </c>
      <c r="BE111" s="131">
        <f t="shared" si="348"/>
        <v>27.366666666666667</v>
      </c>
      <c r="BF111" s="131">
        <f t="shared" si="348"/>
        <v>28.141304347826086</v>
      </c>
      <c r="BG111" s="154">
        <f t="shared" ref="BG111:BH111" si="349">BG110-(AZ104+BG105)/2</f>
        <v>29</v>
      </c>
      <c r="BH111" s="131">
        <f t="shared" si="349"/>
        <v>29.5</v>
      </c>
      <c r="BI111" s="129">
        <f>BI120/BI$3*7</f>
        <v>27.50412087912088</v>
      </c>
      <c r="BJ111" s="154">
        <f t="shared" ref="BJ111:BK111" si="350">BJ110-(BB104+BJ105)/2</f>
        <v>30.5</v>
      </c>
      <c r="BK111" s="154">
        <f t="shared" si="350"/>
        <v>32</v>
      </c>
      <c r="BL111" s="154">
        <f t="shared" ref="BL111:BM111" si="351">BL110-(BE104+BL105)/2</f>
        <v>33</v>
      </c>
      <c r="BM111" s="154">
        <f t="shared" si="351"/>
        <v>33</v>
      </c>
      <c r="BN111" s="130">
        <f>BN120/BN$3*7</f>
        <v>32.125</v>
      </c>
      <c r="BO111" s="154">
        <f t="shared" ref="BO111:BP111" si="352">BO110-(BG104+BO105)/2</f>
        <v>33</v>
      </c>
      <c r="BP111" s="154">
        <f t="shared" si="352"/>
        <v>34.5</v>
      </c>
      <c r="BQ111" s="154">
        <f t="shared" ref="BQ111:BR111" si="353">BQ110-(BJ104+BQ105)/2</f>
        <v>36.5</v>
      </c>
      <c r="BR111" s="154">
        <f t="shared" si="353"/>
        <v>37.5</v>
      </c>
      <c r="BS111" s="130">
        <f>BS120/BS$3*7</f>
        <v>35.375</v>
      </c>
      <c r="BT111" s="130">
        <f>BT110-SUM(BP104*7/8,BO104*5/8,BM104*3/8,BL104/8,BT105/2)</f>
        <v>41.625</v>
      </c>
      <c r="BU111" s="130">
        <f>BU110-SUM(BU105/2,BT104*(12/32),BR104*3/8,BQ104/8)</f>
        <v>48.625</v>
      </c>
      <c r="BV111" s="130">
        <f>BV110-SUM(BV105/2,BU104*(12/32),BT104*4/32)</f>
        <v>54</v>
      </c>
      <c r="BW111" s="131"/>
    </row>
    <row r="112" spans="1:75" ht="7.5" customHeight="1" outlineLevel="1" x14ac:dyDescent="0.2">
      <c r="A112" s="125"/>
      <c r="B112" s="125"/>
      <c r="C112" s="130"/>
      <c r="D112" s="130"/>
      <c r="E112" s="130"/>
      <c r="F112" s="130"/>
      <c r="G112" s="154"/>
      <c r="H112" s="154"/>
      <c r="I112" s="154"/>
      <c r="J112" s="154"/>
      <c r="K112" s="130"/>
      <c r="L112" s="154"/>
      <c r="M112" s="154"/>
      <c r="N112" s="154"/>
      <c r="O112" s="154"/>
      <c r="P112" s="130"/>
      <c r="Q112" s="154"/>
      <c r="R112" s="154"/>
      <c r="S112" s="154"/>
      <c r="T112" s="154"/>
      <c r="U112" s="130"/>
      <c r="V112" s="154"/>
      <c r="W112" s="154"/>
      <c r="X112" s="154"/>
      <c r="Y112" s="154"/>
      <c r="Z112" s="130"/>
      <c r="AA112" s="154"/>
      <c r="AB112" s="154"/>
      <c r="AC112" s="154"/>
      <c r="AD112" s="154"/>
      <c r="AE112" s="130"/>
      <c r="AF112" s="154"/>
      <c r="AG112" s="154"/>
      <c r="AH112" s="154"/>
      <c r="AI112" s="154"/>
      <c r="AJ112" s="130"/>
      <c r="AK112" s="154"/>
      <c r="AL112" s="154"/>
      <c r="AM112" s="154"/>
      <c r="AN112" s="154"/>
      <c r="AO112" s="130"/>
      <c r="AP112" s="154"/>
      <c r="AQ112" s="154"/>
      <c r="AR112" s="154"/>
      <c r="AS112" s="154"/>
      <c r="AT112" s="130"/>
      <c r="AU112" s="154"/>
      <c r="AV112" s="154"/>
      <c r="AW112" s="154"/>
      <c r="AX112" s="154"/>
      <c r="AY112" s="130"/>
      <c r="AZ112" s="154"/>
      <c r="BA112" s="154"/>
      <c r="BB112" s="154"/>
      <c r="BC112" s="154"/>
      <c r="BD112" s="130"/>
      <c r="BE112" s="154"/>
      <c r="BF112" s="154"/>
      <c r="BG112" s="154"/>
      <c r="BH112" s="154"/>
      <c r="BI112" s="155"/>
      <c r="BJ112" s="154"/>
      <c r="BK112" s="154"/>
      <c r="BL112" s="154"/>
      <c r="BM112" s="154"/>
      <c r="BN112" s="130"/>
      <c r="BO112" s="154"/>
      <c r="BP112" s="154"/>
      <c r="BQ112" s="154"/>
      <c r="BR112" s="154"/>
      <c r="BS112" s="130"/>
      <c r="BT112" s="130"/>
      <c r="BU112" s="130"/>
      <c r="BV112" s="130"/>
      <c r="BW112" s="131"/>
    </row>
    <row r="113" spans="1:75" ht="15.75" customHeight="1" outlineLevel="1" x14ac:dyDescent="0.2">
      <c r="A113" s="124" t="s">
        <v>553</v>
      </c>
      <c r="B113" s="125"/>
      <c r="C113" s="130"/>
      <c r="D113" s="130"/>
      <c r="E113" s="130"/>
      <c r="F113" s="130"/>
      <c r="G113" s="154"/>
      <c r="H113" s="154"/>
      <c r="I113" s="154"/>
      <c r="J113" s="154"/>
      <c r="K113" s="130"/>
      <c r="L113" s="154"/>
      <c r="M113" s="154"/>
      <c r="N113" s="154"/>
      <c r="O113" s="154"/>
      <c r="P113" s="130"/>
      <c r="Q113" s="154"/>
      <c r="R113" s="154"/>
      <c r="S113" s="154"/>
      <c r="T113" s="154"/>
      <c r="U113" s="130"/>
      <c r="V113" s="154"/>
      <c r="W113" s="154"/>
      <c r="X113" s="154"/>
      <c r="Y113" s="154"/>
      <c r="Z113" s="130"/>
      <c r="AA113" s="154"/>
      <c r="AB113" s="154"/>
      <c r="AC113" s="154"/>
      <c r="AD113" s="154"/>
      <c r="AE113" s="130"/>
      <c r="AF113" s="154"/>
      <c r="AG113" s="154"/>
      <c r="AH113" s="154"/>
      <c r="AI113" s="154"/>
      <c r="AJ113" s="130"/>
      <c r="AK113" s="154"/>
      <c r="AL113" s="154"/>
      <c r="AM113" s="154"/>
      <c r="AN113" s="154"/>
      <c r="AO113" s="130"/>
      <c r="AP113" s="154"/>
      <c r="AQ113" s="154"/>
      <c r="AR113" s="154"/>
      <c r="AS113" s="154"/>
      <c r="AT113" s="130"/>
      <c r="AU113" s="131">
        <f>SUM(AU104,AS104,AR104,AQ104,AP104,AN104)</f>
        <v>3</v>
      </c>
      <c r="AV113" s="154">
        <f t="shared" ref="AV113:AW113" si="354">SUM(AV104,AU104,AS104,AR104,AQ104,AP104)</f>
        <v>4</v>
      </c>
      <c r="AW113" s="154">
        <f t="shared" si="354"/>
        <v>5</v>
      </c>
      <c r="AX113" s="131">
        <f>SUM(AX104,AW104,AV104,AU104,AS104,AR104)</f>
        <v>6</v>
      </c>
      <c r="AY113" s="128">
        <f>SUM(AX104,AW104,AV104,AU104,AS104,AR104)</f>
        <v>6</v>
      </c>
      <c r="AZ113" s="131">
        <f>SUM(AZ104,AX104,AW104,AV104,AU104,AS104)</f>
        <v>6</v>
      </c>
      <c r="BA113" s="154">
        <f t="shared" ref="BA113:BB113" si="355">SUM(BA104,AZ104,AX104,AW104,AV104,AU104)</f>
        <v>7</v>
      </c>
      <c r="BB113" s="154">
        <f t="shared" si="355"/>
        <v>13</v>
      </c>
      <c r="BC113" s="131">
        <f>SUM(BC104,BB104,BA104,AZ104,AX104,AW104)</f>
        <v>7</v>
      </c>
      <c r="BD113" s="128">
        <f>SUM(BC104,BB104,BA104,AZ104,AX104,AW104)</f>
        <v>7</v>
      </c>
      <c r="BE113" s="131">
        <f>SUM(BE104,BC104,BB104,BA104,AZ104,AX104)</f>
        <v>5</v>
      </c>
      <c r="BF113" s="154">
        <f t="shared" ref="BF113:BG113" si="356">SUM(BF104,BE104,BC104,BB104,BA104,AZ104)</f>
        <v>4</v>
      </c>
      <c r="BG113" s="154">
        <f t="shared" si="356"/>
        <v>8</v>
      </c>
      <c r="BH113" s="131">
        <f>SUM(BH104,BG104,BF104,BE104,BC104,BB104)</f>
        <v>6</v>
      </c>
      <c r="BI113" s="129">
        <f>SUM(BH104,BG104,BF104,BE104,BC104,BB104)</f>
        <v>6</v>
      </c>
      <c r="BJ113" s="154">
        <f>SUM(BJ104,BH104,BG104,BF104,BE104,BC104)</f>
        <v>6</v>
      </c>
      <c r="BK113" s="154">
        <f>SUM(BK104,BJ104,BH104,BG104,BF104,BE104)</f>
        <v>5</v>
      </c>
      <c r="BL113" s="154">
        <f>SUM(BL104,BK104,BJ104,BH104,BG104,BF104)</f>
        <v>7</v>
      </c>
      <c r="BM113" s="154">
        <f>SUM(BM104,BL104,BK104,BJ104,BH104,BG104)</f>
        <v>9</v>
      </c>
      <c r="BN113" s="130">
        <f>SUM(BM104,BL104,BK104,BJ104,BH104,BG104)</f>
        <v>9</v>
      </c>
      <c r="BO113" s="154">
        <f>SUM(BO104,BM104,BL104,BK104,BJ104,BH104)</f>
        <v>10</v>
      </c>
      <c r="BP113" s="154">
        <f>SUM(BP104,BO104,BM104,BL104,BK104,BJ104)</f>
        <v>9</v>
      </c>
      <c r="BQ113" s="154">
        <f>SUM(BQ104,BP104,BO104,BM104,BL104,BK104)</f>
        <v>10</v>
      </c>
      <c r="BR113" s="154">
        <f>SUM(BR104,BQ104,BP104,BO104,BM104,BL104)</f>
        <v>11</v>
      </c>
      <c r="BS113" s="130">
        <f>SUM(BR104,BQ104,BP104,BO104,BM104,BL104)</f>
        <v>11</v>
      </c>
      <c r="BT113" s="130">
        <f>SUM(BT104,BR104,BQ104)</f>
        <v>9</v>
      </c>
      <c r="BU113" s="130">
        <f t="shared" ref="BU113:BV113" si="357">SUM(BU104,BT104/2)</f>
        <v>7.5</v>
      </c>
      <c r="BV113" s="130">
        <f t="shared" si="357"/>
        <v>7.5</v>
      </c>
      <c r="BW113" s="131"/>
    </row>
    <row r="114" spans="1:75" ht="15.75" customHeight="1" outlineLevel="1" x14ac:dyDescent="0.2">
      <c r="A114" s="124" t="s">
        <v>554</v>
      </c>
      <c r="B114" s="125"/>
      <c r="C114" s="130"/>
      <c r="D114" s="130"/>
      <c r="E114" s="130"/>
      <c r="F114" s="130"/>
      <c r="G114" s="154"/>
      <c r="H114" s="154"/>
      <c r="I114" s="154"/>
      <c r="J114" s="154"/>
      <c r="K114" s="130"/>
      <c r="L114" s="154"/>
      <c r="M114" s="154"/>
      <c r="N114" s="154"/>
      <c r="O114" s="154"/>
      <c r="P114" s="130"/>
      <c r="Q114" s="154"/>
      <c r="R114" s="154"/>
      <c r="S114" s="154"/>
      <c r="T114" s="154"/>
      <c r="U114" s="130"/>
      <c r="V114" s="154"/>
      <c r="W114" s="154"/>
      <c r="X114" s="154"/>
      <c r="Y114" s="154"/>
      <c r="Z114" s="130"/>
      <c r="AA114" s="154"/>
      <c r="AB114" s="154"/>
      <c r="AC114" s="154"/>
      <c r="AD114" s="154"/>
      <c r="AE114" s="130"/>
      <c r="AF114" s="154"/>
      <c r="AG114" s="154"/>
      <c r="AH114" s="154"/>
      <c r="AI114" s="154"/>
      <c r="AJ114" s="130"/>
      <c r="AK114" s="154"/>
      <c r="AL114" s="154"/>
      <c r="AM114" s="154"/>
      <c r="AN114" s="154"/>
      <c r="AO114" s="130"/>
      <c r="AP114" s="154"/>
      <c r="AQ114" s="154"/>
      <c r="AR114" s="154"/>
      <c r="AS114" s="154"/>
      <c r="AT114" s="130"/>
      <c r="AU114" s="131">
        <f t="shared" ref="AU114:AV114" si="358">AU113-(AU104-AM104)/2</f>
        <v>2.5</v>
      </c>
      <c r="AV114" s="131">
        <f t="shared" si="358"/>
        <v>3.5</v>
      </c>
      <c r="AW114" s="154">
        <f t="shared" ref="AW114:AX114" si="359">AW113-(AW104-AP104)/2</f>
        <v>4.5</v>
      </c>
      <c r="AX114" s="131">
        <f t="shared" si="359"/>
        <v>5.5</v>
      </c>
      <c r="AY114" s="128">
        <f>AY123/AY$3*7</f>
        <v>4</v>
      </c>
      <c r="AZ114" s="131">
        <f t="shared" ref="AZ114:BA114" si="360">AZ113-(AZ104-AR104)/2</f>
        <v>6</v>
      </c>
      <c r="BA114" s="131">
        <f t="shared" si="360"/>
        <v>6.5</v>
      </c>
      <c r="BB114" s="154">
        <f t="shared" ref="BB114:BC114" si="361">BB113-(BB104-AU104)/2</f>
        <v>13</v>
      </c>
      <c r="BC114" s="131">
        <f t="shared" si="361"/>
        <v>7</v>
      </c>
      <c r="BD114" s="128">
        <f>BD123/BD$3*7</f>
        <v>8.1037735849056602</v>
      </c>
      <c r="BE114" s="131">
        <f t="shared" ref="BE114:BF114" si="362">BE113-(BE104-AW104)/2</f>
        <v>6</v>
      </c>
      <c r="BF114" s="131">
        <f t="shared" si="362"/>
        <v>4.5</v>
      </c>
      <c r="BG114" s="154">
        <f t="shared" ref="BG114:BH114" si="363">BG113-(BG104-AZ104)/2</f>
        <v>8</v>
      </c>
      <c r="BH114" s="131">
        <f t="shared" si="363"/>
        <v>5</v>
      </c>
      <c r="BI114" s="129">
        <f>BI123/BI$3*7</f>
        <v>5.8708791208791204</v>
      </c>
      <c r="BJ114" s="154">
        <f t="shared" ref="BJ114:BK114" si="364">BJ113-(BJ104-BB104)/2</f>
        <v>6</v>
      </c>
      <c r="BK114" s="154">
        <f t="shared" si="364"/>
        <v>5.5</v>
      </c>
      <c r="BL114" s="154">
        <f t="shared" ref="BL114:BM114" si="365">BL113-(BL104-BE104)/2</f>
        <v>6</v>
      </c>
      <c r="BM114" s="154">
        <f t="shared" si="365"/>
        <v>8</v>
      </c>
      <c r="BN114" s="130">
        <f>BN123/BN$3*7</f>
        <v>6.375</v>
      </c>
      <c r="BO114" s="154">
        <f t="shared" ref="BO114:BP114" si="366">BO113-(BO104-BG104)/2</f>
        <v>9.5</v>
      </c>
      <c r="BP114" s="154">
        <f t="shared" si="366"/>
        <v>9.5</v>
      </c>
      <c r="BQ114" s="154">
        <f t="shared" ref="BQ114:BR114" si="367">BQ113-(BQ104-BJ104)/2</f>
        <v>9.5</v>
      </c>
      <c r="BR114" s="154">
        <f t="shared" si="367"/>
        <v>10.5</v>
      </c>
      <c r="BS114" s="130">
        <f>BS123/BS$3*7</f>
        <v>9.75</v>
      </c>
      <c r="BT114" s="130">
        <f>BT113+SUM(BP104*7/8,BO104*5/8,BM104*3/8,BL104/8,-BT104/2)</f>
        <v>9.875</v>
      </c>
      <c r="BU114" s="130">
        <f>BU113+SUM(-BU104/2,BT104*(12/32),BR104*3/8,BQ104/8)</f>
        <v>7.875</v>
      </c>
      <c r="BV114" s="130">
        <f>BV113+SUM(-BV104/2,BU104*(12/32),BT104*4/32)</f>
        <v>7.5</v>
      </c>
      <c r="BW114" s="131"/>
    </row>
    <row r="115" spans="1:75" ht="15.75" customHeight="1" outlineLevel="1" x14ac:dyDescent="0.2">
      <c r="A115" s="125"/>
      <c r="B115" s="125"/>
      <c r="C115" s="130"/>
      <c r="D115" s="130"/>
      <c r="E115" s="130"/>
      <c r="F115" s="130"/>
      <c r="G115" s="154"/>
      <c r="H115" s="154"/>
      <c r="I115" s="154"/>
      <c r="J115" s="154"/>
      <c r="K115" s="130"/>
      <c r="L115" s="154"/>
      <c r="M115" s="154"/>
      <c r="N115" s="154"/>
      <c r="O115" s="154"/>
      <c r="P115" s="130"/>
      <c r="Q115" s="154"/>
      <c r="R115" s="154"/>
      <c r="S115" s="154"/>
      <c r="T115" s="154"/>
      <c r="U115" s="130"/>
      <c r="V115" s="154"/>
      <c r="W115" s="154"/>
      <c r="X115" s="154"/>
      <c r="Y115" s="154"/>
      <c r="Z115" s="130"/>
      <c r="AA115" s="154"/>
      <c r="AB115" s="154"/>
      <c r="AC115" s="154"/>
      <c r="AD115" s="154"/>
      <c r="AE115" s="130"/>
      <c r="AF115" s="154"/>
      <c r="AG115" s="154"/>
      <c r="AH115" s="154"/>
      <c r="AI115" s="154"/>
      <c r="AJ115" s="130"/>
      <c r="AK115" s="154"/>
      <c r="AL115" s="154"/>
      <c r="AM115" s="154"/>
      <c r="AN115" s="154"/>
      <c r="AO115" s="130"/>
      <c r="AP115" s="154"/>
      <c r="AQ115" s="154"/>
      <c r="AR115" s="154"/>
      <c r="AS115" s="154"/>
      <c r="AT115" s="130"/>
      <c r="AU115" s="154"/>
      <c r="AV115" s="154"/>
      <c r="AW115" s="154"/>
      <c r="AX115" s="154"/>
      <c r="AY115" s="130"/>
      <c r="AZ115" s="154"/>
      <c r="BA115" s="154"/>
      <c r="BB115" s="154"/>
      <c r="BC115" s="154"/>
      <c r="BD115" s="130"/>
      <c r="BE115" s="154"/>
      <c r="BF115" s="154"/>
      <c r="BG115" s="154"/>
      <c r="BH115" s="154"/>
      <c r="BI115" s="155"/>
      <c r="BJ115" s="154"/>
      <c r="BK115" s="154"/>
      <c r="BL115" s="154"/>
      <c r="BM115" s="154"/>
      <c r="BN115" s="130"/>
      <c r="BO115" s="154"/>
      <c r="BP115" s="154"/>
      <c r="BQ115" s="154"/>
      <c r="BR115" s="154"/>
      <c r="BS115" s="130"/>
      <c r="BT115" s="130"/>
      <c r="BU115" s="130"/>
      <c r="BV115" s="130"/>
      <c r="BW115" s="131"/>
    </row>
    <row r="116" spans="1:75" ht="15.75" customHeight="1" outlineLevel="1" x14ac:dyDescent="0.2">
      <c r="A116" s="156" t="s">
        <v>555</v>
      </c>
      <c r="B116" s="125"/>
      <c r="C116" s="157"/>
      <c r="D116" s="157"/>
      <c r="E116" s="157"/>
      <c r="F116" s="157"/>
      <c r="G116" s="158"/>
      <c r="H116" s="158"/>
      <c r="I116" s="158"/>
      <c r="J116" s="158"/>
      <c r="K116" s="157"/>
      <c r="L116" s="158"/>
      <c r="M116" s="158"/>
      <c r="N116" s="158"/>
      <c r="O116" s="158"/>
      <c r="P116" s="157"/>
      <c r="Q116" s="158"/>
      <c r="R116" s="158"/>
      <c r="S116" s="158"/>
      <c r="T116" s="158"/>
      <c r="U116" s="157"/>
      <c r="V116" s="158"/>
      <c r="W116" s="158"/>
      <c r="X116" s="158"/>
      <c r="Y116" s="158"/>
      <c r="Z116" s="157"/>
      <c r="AA116" s="158"/>
      <c r="AB116" s="158"/>
      <c r="AC116" s="158"/>
      <c r="AD116" s="158"/>
      <c r="AE116" s="157"/>
      <c r="AF116" s="158"/>
      <c r="AG116" s="158"/>
      <c r="AH116" s="158"/>
      <c r="AI116" s="158"/>
      <c r="AJ116" s="157"/>
      <c r="AK116" s="158"/>
      <c r="AL116" s="158"/>
      <c r="AM116" s="158"/>
      <c r="AN116" s="158"/>
      <c r="AO116" s="157"/>
      <c r="AP116" s="158"/>
      <c r="AQ116" s="158"/>
      <c r="AR116" s="158"/>
      <c r="AS116" s="158"/>
      <c r="AT116" s="157"/>
      <c r="AU116" s="159">
        <f t="shared" ref="AU116:BV116" si="368">AU136/AU120*AU$3/7*1000</f>
        <v>1436.1682758620691</v>
      </c>
      <c r="AV116" s="158">
        <f t="shared" si="368"/>
        <v>1932.5859770114937</v>
      </c>
      <c r="AW116" s="158">
        <f t="shared" si="368"/>
        <v>1880.8145270270272</v>
      </c>
      <c r="AX116" s="158">
        <f t="shared" si="368"/>
        <v>1806.2556521739129</v>
      </c>
      <c r="AY116" s="157">
        <f t="shared" si="368"/>
        <v>7075.3124454364579</v>
      </c>
      <c r="AZ116" s="159">
        <f t="shared" si="368"/>
        <v>1819.4558019801984</v>
      </c>
      <c r="BA116" s="158">
        <f t="shared" si="368"/>
        <v>1933.9053658536591</v>
      </c>
      <c r="BB116" s="158">
        <f t="shared" si="368"/>
        <v>1817.4931232091692</v>
      </c>
      <c r="BC116" s="158">
        <f t="shared" si="368"/>
        <v>2098.4551075268814</v>
      </c>
      <c r="BD116" s="157">
        <f t="shared" si="368"/>
        <v>7691.0965978385675</v>
      </c>
      <c r="BE116" s="159">
        <f t="shared" si="368"/>
        <v>1961.1450170519136</v>
      </c>
      <c r="BF116" s="158">
        <f t="shared" si="368"/>
        <v>2111.7942857142862</v>
      </c>
      <c r="BG116" s="158">
        <f t="shared" si="368"/>
        <v>1923.4089113924056</v>
      </c>
      <c r="BH116" s="158">
        <f t="shared" si="368"/>
        <v>2007.2681497797355</v>
      </c>
      <c r="BI116" s="204">
        <f t="shared" si="368"/>
        <v>8013.2821497146033</v>
      </c>
      <c r="BJ116" s="158">
        <f t="shared" si="368"/>
        <v>1975.8209090909086</v>
      </c>
      <c r="BK116" s="158">
        <f t="shared" si="368"/>
        <v>2057.9399999999996</v>
      </c>
      <c r="BL116" s="158">
        <f t="shared" si="368"/>
        <v>1948.1669696969698</v>
      </c>
      <c r="BM116" s="158">
        <f t="shared" si="368"/>
        <v>2036.4917647058819</v>
      </c>
      <c r="BN116" s="157">
        <f t="shared" si="368"/>
        <v>8018.9994073950766</v>
      </c>
      <c r="BO116" s="158">
        <f t="shared" si="368"/>
        <v>1968.1882858530507</v>
      </c>
      <c r="BP116" s="158">
        <f t="shared" si="368"/>
        <v>2088.5895863999999</v>
      </c>
      <c r="BQ116" s="158">
        <f t="shared" si="368"/>
        <v>1975.7410252680645</v>
      </c>
      <c r="BR116" s="158">
        <f t="shared" si="368"/>
        <v>2056.658000229555</v>
      </c>
      <c r="BS116" s="157">
        <f t="shared" si="368"/>
        <v>8091.7534019743707</v>
      </c>
      <c r="BT116" s="157">
        <f t="shared" si="368"/>
        <v>8154.6151403643826</v>
      </c>
      <c r="BU116" s="157">
        <f t="shared" si="368"/>
        <v>8238.1999455531186</v>
      </c>
      <c r="BV116" s="157">
        <f t="shared" si="368"/>
        <v>8527.9820635579399</v>
      </c>
      <c r="BW116" s="131"/>
    </row>
    <row r="117" spans="1:75" ht="15.75" customHeight="1" outlineLevel="1" x14ac:dyDescent="0.2">
      <c r="A117" s="156" t="s">
        <v>556</v>
      </c>
      <c r="B117" s="125"/>
      <c r="C117" s="157"/>
      <c r="D117" s="157"/>
      <c r="E117" s="157"/>
      <c r="F117" s="157"/>
      <c r="G117" s="158"/>
      <c r="H117" s="158"/>
      <c r="I117" s="158"/>
      <c r="J117" s="158"/>
      <c r="K117" s="157"/>
      <c r="L117" s="158"/>
      <c r="M117" s="158"/>
      <c r="N117" s="158"/>
      <c r="O117" s="158"/>
      <c r="P117" s="157"/>
      <c r="Q117" s="158"/>
      <c r="R117" s="158"/>
      <c r="S117" s="158"/>
      <c r="T117" s="158"/>
      <c r="U117" s="157"/>
      <c r="V117" s="158"/>
      <c r="W117" s="158"/>
      <c r="X117" s="158"/>
      <c r="Y117" s="158"/>
      <c r="Z117" s="157"/>
      <c r="AA117" s="158"/>
      <c r="AB117" s="158"/>
      <c r="AC117" s="158"/>
      <c r="AD117" s="158"/>
      <c r="AE117" s="157"/>
      <c r="AF117" s="158"/>
      <c r="AG117" s="158"/>
      <c r="AH117" s="158"/>
      <c r="AI117" s="158"/>
      <c r="AJ117" s="157"/>
      <c r="AK117" s="158"/>
      <c r="AL117" s="158"/>
      <c r="AM117" s="158"/>
      <c r="AN117" s="158"/>
      <c r="AO117" s="157"/>
      <c r="AP117" s="158"/>
      <c r="AQ117" s="158"/>
      <c r="AR117" s="158"/>
      <c r="AS117" s="158"/>
      <c r="AT117" s="157"/>
      <c r="AU117" s="159">
        <f t="shared" ref="AU117:BV117" si="369">AU137/AU123*AU$3/7*1000</f>
        <v>1175.8609655172406</v>
      </c>
      <c r="AV117" s="158">
        <f t="shared" si="369"/>
        <v>448.40574712643951</v>
      </c>
      <c r="AW117" s="158">
        <f t="shared" si="369"/>
        <v>517.33982732732716</v>
      </c>
      <c r="AX117" s="158">
        <f t="shared" si="369"/>
        <v>1747.4763636363637</v>
      </c>
      <c r="AY117" s="157">
        <f t="shared" si="369"/>
        <v>4112.0554379271534</v>
      </c>
      <c r="AZ117" s="159">
        <f t="shared" si="369"/>
        <v>1818.2527590759059</v>
      </c>
      <c r="BA117" s="158">
        <f t="shared" si="369"/>
        <v>1934.8257410881779</v>
      </c>
      <c r="BB117" s="158">
        <f t="shared" si="369"/>
        <v>1732.0446991404008</v>
      </c>
      <c r="BC117" s="158">
        <f t="shared" si="369"/>
        <v>1864.6603302611381</v>
      </c>
      <c r="BD117" s="157">
        <f t="shared" si="369"/>
        <v>7287.3565201993806</v>
      </c>
      <c r="BE117" s="159">
        <f t="shared" si="369"/>
        <v>1605.4996722243259</v>
      </c>
      <c r="BF117" s="158">
        <f t="shared" si="369"/>
        <v>1445.634285714282</v>
      </c>
      <c r="BG117" s="158">
        <f t="shared" si="369"/>
        <v>1791.4721518987335</v>
      </c>
      <c r="BH117" s="158">
        <f t="shared" si="369"/>
        <v>1601.9179162995586</v>
      </c>
      <c r="BI117" s="204">
        <f t="shared" si="369"/>
        <v>6554.3368077361856</v>
      </c>
      <c r="BJ117" s="158">
        <f t="shared" si="369"/>
        <v>1580.6567272727273</v>
      </c>
      <c r="BK117" s="158">
        <f t="shared" si="369"/>
        <v>1852.1459999999997</v>
      </c>
      <c r="BL117" s="158">
        <f t="shared" si="369"/>
        <v>1753.3502727272728</v>
      </c>
      <c r="BM117" s="158">
        <f t="shared" si="369"/>
        <v>1832.8425882352942</v>
      </c>
      <c r="BN117" s="157">
        <f t="shared" si="369"/>
        <v>7035.8565813148771</v>
      </c>
      <c r="BO117" s="158">
        <f t="shared" si="369"/>
        <v>1771.3694572677459</v>
      </c>
      <c r="BP117" s="158">
        <f t="shared" si="369"/>
        <v>1879.7306277599996</v>
      </c>
      <c r="BQ117" s="158">
        <f t="shared" si="369"/>
        <v>1778.1669227412583</v>
      </c>
      <c r="BR117" s="158">
        <f t="shared" si="369"/>
        <v>1850.9922002066</v>
      </c>
      <c r="BS117" s="157">
        <f t="shared" si="369"/>
        <v>7283.431248817933</v>
      </c>
      <c r="BT117" s="157">
        <f t="shared" si="369"/>
        <v>7339.1536263279449</v>
      </c>
      <c r="BU117" s="157">
        <f t="shared" si="369"/>
        <v>7414.3799509978053</v>
      </c>
      <c r="BV117" s="157">
        <f t="shared" si="369"/>
        <v>7675.1838572021452</v>
      </c>
      <c r="BW117" s="131"/>
    </row>
    <row r="118" spans="1:75" ht="15.75" customHeight="1" outlineLevel="1" x14ac:dyDescent="0.2">
      <c r="A118" s="162" t="s">
        <v>557</v>
      </c>
      <c r="B118" s="163"/>
      <c r="C118" s="164"/>
      <c r="D118" s="164"/>
      <c r="E118" s="164"/>
      <c r="F118" s="164"/>
      <c r="G118" s="165"/>
      <c r="H118" s="165"/>
      <c r="I118" s="165"/>
      <c r="J118" s="165"/>
      <c r="K118" s="164"/>
      <c r="L118" s="165"/>
      <c r="M118" s="165"/>
      <c r="N118" s="165"/>
      <c r="O118" s="165"/>
      <c r="P118" s="164"/>
      <c r="Q118" s="165"/>
      <c r="R118" s="165"/>
      <c r="S118" s="165"/>
      <c r="T118" s="165"/>
      <c r="U118" s="164"/>
      <c r="V118" s="165"/>
      <c r="W118" s="165"/>
      <c r="X118" s="165"/>
      <c r="Y118" s="165"/>
      <c r="Z118" s="164"/>
      <c r="AA118" s="165"/>
      <c r="AB118" s="165"/>
      <c r="AC118" s="165"/>
      <c r="AD118" s="165"/>
      <c r="AE118" s="164"/>
      <c r="AF118" s="165"/>
      <c r="AG118" s="165"/>
      <c r="AH118" s="165"/>
      <c r="AI118" s="165"/>
      <c r="AJ118" s="164"/>
      <c r="AK118" s="165"/>
      <c r="AL118" s="165"/>
      <c r="AM118" s="165"/>
      <c r="AN118" s="166">
        <f t="shared" ref="AN118:BV118" si="370">AN138/AN124*AN$3/7*1000</f>
        <v>1637.4428571428571</v>
      </c>
      <c r="AO118" s="167">
        <f t="shared" si="370"/>
        <v>6549.7714285714283</v>
      </c>
      <c r="AP118" s="166">
        <f t="shared" si="370"/>
        <v>1367.7793103448278</v>
      </c>
      <c r="AQ118" s="166">
        <f t="shared" si="370"/>
        <v>685.31417624521077</v>
      </c>
      <c r="AR118" s="166">
        <f t="shared" si="370"/>
        <v>1229.2905405405406</v>
      </c>
      <c r="AS118" s="166">
        <f t="shared" si="370"/>
        <v>1318.4347826086955</v>
      </c>
      <c r="AT118" s="167">
        <f t="shared" si="370"/>
        <v>4654.8167539267015</v>
      </c>
      <c r="AU118" s="166">
        <f t="shared" si="370"/>
        <v>1408.2475247524753</v>
      </c>
      <c r="AV118" s="166">
        <f t="shared" si="370"/>
        <v>1726.7012195121952</v>
      </c>
      <c r="AW118" s="166">
        <f t="shared" si="370"/>
        <v>1652.2664756446991</v>
      </c>
      <c r="AX118" s="166">
        <f t="shared" si="370"/>
        <v>1787.6747311827955</v>
      </c>
      <c r="AY118" s="167">
        <f t="shared" si="370"/>
        <v>6611.5769230769238</v>
      </c>
      <c r="AZ118" s="166">
        <f t="shared" si="370"/>
        <v>1819.2068965517242</v>
      </c>
      <c r="BA118" s="166">
        <f t="shared" si="370"/>
        <v>1934.1111111111111</v>
      </c>
      <c r="BB118" s="166">
        <f t="shared" si="370"/>
        <v>1780.9341772151899</v>
      </c>
      <c r="BC118" s="166">
        <f t="shared" si="370"/>
        <v>2020.2555066079299</v>
      </c>
      <c r="BD118" s="167">
        <f t="shared" si="370"/>
        <v>7554.2182044887777</v>
      </c>
      <c r="BE118" s="166">
        <f t="shared" si="370"/>
        <v>1897.1928071928073</v>
      </c>
      <c r="BF118" s="166">
        <f t="shared" si="370"/>
        <v>2019.9560439560437</v>
      </c>
      <c r="BG118" s="166">
        <f t="shared" si="370"/>
        <v>1891.4242424242425</v>
      </c>
      <c r="BH118" s="166">
        <f t="shared" si="370"/>
        <v>1977.1764705882349</v>
      </c>
      <c r="BI118" s="168">
        <f t="shared" si="370"/>
        <v>7785.8045112781956</v>
      </c>
      <c r="BJ118" s="165">
        <f t="shared" si="370"/>
        <v>1910.8624134495637</v>
      </c>
      <c r="BK118" s="165">
        <f t="shared" si="370"/>
        <v>2027.7568799999992</v>
      </c>
      <c r="BL118" s="165">
        <f t="shared" si="370"/>
        <v>1918.1951701631699</v>
      </c>
      <c r="BM118" s="165">
        <f t="shared" si="370"/>
        <v>1996.755340028694</v>
      </c>
      <c r="BN118" s="164">
        <f t="shared" si="370"/>
        <v>7856.2062771025749</v>
      </c>
      <c r="BO118" s="165">
        <f t="shared" si="370"/>
        <v>1924.1934888751593</v>
      </c>
      <c r="BP118" s="165">
        <f t="shared" si="370"/>
        <v>2043.4950385118177</v>
      </c>
      <c r="BQ118" s="165">
        <f t="shared" si="370"/>
        <v>1934.9376780070936</v>
      </c>
      <c r="BR118" s="165">
        <f t="shared" si="370"/>
        <v>2011.668606474534</v>
      </c>
      <c r="BS118" s="164">
        <f t="shared" si="370"/>
        <v>7917.1020780236731</v>
      </c>
      <c r="BT118" s="164">
        <f t="shared" si="370"/>
        <v>7998.2523743234151</v>
      </c>
      <c r="BU118" s="164">
        <f t="shared" si="370"/>
        <v>8123.3754772854536</v>
      </c>
      <c r="BV118" s="164">
        <f t="shared" si="370"/>
        <v>8423.9822822950373</v>
      </c>
      <c r="BW118" s="131"/>
    </row>
    <row r="119" spans="1:75" ht="15.75" customHeight="1" outlineLevel="1" x14ac:dyDescent="0.2">
      <c r="A119" s="169"/>
      <c r="B119" s="125"/>
      <c r="C119" s="170"/>
      <c r="D119" s="170"/>
      <c r="E119" s="170"/>
      <c r="F119" s="170"/>
      <c r="G119" s="171"/>
      <c r="H119" s="171"/>
      <c r="I119" s="171"/>
      <c r="J119" s="171"/>
      <c r="K119" s="170"/>
      <c r="L119" s="171"/>
      <c r="M119" s="171"/>
      <c r="N119" s="171"/>
      <c r="O119" s="171"/>
      <c r="P119" s="170"/>
      <c r="Q119" s="171"/>
      <c r="R119" s="171"/>
      <c r="S119" s="171"/>
      <c r="T119" s="171"/>
      <c r="U119" s="170"/>
      <c r="V119" s="171"/>
      <c r="W119" s="171"/>
      <c r="X119" s="171"/>
      <c r="Y119" s="171"/>
      <c r="Z119" s="170"/>
      <c r="AA119" s="171"/>
      <c r="AB119" s="171"/>
      <c r="AC119" s="171"/>
      <c r="AD119" s="171"/>
      <c r="AE119" s="170"/>
      <c r="AF119" s="171"/>
      <c r="AG119" s="171"/>
      <c r="AH119" s="171"/>
      <c r="AI119" s="171"/>
      <c r="AJ119" s="170"/>
      <c r="AK119" s="171"/>
      <c r="AL119" s="171"/>
      <c r="AM119" s="171"/>
      <c r="AN119" s="171"/>
      <c r="AO119" s="170"/>
      <c r="AP119" s="171"/>
      <c r="AQ119" s="171"/>
      <c r="AR119" s="171"/>
      <c r="AS119" s="171"/>
      <c r="AT119" s="170"/>
      <c r="AU119" s="171"/>
      <c r="AV119" s="171"/>
      <c r="AW119" s="171"/>
      <c r="AX119" s="171"/>
      <c r="AY119" s="170"/>
      <c r="AZ119" s="171"/>
      <c r="BA119" s="171"/>
      <c r="BB119" s="171"/>
      <c r="BC119" s="171"/>
      <c r="BD119" s="170"/>
      <c r="BE119" s="171"/>
      <c r="BF119" s="171"/>
      <c r="BG119" s="171"/>
      <c r="BH119" s="171"/>
      <c r="BI119" s="172"/>
      <c r="BJ119" s="171"/>
      <c r="BK119" s="171"/>
      <c r="BL119" s="171"/>
      <c r="BM119" s="171"/>
      <c r="BN119" s="170"/>
      <c r="BO119" s="171"/>
      <c r="BP119" s="171"/>
      <c r="BQ119" s="171"/>
      <c r="BR119" s="171"/>
      <c r="BS119" s="170"/>
      <c r="BT119" s="170"/>
      <c r="BU119" s="170"/>
      <c r="BV119" s="170"/>
      <c r="BW119" s="131"/>
    </row>
    <row r="120" spans="1:75" ht="15.75" customHeight="1" outlineLevel="1" x14ac:dyDescent="0.2">
      <c r="A120" s="124" t="s">
        <v>558</v>
      </c>
      <c r="B120" s="125"/>
      <c r="C120" s="130"/>
      <c r="D120" s="130"/>
      <c r="E120" s="130"/>
      <c r="F120" s="130"/>
      <c r="G120" s="154"/>
      <c r="H120" s="154"/>
      <c r="I120" s="154"/>
      <c r="J120" s="154"/>
      <c r="K120" s="130"/>
      <c r="L120" s="154"/>
      <c r="M120" s="154"/>
      <c r="N120" s="154"/>
      <c r="O120" s="154"/>
      <c r="P120" s="130"/>
      <c r="Q120" s="154"/>
      <c r="R120" s="154"/>
      <c r="S120" s="154"/>
      <c r="T120" s="154"/>
      <c r="U120" s="130"/>
      <c r="V120" s="154"/>
      <c r="W120" s="154"/>
      <c r="X120" s="154"/>
      <c r="Y120" s="154"/>
      <c r="Z120" s="130"/>
      <c r="AA120" s="154"/>
      <c r="AB120" s="154"/>
      <c r="AC120" s="154"/>
      <c r="AD120" s="154"/>
      <c r="AE120" s="130"/>
      <c r="AF120" s="154"/>
      <c r="AG120" s="154"/>
      <c r="AH120" s="154"/>
      <c r="AI120" s="154"/>
      <c r="AJ120" s="130"/>
      <c r="AK120" s="154"/>
      <c r="AL120" s="154"/>
      <c r="AM120" s="154"/>
      <c r="AN120" s="154"/>
      <c r="AO120" s="130"/>
      <c r="AP120" s="154"/>
      <c r="AQ120" s="154"/>
      <c r="AR120" s="154"/>
      <c r="AS120" s="154"/>
      <c r="AT120" s="130"/>
      <c r="AU120" s="131">
        <f t="shared" ref="AU120:AW120" si="371">AU124-AU123</f>
        <v>270.5</v>
      </c>
      <c r="AV120" s="154">
        <f t="shared" si="371"/>
        <v>282.5</v>
      </c>
      <c r="AW120" s="154">
        <f t="shared" si="371"/>
        <v>290.5</v>
      </c>
      <c r="AX120" s="154">
        <f>AX111*AX$3/7</f>
        <v>299</v>
      </c>
      <c r="AY120" s="130">
        <f t="shared" ref="AY120:AY122" si="372">SUM(AU120,AV120,AW120,AX120)</f>
        <v>1142.5</v>
      </c>
      <c r="AZ120" s="131">
        <f t="shared" ref="AZ120:BB120" si="373">AZ124-AZ123</f>
        <v>299</v>
      </c>
      <c r="BA120" s="154">
        <f t="shared" si="373"/>
        <v>293.5</v>
      </c>
      <c r="BB120" s="154">
        <f t="shared" si="373"/>
        <v>226</v>
      </c>
      <c r="BC120" s="154">
        <f>BC111*BC$3/7</f>
        <v>350</v>
      </c>
      <c r="BD120" s="130">
        <f t="shared" ref="BD120:BD122" si="374">SUM(AZ120,BA120,BB120,BC120)</f>
        <v>1168.5</v>
      </c>
      <c r="BE120" s="131">
        <f t="shared" ref="BE120:BG120" si="375">BE124-BE123</f>
        <v>351.85714285714289</v>
      </c>
      <c r="BF120" s="154">
        <f t="shared" si="375"/>
        <v>369.85714285714283</v>
      </c>
      <c r="BG120" s="154">
        <f t="shared" si="375"/>
        <v>325</v>
      </c>
      <c r="BH120" s="154">
        <f>BH111*BH$3/7</f>
        <v>383.5</v>
      </c>
      <c r="BI120" s="155">
        <f t="shared" ref="BI120:BI122" si="376">SUM(BE120,BF120,BG120,BH120)</f>
        <v>1430.2142857142858</v>
      </c>
      <c r="BJ120" s="154">
        <f t="shared" ref="BJ120:BM120" si="377">BJ111*BJ$3/7</f>
        <v>396.5</v>
      </c>
      <c r="BK120" s="154">
        <f t="shared" si="377"/>
        <v>416</v>
      </c>
      <c r="BL120" s="154">
        <f t="shared" si="377"/>
        <v>429</v>
      </c>
      <c r="BM120" s="154">
        <f t="shared" si="377"/>
        <v>429</v>
      </c>
      <c r="BN120" s="130">
        <f t="shared" ref="BN120:BN122" si="378">SUM(BJ120,BK120,BL120,BM120)</f>
        <v>1670.5</v>
      </c>
      <c r="BO120" s="154">
        <f t="shared" ref="BO120:BR120" si="379">BO111*BO$3/7</f>
        <v>429</v>
      </c>
      <c r="BP120" s="154">
        <f t="shared" si="379"/>
        <v>448.5</v>
      </c>
      <c r="BQ120" s="154">
        <f t="shared" si="379"/>
        <v>474.5</v>
      </c>
      <c r="BR120" s="154">
        <f t="shared" si="379"/>
        <v>487.5</v>
      </c>
      <c r="BS120" s="130">
        <f t="shared" ref="BS120:BS122" si="380">SUM(BO120,BP120,BQ120,BR120)</f>
        <v>1839.5</v>
      </c>
      <c r="BT120" s="130">
        <f t="shared" ref="BT120:BV120" si="381">BT111*BT$3/7</f>
        <v>2164.5</v>
      </c>
      <c r="BU120" s="130">
        <f t="shared" si="381"/>
        <v>2528.5</v>
      </c>
      <c r="BV120" s="130">
        <f t="shared" si="381"/>
        <v>2862</v>
      </c>
      <c r="BW120" s="131"/>
    </row>
    <row r="121" spans="1:75" ht="15.75" customHeight="1" outlineLevel="1" x14ac:dyDescent="0.2">
      <c r="A121" s="124" t="s">
        <v>559</v>
      </c>
      <c r="B121" s="125"/>
      <c r="C121" s="130"/>
      <c r="D121" s="130"/>
      <c r="E121" s="130"/>
      <c r="F121" s="130"/>
      <c r="G121" s="154"/>
      <c r="H121" s="154"/>
      <c r="I121" s="154"/>
      <c r="J121" s="154"/>
      <c r="K121" s="130"/>
      <c r="L121" s="154"/>
      <c r="M121" s="154"/>
      <c r="N121" s="154"/>
      <c r="O121" s="154"/>
      <c r="P121" s="130"/>
      <c r="Q121" s="154"/>
      <c r="R121" s="154"/>
      <c r="S121" s="154"/>
      <c r="T121" s="154"/>
      <c r="U121" s="130"/>
      <c r="V121" s="154"/>
      <c r="W121" s="154"/>
      <c r="X121" s="154"/>
      <c r="Y121" s="154"/>
      <c r="Z121" s="130"/>
      <c r="AA121" s="154"/>
      <c r="AB121" s="154"/>
      <c r="AC121" s="154"/>
      <c r="AD121" s="154"/>
      <c r="AE121" s="130"/>
      <c r="AF121" s="154"/>
      <c r="AG121" s="154"/>
      <c r="AH121" s="154"/>
      <c r="AI121" s="154"/>
      <c r="AJ121" s="130"/>
      <c r="AK121" s="154"/>
      <c r="AL121" s="154"/>
      <c r="AM121" s="154"/>
      <c r="AN121" s="154"/>
      <c r="AO121" s="130"/>
      <c r="AP121" s="154"/>
      <c r="AQ121" s="154"/>
      <c r="AR121" s="154"/>
      <c r="AS121" s="154"/>
      <c r="AT121" s="130"/>
      <c r="AU121" s="131">
        <f>(AM104/2+AN104+AP104/2)*AU$3/7</f>
        <v>19.5</v>
      </c>
      <c r="AV121" s="131">
        <f>(AN104/2+AP104+AQ104/2)*AV$3/7</f>
        <v>19.5</v>
      </c>
      <c r="AW121" s="131">
        <f t="shared" ref="AW121:AX121" si="382">(AP104/2+AQ104+AR104/2)*AW$3/7</f>
        <v>6.5</v>
      </c>
      <c r="AX121" s="154">
        <f t="shared" si="382"/>
        <v>0</v>
      </c>
      <c r="AY121" s="130">
        <f t="shared" si="372"/>
        <v>45.5</v>
      </c>
      <c r="AZ121" s="131">
        <f>(AR104/2+AS104+AU104/2)*AZ$3/7</f>
        <v>6.5</v>
      </c>
      <c r="BA121" s="131">
        <f>(AS104/2+AU104+AV104/2)*BA$3/7</f>
        <v>26</v>
      </c>
      <c r="BB121" s="131">
        <f t="shared" ref="BB121:BC121" si="383">(AU104/2+AV104+AW104/2)*BB$3/7</f>
        <v>45.5</v>
      </c>
      <c r="BC121" s="154">
        <f t="shared" si="383"/>
        <v>49</v>
      </c>
      <c r="BD121" s="130">
        <f t="shared" si="374"/>
        <v>127</v>
      </c>
      <c r="BE121" s="131">
        <f>(AW104/2+AX104+AZ104/2)*BE$3/7</f>
        <v>25.714285714285715</v>
      </c>
      <c r="BF121" s="131">
        <f>(AX104/2+AZ104+BA104/2)*BF$3/7</f>
        <v>13.142857142857142</v>
      </c>
      <c r="BG121" s="131">
        <f t="shared" ref="BG121:BH121" si="384">(AZ104/2+BA104+BB104/2)*BG$3/7</f>
        <v>19.5</v>
      </c>
      <c r="BH121" s="154">
        <f t="shared" si="384"/>
        <v>32.5</v>
      </c>
      <c r="BI121" s="155">
        <f t="shared" si="376"/>
        <v>90.857142857142861</v>
      </c>
      <c r="BJ121" s="154">
        <f>(BB104/2+BC104+BE104/2)*BJ$3/7</f>
        <v>32.5</v>
      </c>
      <c r="BK121" s="154">
        <f>(BC104/2+BE104+BF104/2)*BK$3/7</f>
        <v>13</v>
      </c>
      <c r="BL121" s="154">
        <f t="shared" ref="BL121:BM121" si="385">(BE104/2+BF104+BG104/2)*BL$3/7</f>
        <v>0</v>
      </c>
      <c r="BM121" s="154">
        <f t="shared" si="385"/>
        <v>19.5</v>
      </c>
      <c r="BN121" s="130">
        <f t="shared" si="378"/>
        <v>65</v>
      </c>
      <c r="BO121" s="154">
        <f>(BG104/2+BH104+BJ104/2)*BO$3/7</f>
        <v>45.5</v>
      </c>
      <c r="BP121" s="154">
        <f>(BH104/2+BJ104+BK104/2)*BP$3/7</f>
        <v>39</v>
      </c>
      <c r="BQ121" s="154">
        <f t="shared" ref="BQ121:BR121" si="386">(BJ104/2+BK104+BL104/2)*BQ$3/7</f>
        <v>32.5</v>
      </c>
      <c r="BR121" s="154">
        <f t="shared" si="386"/>
        <v>45.5</v>
      </c>
      <c r="BS121" s="130">
        <f t="shared" si="380"/>
        <v>162.5</v>
      </c>
      <c r="BT121" s="130">
        <f>SUM(BL104/8,BM104*3/8,BO104/2,BP104/2,BQ104*3/8,BR104/8)*BT$3/7</f>
        <v>182</v>
      </c>
      <c r="BU121" s="130">
        <f>SUM(BT104*12/32,BR104*3/8,BQ104/8)*BU$3/7</f>
        <v>149.5</v>
      </c>
      <c r="BV121" s="130">
        <f>SUM(BU104*12/32,BT104/8)*BV$3/7</f>
        <v>132.5</v>
      </c>
      <c r="BW121" s="131"/>
    </row>
    <row r="122" spans="1:75" ht="15.75" customHeight="1" outlineLevel="1" x14ac:dyDescent="0.2">
      <c r="A122" s="173" t="s">
        <v>560</v>
      </c>
      <c r="B122" s="133"/>
      <c r="C122" s="138"/>
      <c r="D122" s="138"/>
      <c r="E122" s="138"/>
      <c r="F122" s="138"/>
      <c r="G122" s="174"/>
      <c r="H122" s="174"/>
      <c r="I122" s="174"/>
      <c r="J122" s="174"/>
      <c r="K122" s="138"/>
      <c r="L122" s="174"/>
      <c r="M122" s="174"/>
      <c r="N122" s="174"/>
      <c r="O122" s="174"/>
      <c r="P122" s="138"/>
      <c r="Q122" s="174"/>
      <c r="R122" s="174"/>
      <c r="S122" s="174"/>
      <c r="T122" s="174"/>
      <c r="U122" s="138"/>
      <c r="V122" s="174"/>
      <c r="W122" s="174"/>
      <c r="X122" s="174"/>
      <c r="Y122" s="174"/>
      <c r="Z122" s="138"/>
      <c r="AA122" s="174"/>
      <c r="AB122" s="174"/>
      <c r="AC122" s="174"/>
      <c r="AD122" s="174"/>
      <c r="AE122" s="138"/>
      <c r="AF122" s="174"/>
      <c r="AG122" s="174"/>
      <c r="AH122" s="174"/>
      <c r="AI122" s="174"/>
      <c r="AJ122" s="138"/>
      <c r="AK122" s="174"/>
      <c r="AL122" s="174"/>
      <c r="AM122" s="174"/>
      <c r="AN122" s="174"/>
      <c r="AO122" s="138"/>
      <c r="AP122" s="174"/>
      <c r="AQ122" s="174"/>
      <c r="AR122" s="174"/>
      <c r="AS122" s="174"/>
      <c r="AT122" s="138"/>
      <c r="AU122" s="135">
        <f t="shared" ref="AU122:AX122" si="387">AU123-AU121</f>
        <v>13</v>
      </c>
      <c r="AV122" s="135">
        <f t="shared" si="387"/>
        <v>26</v>
      </c>
      <c r="AW122" s="135">
        <f t="shared" si="387"/>
        <v>52</v>
      </c>
      <c r="AX122" s="174">
        <f t="shared" si="387"/>
        <v>71.5</v>
      </c>
      <c r="AY122" s="138">
        <f t="shared" si="372"/>
        <v>162.5</v>
      </c>
      <c r="AZ122" s="135">
        <f t="shared" ref="AZ122:BC122" si="388">AZ123-AZ121</f>
        <v>71.5</v>
      </c>
      <c r="BA122" s="135">
        <f t="shared" si="388"/>
        <v>58.5</v>
      </c>
      <c r="BB122" s="135">
        <f t="shared" si="388"/>
        <v>123.5</v>
      </c>
      <c r="BC122" s="174">
        <f t="shared" si="388"/>
        <v>49</v>
      </c>
      <c r="BD122" s="138">
        <f t="shared" si="374"/>
        <v>302.5</v>
      </c>
      <c r="BE122" s="135">
        <f t="shared" ref="BE122:BH122" si="389">BE123-BE121</f>
        <v>51.428571428571423</v>
      </c>
      <c r="BF122" s="135">
        <f t="shared" si="389"/>
        <v>46</v>
      </c>
      <c r="BG122" s="135">
        <f t="shared" si="389"/>
        <v>84.5</v>
      </c>
      <c r="BH122" s="174">
        <f t="shared" si="389"/>
        <v>32.5</v>
      </c>
      <c r="BI122" s="203">
        <f t="shared" si="376"/>
        <v>214.42857142857142</v>
      </c>
      <c r="BJ122" s="174">
        <f t="shared" ref="BJ122:BM122" si="390">BJ123-BJ121</f>
        <v>45.5</v>
      </c>
      <c r="BK122" s="174">
        <f t="shared" si="390"/>
        <v>58.5</v>
      </c>
      <c r="BL122" s="174">
        <f t="shared" si="390"/>
        <v>78</v>
      </c>
      <c r="BM122" s="174">
        <f t="shared" si="390"/>
        <v>84.5</v>
      </c>
      <c r="BN122" s="138">
        <f t="shared" si="378"/>
        <v>266.5</v>
      </c>
      <c r="BO122" s="174">
        <f t="shared" ref="BO122:BR122" si="391">BO123-BO121</f>
        <v>78</v>
      </c>
      <c r="BP122" s="174">
        <f t="shared" si="391"/>
        <v>84.5</v>
      </c>
      <c r="BQ122" s="174">
        <f t="shared" si="391"/>
        <v>91</v>
      </c>
      <c r="BR122" s="174">
        <f t="shared" si="391"/>
        <v>91</v>
      </c>
      <c r="BS122" s="138">
        <f t="shared" si="380"/>
        <v>344.5</v>
      </c>
      <c r="BT122" s="138">
        <f t="shared" ref="BT122:BV122" si="392">BT123-BT121</f>
        <v>331.5</v>
      </c>
      <c r="BU122" s="138">
        <f t="shared" si="392"/>
        <v>260</v>
      </c>
      <c r="BV122" s="138">
        <f t="shared" si="392"/>
        <v>265</v>
      </c>
      <c r="BW122" s="131"/>
    </row>
    <row r="123" spans="1:75" ht="15.75" customHeight="1" outlineLevel="1" x14ac:dyDescent="0.2">
      <c r="A123" s="125" t="s">
        <v>561</v>
      </c>
      <c r="B123" s="125"/>
      <c r="C123" s="130"/>
      <c r="D123" s="130"/>
      <c r="E123" s="130"/>
      <c r="F123" s="130"/>
      <c r="G123" s="154"/>
      <c r="H123" s="154"/>
      <c r="I123" s="154"/>
      <c r="J123" s="154"/>
      <c r="K123" s="130"/>
      <c r="L123" s="154"/>
      <c r="M123" s="154"/>
      <c r="N123" s="154"/>
      <c r="O123" s="154"/>
      <c r="P123" s="130"/>
      <c r="Q123" s="154"/>
      <c r="R123" s="154"/>
      <c r="S123" s="154"/>
      <c r="T123" s="154"/>
      <c r="U123" s="130"/>
      <c r="V123" s="154"/>
      <c r="W123" s="154"/>
      <c r="X123" s="154"/>
      <c r="Y123" s="154"/>
      <c r="Z123" s="130"/>
      <c r="AA123" s="154"/>
      <c r="AB123" s="154"/>
      <c r="AC123" s="154"/>
      <c r="AD123" s="154"/>
      <c r="AE123" s="130"/>
      <c r="AF123" s="154"/>
      <c r="AG123" s="154"/>
      <c r="AH123" s="154"/>
      <c r="AI123" s="154"/>
      <c r="AJ123" s="130"/>
      <c r="AK123" s="154"/>
      <c r="AL123" s="154"/>
      <c r="AM123" s="154"/>
      <c r="AN123" s="154"/>
      <c r="AO123" s="130"/>
      <c r="AP123" s="154"/>
      <c r="AQ123" s="154"/>
      <c r="AR123" s="154"/>
      <c r="AS123" s="154"/>
      <c r="AT123" s="130"/>
      <c r="AU123" s="154">
        <f t="shared" ref="AU123:AX123" si="393">AU114*AU$3/7</f>
        <v>32.5</v>
      </c>
      <c r="AV123" s="154">
        <f t="shared" si="393"/>
        <v>45.5</v>
      </c>
      <c r="AW123" s="154">
        <f t="shared" si="393"/>
        <v>58.5</v>
      </c>
      <c r="AX123" s="154">
        <f t="shared" si="393"/>
        <v>71.5</v>
      </c>
      <c r="AY123" s="130">
        <f>AY121+AY122</f>
        <v>208</v>
      </c>
      <c r="AZ123" s="154">
        <f t="shared" ref="AZ123:BC123" si="394">AZ114*AZ$3/7</f>
        <v>78</v>
      </c>
      <c r="BA123" s="154">
        <f t="shared" si="394"/>
        <v>84.5</v>
      </c>
      <c r="BB123" s="154">
        <f t="shared" si="394"/>
        <v>169</v>
      </c>
      <c r="BC123" s="154">
        <f t="shared" si="394"/>
        <v>98</v>
      </c>
      <c r="BD123" s="130">
        <f>BD121+BD122</f>
        <v>429.5</v>
      </c>
      <c r="BE123" s="154">
        <f t="shared" ref="BE123:BH123" si="395">BE114*BE$3/7</f>
        <v>77.142857142857139</v>
      </c>
      <c r="BF123" s="154">
        <f t="shared" si="395"/>
        <v>59.142857142857146</v>
      </c>
      <c r="BG123" s="154">
        <f t="shared" si="395"/>
        <v>104</v>
      </c>
      <c r="BH123" s="154">
        <f t="shared" si="395"/>
        <v>65</v>
      </c>
      <c r="BI123" s="155">
        <f>BI121+BI122</f>
        <v>305.28571428571428</v>
      </c>
      <c r="BJ123" s="154">
        <f t="shared" ref="BJ123:BM123" si="396">BJ114*BJ$3/7</f>
        <v>78</v>
      </c>
      <c r="BK123" s="154">
        <f t="shared" si="396"/>
        <v>71.5</v>
      </c>
      <c r="BL123" s="154">
        <f t="shared" si="396"/>
        <v>78</v>
      </c>
      <c r="BM123" s="154">
        <f t="shared" si="396"/>
        <v>104</v>
      </c>
      <c r="BN123" s="130">
        <f>BN121+BN122</f>
        <v>331.5</v>
      </c>
      <c r="BO123" s="154">
        <f t="shared" ref="BO123:BR123" si="397">BO114*BO$3/7</f>
        <v>123.5</v>
      </c>
      <c r="BP123" s="154">
        <f t="shared" si="397"/>
        <v>123.5</v>
      </c>
      <c r="BQ123" s="154">
        <f t="shared" si="397"/>
        <v>123.5</v>
      </c>
      <c r="BR123" s="154">
        <f t="shared" si="397"/>
        <v>136.5</v>
      </c>
      <c r="BS123" s="130">
        <f>BS121+BS122</f>
        <v>507</v>
      </c>
      <c r="BT123" s="130">
        <f t="shared" ref="BT123:BV123" si="398">BT114*BT$3/7</f>
        <v>513.5</v>
      </c>
      <c r="BU123" s="130">
        <f t="shared" si="398"/>
        <v>409.5</v>
      </c>
      <c r="BV123" s="130">
        <f t="shared" si="398"/>
        <v>397.5</v>
      </c>
      <c r="BW123" s="131"/>
    </row>
    <row r="124" spans="1:75" ht="15.75" customHeight="1" outlineLevel="1" x14ac:dyDescent="0.2">
      <c r="A124" s="140" t="s">
        <v>562</v>
      </c>
      <c r="B124" s="141"/>
      <c r="C124" s="145"/>
      <c r="D124" s="145"/>
      <c r="E124" s="145"/>
      <c r="F124" s="145"/>
      <c r="G124" s="147"/>
      <c r="H124" s="147"/>
      <c r="I124" s="147"/>
      <c r="J124" s="147"/>
      <c r="K124" s="145"/>
      <c r="L124" s="147"/>
      <c r="M124" s="147"/>
      <c r="N124" s="147"/>
      <c r="O124" s="147"/>
      <c r="P124" s="145"/>
      <c r="Q124" s="147"/>
      <c r="R124" s="147"/>
      <c r="S124" s="147"/>
      <c r="T124" s="147"/>
      <c r="U124" s="145"/>
      <c r="V124" s="147"/>
      <c r="W124" s="147"/>
      <c r="X124" s="147"/>
      <c r="Y124" s="147"/>
      <c r="Z124" s="145"/>
      <c r="AA124" s="147"/>
      <c r="AB124" s="147"/>
      <c r="AC124" s="147"/>
      <c r="AD124" s="147"/>
      <c r="AE124" s="145"/>
      <c r="AF124" s="147"/>
      <c r="AG124" s="147"/>
      <c r="AH124" s="147"/>
      <c r="AI124" s="147"/>
      <c r="AJ124" s="145"/>
      <c r="AK124" s="147"/>
      <c r="AL124" s="147"/>
      <c r="AM124" s="147"/>
      <c r="AN124" s="143">
        <v>280</v>
      </c>
      <c r="AO124" s="205">
        <f>AN124</f>
        <v>280</v>
      </c>
      <c r="AP124" s="143">
        <v>290</v>
      </c>
      <c r="AQ124" s="143">
        <v>261</v>
      </c>
      <c r="AR124" s="143">
        <v>296</v>
      </c>
      <c r="AS124" s="143">
        <v>299</v>
      </c>
      <c r="AT124" s="142">
        <v>1146</v>
      </c>
      <c r="AU124" s="143">
        <v>303</v>
      </c>
      <c r="AV124" s="143">
        <v>328</v>
      </c>
      <c r="AW124" s="143">
        <v>349</v>
      </c>
      <c r="AX124" s="143">
        <v>372</v>
      </c>
      <c r="AY124" s="142">
        <v>1352</v>
      </c>
      <c r="AZ124" s="143">
        <v>377</v>
      </c>
      <c r="BA124" s="143">
        <v>378</v>
      </c>
      <c r="BB124" s="143">
        <v>395</v>
      </c>
      <c r="BC124" s="143">
        <v>454</v>
      </c>
      <c r="BD124" s="142">
        <v>1604</v>
      </c>
      <c r="BE124" s="143">
        <v>429</v>
      </c>
      <c r="BF124" s="143">
        <v>429</v>
      </c>
      <c r="BG124" s="143">
        <v>429</v>
      </c>
      <c r="BH124" s="143">
        <v>442</v>
      </c>
      <c r="BI124" s="175">
        <v>1729</v>
      </c>
      <c r="BJ124" s="147">
        <f t="shared" ref="BJ124:BV124" si="399">BJ120+BJ123</f>
        <v>474.5</v>
      </c>
      <c r="BK124" s="147">
        <f t="shared" si="399"/>
        <v>487.5</v>
      </c>
      <c r="BL124" s="147">
        <f t="shared" si="399"/>
        <v>507</v>
      </c>
      <c r="BM124" s="147">
        <f t="shared" si="399"/>
        <v>533</v>
      </c>
      <c r="BN124" s="145">
        <f t="shared" si="399"/>
        <v>2002</v>
      </c>
      <c r="BO124" s="147">
        <f t="shared" si="399"/>
        <v>552.5</v>
      </c>
      <c r="BP124" s="147">
        <f t="shared" si="399"/>
        <v>572</v>
      </c>
      <c r="BQ124" s="147">
        <f t="shared" si="399"/>
        <v>598</v>
      </c>
      <c r="BR124" s="147">
        <f t="shared" si="399"/>
        <v>624</v>
      </c>
      <c r="BS124" s="145">
        <f t="shared" si="399"/>
        <v>2346.5</v>
      </c>
      <c r="BT124" s="145">
        <f t="shared" si="399"/>
        <v>2678</v>
      </c>
      <c r="BU124" s="145">
        <f t="shared" si="399"/>
        <v>2938</v>
      </c>
      <c r="BV124" s="145">
        <f t="shared" si="399"/>
        <v>3259.5</v>
      </c>
      <c r="BW124" s="120"/>
    </row>
    <row r="125" spans="1:75" ht="15.75" customHeight="1" outlineLevel="1" x14ac:dyDescent="0.2">
      <c r="A125" s="125"/>
      <c r="B125" s="125"/>
      <c r="C125" s="130"/>
      <c r="D125" s="130"/>
      <c r="E125" s="130"/>
      <c r="F125" s="130"/>
      <c r="G125" s="154"/>
      <c r="H125" s="154"/>
      <c r="I125" s="154"/>
      <c r="J125" s="154"/>
      <c r="K125" s="130"/>
      <c r="L125" s="154"/>
      <c r="M125" s="154"/>
      <c r="N125" s="154"/>
      <c r="O125" s="154"/>
      <c r="P125" s="130"/>
      <c r="Q125" s="154"/>
      <c r="R125" s="154"/>
      <c r="S125" s="154"/>
      <c r="T125" s="154"/>
      <c r="U125" s="130"/>
      <c r="V125" s="154"/>
      <c r="W125" s="154"/>
      <c r="X125" s="154"/>
      <c r="Y125" s="154"/>
      <c r="Z125" s="130"/>
      <c r="AA125" s="154"/>
      <c r="AB125" s="154"/>
      <c r="AC125" s="154"/>
      <c r="AD125" s="154"/>
      <c r="AE125" s="130"/>
      <c r="AF125" s="154"/>
      <c r="AG125" s="154"/>
      <c r="AH125" s="154"/>
      <c r="AI125" s="154"/>
      <c r="AJ125" s="130"/>
      <c r="AK125" s="154"/>
      <c r="AL125" s="154"/>
      <c r="AM125" s="154"/>
      <c r="AN125" s="154"/>
      <c r="AO125" s="130"/>
      <c r="AP125" s="154"/>
      <c r="AQ125" s="154"/>
      <c r="AR125" s="154"/>
      <c r="AS125" s="154"/>
      <c r="AT125" s="130"/>
      <c r="AU125" s="154"/>
      <c r="AV125" s="154"/>
      <c r="AW125" s="154"/>
      <c r="AX125" s="154"/>
      <c r="AY125" s="130"/>
      <c r="AZ125" s="154"/>
      <c r="BA125" s="154"/>
      <c r="BB125" s="154"/>
      <c r="BC125" s="154"/>
      <c r="BD125" s="130"/>
      <c r="BE125" s="154"/>
      <c r="BF125" s="154"/>
      <c r="BG125" s="154"/>
      <c r="BH125" s="154"/>
      <c r="BI125" s="155"/>
      <c r="BJ125" s="154"/>
      <c r="BK125" s="154"/>
      <c r="BL125" s="154"/>
      <c r="BM125" s="154"/>
      <c r="BN125" s="130"/>
      <c r="BO125" s="154"/>
      <c r="BP125" s="154"/>
      <c r="BQ125" s="154"/>
      <c r="BR125" s="154"/>
      <c r="BS125" s="130"/>
      <c r="BT125" s="130"/>
      <c r="BU125" s="130"/>
      <c r="BV125" s="130"/>
      <c r="BW125" s="131"/>
    </row>
    <row r="126" spans="1:75" ht="15.75" customHeight="1" outlineLevel="1" x14ac:dyDescent="0.2">
      <c r="A126" s="176" t="s">
        <v>563</v>
      </c>
      <c r="B126" s="176"/>
      <c r="C126" s="177"/>
      <c r="D126" s="177"/>
      <c r="E126" s="177"/>
      <c r="F126" s="177"/>
      <c r="G126" s="178"/>
      <c r="H126" s="178"/>
      <c r="I126" s="178"/>
      <c r="J126" s="178"/>
      <c r="K126" s="177"/>
      <c r="L126" s="178"/>
      <c r="M126" s="178"/>
      <c r="N126" s="178"/>
      <c r="O126" s="178"/>
      <c r="P126" s="177"/>
      <c r="Q126" s="178"/>
      <c r="R126" s="178"/>
      <c r="S126" s="178"/>
      <c r="T126" s="178"/>
      <c r="U126" s="177"/>
      <c r="V126" s="178"/>
      <c r="W126" s="178"/>
      <c r="X126" s="178"/>
      <c r="Y126" s="178"/>
      <c r="Z126" s="177"/>
      <c r="AA126" s="178"/>
      <c r="AB126" s="178"/>
      <c r="AC126" s="178"/>
      <c r="AD126" s="178"/>
      <c r="AE126" s="177"/>
      <c r="AF126" s="178"/>
      <c r="AG126" s="178"/>
      <c r="AH126" s="178"/>
      <c r="AI126" s="178"/>
      <c r="AJ126" s="177"/>
      <c r="AK126" s="178"/>
      <c r="AL126" s="178"/>
      <c r="AM126" s="178"/>
      <c r="AN126" s="178"/>
      <c r="AO126" s="177"/>
      <c r="AP126" s="178"/>
      <c r="AQ126" s="178"/>
      <c r="AR126" s="178"/>
      <c r="AS126" s="178"/>
      <c r="AT126" s="177"/>
      <c r="AU126" s="178">
        <f t="shared" ref="AU126:AX126" si="400">AP129*(1+AU134)</f>
        <v>105.21379310344828</v>
      </c>
      <c r="AV126" s="178">
        <f t="shared" si="400"/>
        <v>52.716475095785441</v>
      </c>
      <c r="AW126" s="178">
        <f t="shared" si="400"/>
        <v>94.560810810810807</v>
      </c>
      <c r="AX126" s="178">
        <f t="shared" si="400"/>
        <v>101.41806020066889</v>
      </c>
      <c r="AY126" s="177">
        <f>AY127/(1+AY131)</f>
        <v>91.934933022822989</v>
      </c>
      <c r="AZ126" s="178">
        <f t="shared" ref="AZ126:BC126" si="401">AU129*(1+AZ134)</f>
        <v>108.32673267326733</v>
      </c>
      <c r="BA126" s="178">
        <f t="shared" si="401"/>
        <v>132.82317073170734</v>
      </c>
      <c r="BB126" s="178">
        <f t="shared" si="401"/>
        <v>127.09742120343839</v>
      </c>
      <c r="BC126" s="178">
        <f t="shared" si="401"/>
        <v>137.51344086021504</v>
      </c>
      <c r="BD126" s="177">
        <f>BD127/(1+BD131)</f>
        <v>126.18698273730219</v>
      </c>
      <c r="BE126" s="178">
        <f t="shared" ref="BE126:BH126" si="402">AZ129*(1+BE134)</f>
        <v>139.9389920424403</v>
      </c>
      <c r="BF126" s="178">
        <f t="shared" si="402"/>
        <v>148.7777777777778</v>
      </c>
      <c r="BG126" s="178">
        <f t="shared" si="402"/>
        <v>136.99493670886076</v>
      </c>
      <c r="BH126" s="178">
        <f t="shared" si="402"/>
        <v>144.30396475770925</v>
      </c>
      <c r="BI126" s="206">
        <f>BI127/(1+BI131)</f>
        <v>142.6866479650036</v>
      </c>
      <c r="BJ126" s="178">
        <f t="shared" ref="BJ126:BS126" si="403">BE129*(1+BJ134)</f>
        <v>147.55944055944056</v>
      </c>
      <c r="BK126" s="178">
        <f t="shared" si="403"/>
        <v>153.69230769230768</v>
      </c>
      <c r="BL126" s="178">
        <f t="shared" si="403"/>
        <v>145.49417249417249</v>
      </c>
      <c r="BM126" s="178">
        <f t="shared" si="403"/>
        <v>152.09049773755655</v>
      </c>
      <c r="BN126" s="177">
        <f t="shared" si="403"/>
        <v>149.72700983227298</v>
      </c>
      <c r="BO126" s="178">
        <f t="shared" si="403"/>
        <v>146.98941641919723</v>
      </c>
      <c r="BP126" s="178">
        <f t="shared" si="403"/>
        <v>155.98129846153842</v>
      </c>
      <c r="BQ126" s="178">
        <f t="shared" si="403"/>
        <v>147.55347462793614</v>
      </c>
      <c r="BR126" s="178">
        <f t="shared" si="403"/>
        <v>153.59656461759187</v>
      </c>
      <c r="BS126" s="177">
        <f t="shared" si="403"/>
        <v>151.0808899442803</v>
      </c>
      <c r="BT126" s="177">
        <f t="shared" ref="BT126:BV126" si="404">BS129*(1+BT134)</f>
        <v>152.25196303891678</v>
      </c>
      <c r="BU126" s="177">
        <f t="shared" si="404"/>
        <v>153.81254566006567</v>
      </c>
      <c r="BV126" s="177">
        <f t="shared" si="404"/>
        <v>156.21875917856639</v>
      </c>
      <c r="BW126" s="179"/>
    </row>
    <row r="127" spans="1:75" ht="15.75" customHeight="1" outlineLevel="1" x14ac:dyDescent="0.2">
      <c r="A127" s="176" t="s">
        <v>564</v>
      </c>
      <c r="B127" s="176"/>
      <c r="C127" s="177"/>
      <c r="D127" s="177"/>
      <c r="E127" s="177"/>
      <c r="F127" s="177"/>
      <c r="G127" s="178"/>
      <c r="H127" s="178"/>
      <c r="I127" s="178"/>
      <c r="J127" s="178"/>
      <c r="K127" s="177"/>
      <c r="L127" s="178"/>
      <c r="M127" s="178"/>
      <c r="N127" s="178"/>
      <c r="O127" s="178"/>
      <c r="P127" s="177"/>
      <c r="Q127" s="178"/>
      <c r="R127" s="178"/>
      <c r="S127" s="178"/>
      <c r="T127" s="178"/>
      <c r="U127" s="177"/>
      <c r="V127" s="178"/>
      <c r="W127" s="178"/>
      <c r="X127" s="178"/>
      <c r="Y127" s="178"/>
      <c r="Z127" s="177"/>
      <c r="AA127" s="178"/>
      <c r="AB127" s="178"/>
      <c r="AC127" s="178"/>
      <c r="AD127" s="178"/>
      <c r="AE127" s="177"/>
      <c r="AF127" s="178"/>
      <c r="AG127" s="178"/>
      <c r="AH127" s="178"/>
      <c r="AI127" s="178"/>
      <c r="AJ127" s="177"/>
      <c r="AK127" s="178"/>
      <c r="AL127" s="178"/>
      <c r="AM127" s="178"/>
      <c r="AN127" s="178"/>
      <c r="AO127" s="177"/>
      <c r="AP127" s="178"/>
      <c r="AQ127" s="178"/>
      <c r="AR127" s="178"/>
      <c r="AS127" s="178"/>
      <c r="AT127" s="177"/>
      <c r="AU127" s="179">
        <f t="shared" ref="AU127:AX127" si="405">AU126*(1+AU131)</f>
        <v>110.4744827586207</v>
      </c>
      <c r="AV127" s="178">
        <f t="shared" si="405"/>
        <v>148.66045977011493</v>
      </c>
      <c r="AW127" s="178">
        <f t="shared" si="405"/>
        <v>144.67804054054054</v>
      </c>
      <c r="AX127" s="178">
        <f t="shared" si="405"/>
        <v>138.9427424749164</v>
      </c>
      <c r="AY127" s="177">
        <f>AY136/AY120*1000</f>
        <v>136.06370087377803</v>
      </c>
      <c r="AZ127" s="179">
        <f t="shared" ref="AZ127:BC127" si="406">AZ126*(1+AZ131)</f>
        <v>139.95813861386139</v>
      </c>
      <c r="BA127" s="178">
        <f t="shared" si="406"/>
        <v>148.76195121951224</v>
      </c>
      <c r="BB127" s="178">
        <f t="shared" si="406"/>
        <v>139.80716332378225</v>
      </c>
      <c r="BC127" s="178">
        <f t="shared" si="406"/>
        <v>149.8896505376344</v>
      </c>
      <c r="BD127" s="177">
        <f>BD136/BD120*1000</f>
        <v>145.1150301478975</v>
      </c>
      <c r="BE127" s="179">
        <f t="shared" ref="BE127:BH127" si="407">BE126*(1+BE131)</f>
        <v>152.53350132625994</v>
      </c>
      <c r="BF127" s="178">
        <f t="shared" si="407"/>
        <v>160.68000000000004</v>
      </c>
      <c r="BG127" s="178">
        <f t="shared" si="407"/>
        <v>147.95453164556963</v>
      </c>
      <c r="BH127" s="178">
        <f t="shared" si="407"/>
        <v>154.4052422907489</v>
      </c>
      <c r="BI127" s="206">
        <f>BI136/BI120*1000</f>
        <v>154.1015798022039</v>
      </c>
      <c r="BJ127" s="178">
        <f t="shared" ref="BJ127:BM127" si="408">BJ126*(1+BJ131)</f>
        <v>151.98622377622377</v>
      </c>
      <c r="BK127" s="178">
        <f t="shared" si="408"/>
        <v>158.3030769230769</v>
      </c>
      <c r="BL127" s="178">
        <f t="shared" si="408"/>
        <v>149.85899766899766</v>
      </c>
      <c r="BM127" s="178">
        <f t="shared" si="408"/>
        <v>156.65321266968326</v>
      </c>
      <c r="BN127" s="177">
        <f>BN136/BN120*1000</f>
        <v>154.21152706528991</v>
      </c>
      <c r="BO127" s="178">
        <f t="shared" ref="BO127:BR127" si="409">BO126*(1+BO131)</f>
        <v>151.39909891177314</v>
      </c>
      <c r="BP127" s="178">
        <f t="shared" si="409"/>
        <v>160.66073741538457</v>
      </c>
      <c r="BQ127" s="178">
        <f t="shared" si="409"/>
        <v>151.98007886677422</v>
      </c>
      <c r="BR127" s="178">
        <f t="shared" si="409"/>
        <v>158.20446155611964</v>
      </c>
      <c r="BS127" s="177">
        <f>BS136/BS120*1000</f>
        <v>155.61064234566101</v>
      </c>
      <c r="BT127" s="177">
        <f t="shared" ref="BT127:BV127" si="410">BT126*(1+BT131)</f>
        <v>156.81952193008428</v>
      </c>
      <c r="BU127" s="177">
        <f t="shared" si="410"/>
        <v>158.42692202986765</v>
      </c>
      <c r="BV127" s="177">
        <f t="shared" si="410"/>
        <v>160.90532195392339</v>
      </c>
      <c r="BW127" s="179"/>
    </row>
    <row r="128" spans="1:75" ht="15.75" customHeight="1" outlineLevel="1" x14ac:dyDescent="0.2">
      <c r="A128" s="176" t="s">
        <v>565</v>
      </c>
      <c r="B128" s="176"/>
      <c r="C128" s="177"/>
      <c r="D128" s="177"/>
      <c r="E128" s="177"/>
      <c r="F128" s="177"/>
      <c r="G128" s="178"/>
      <c r="H128" s="178"/>
      <c r="I128" s="178"/>
      <c r="J128" s="178"/>
      <c r="K128" s="177"/>
      <c r="L128" s="178"/>
      <c r="M128" s="178"/>
      <c r="N128" s="178"/>
      <c r="O128" s="178"/>
      <c r="P128" s="177"/>
      <c r="Q128" s="178"/>
      <c r="R128" s="178"/>
      <c r="S128" s="178"/>
      <c r="T128" s="178"/>
      <c r="U128" s="177"/>
      <c r="V128" s="178"/>
      <c r="W128" s="178"/>
      <c r="X128" s="178"/>
      <c r="Y128" s="178"/>
      <c r="Z128" s="177"/>
      <c r="AA128" s="178"/>
      <c r="AB128" s="178"/>
      <c r="AC128" s="178"/>
      <c r="AD128" s="178"/>
      <c r="AE128" s="177"/>
      <c r="AF128" s="178"/>
      <c r="AG128" s="178"/>
      <c r="AH128" s="178"/>
      <c r="AI128" s="178"/>
      <c r="AJ128" s="177"/>
      <c r="AK128" s="178"/>
      <c r="AL128" s="178"/>
      <c r="AM128" s="178"/>
      <c r="AN128" s="178"/>
      <c r="AO128" s="177"/>
      <c r="AP128" s="178"/>
      <c r="AQ128" s="178"/>
      <c r="AR128" s="178"/>
      <c r="AS128" s="178"/>
      <c r="AT128" s="177"/>
      <c r="AU128" s="179">
        <f t="shared" ref="AU128:BI128" si="411">AU137/AU123*1000</f>
        <v>90.450843501326204</v>
      </c>
      <c r="AV128" s="178">
        <f t="shared" si="411"/>
        <v>34.492749778956885</v>
      </c>
      <c r="AW128" s="178">
        <f t="shared" si="411"/>
        <v>39.795371332871326</v>
      </c>
      <c r="AX128" s="178">
        <f t="shared" si="411"/>
        <v>134.42125874125873</v>
      </c>
      <c r="AY128" s="177">
        <f t="shared" si="411"/>
        <v>79.077989190906791</v>
      </c>
      <c r="AZ128" s="179">
        <f t="shared" si="411"/>
        <v>139.86559685199276</v>
      </c>
      <c r="BA128" s="178">
        <f t="shared" si="411"/>
        <v>148.83274931447525</v>
      </c>
      <c r="BB128" s="178">
        <f t="shared" si="411"/>
        <v>133.23420762618468</v>
      </c>
      <c r="BC128" s="178">
        <f t="shared" si="411"/>
        <v>133.1900235900813</v>
      </c>
      <c r="BD128" s="177">
        <f t="shared" si="411"/>
        <v>137.49729283395058</v>
      </c>
      <c r="BE128" s="179">
        <f t="shared" si="411"/>
        <v>124.87219672855869</v>
      </c>
      <c r="BF128" s="178">
        <f t="shared" si="411"/>
        <v>109.99391304347797</v>
      </c>
      <c r="BG128" s="178">
        <f t="shared" si="411"/>
        <v>137.80555014605642</v>
      </c>
      <c r="BH128" s="178">
        <f t="shared" si="411"/>
        <v>123.22445509996604</v>
      </c>
      <c r="BI128" s="206">
        <f t="shared" si="411"/>
        <v>126.04493861031126</v>
      </c>
      <c r="BJ128" s="178">
        <f t="shared" ref="BJ128:BM128" si="412">BJ132*BJ127</f>
        <v>121.58897902097902</v>
      </c>
      <c r="BK128" s="178">
        <f t="shared" si="412"/>
        <v>142.47276923076922</v>
      </c>
      <c r="BL128" s="178">
        <f t="shared" si="412"/>
        <v>134.8730979020979</v>
      </c>
      <c r="BM128" s="178">
        <f t="shared" si="412"/>
        <v>140.98789140271492</v>
      </c>
      <c r="BN128" s="177">
        <f>BN137/BN123*1000</f>
        <v>135.30493425605533</v>
      </c>
      <c r="BO128" s="178">
        <f t="shared" ref="BO128:BR128" si="413">BO132*BO127</f>
        <v>136.25918902059584</v>
      </c>
      <c r="BP128" s="178">
        <f t="shared" si="413"/>
        <v>144.59466367384613</v>
      </c>
      <c r="BQ128" s="178">
        <f t="shared" si="413"/>
        <v>136.78207098009679</v>
      </c>
      <c r="BR128" s="178">
        <f t="shared" si="413"/>
        <v>142.38401540050768</v>
      </c>
      <c r="BS128" s="177">
        <f>BS137/BS123*1000</f>
        <v>140.065985554191</v>
      </c>
      <c r="BT128" s="177">
        <f t="shared" ref="BT128:BV128" si="414">BT132*BT127</f>
        <v>141.13756973707586</v>
      </c>
      <c r="BU128" s="177">
        <f t="shared" si="414"/>
        <v>142.58422982688089</v>
      </c>
      <c r="BV128" s="177">
        <f t="shared" si="414"/>
        <v>144.81478975853105</v>
      </c>
      <c r="BW128" s="179"/>
    </row>
    <row r="129" spans="1:75" ht="15.75" customHeight="1" outlineLevel="1" x14ac:dyDescent="0.2">
      <c r="A129" s="182" t="s">
        <v>566</v>
      </c>
      <c r="B129" s="182"/>
      <c r="C129" s="183"/>
      <c r="D129" s="183"/>
      <c r="E129" s="183"/>
      <c r="F129" s="183"/>
      <c r="G129" s="184"/>
      <c r="H129" s="184"/>
      <c r="I129" s="184"/>
      <c r="J129" s="184"/>
      <c r="K129" s="183"/>
      <c r="L129" s="184"/>
      <c r="M129" s="184"/>
      <c r="N129" s="184"/>
      <c r="O129" s="184"/>
      <c r="P129" s="183"/>
      <c r="Q129" s="184"/>
      <c r="R129" s="184"/>
      <c r="S129" s="184"/>
      <c r="T129" s="184"/>
      <c r="U129" s="183"/>
      <c r="V129" s="184"/>
      <c r="W129" s="184"/>
      <c r="X129" s="184"/>
      <c r="Y129" s="184"/>
      <c r="Z129" s="183"/>
      <c r="AA129" s="184"/>
      <c r="AB129" s="184"/>
      <c r="AC129" s="184"/>
      <c r="AD129" s="184"/>
      <c r="AE129" s="183"/>
      <c r="AF129" s="184"/>
      <c r="AG129" s="184"/>
      <c r="AH129" s="184"/>
      <c r="AI129" s="184"/>
      <c r="AJ129" s="183"/>
      <c r="AK129" s="184"/>
      <c r="AL129" s="184"/>
      <c r="AM129" s="184"/>
      <c r="AN129" s="185">
        <f t="shared" ref="AN129:BV129" si="415">AN138/AN124*1000</f>
        <v>125.95714285714286</v>
      </c>
      <c r="AO129" s="186">
        <f t="shared" si="415"/>
        <v>125.95714285714286</v>
      </c>
      <c r="AP129" s="185">
        <f t="shared" si="415"/>
        <v>105.21379310344828</v>
      </c>
      <c r="AQ129" s="185">
        <f t="shared" si="415"/>
        <v>52.716475095785441</v>
      </c>
      <c r="AR129" s="185">
        <f t="shared" si="415"/>
        <v>94.560810810810807</v>
      </c>
      <c r="AS129" s="185">
        <f t="shared" si="415"/>
        <v>101.41806020066889</v>
      </c>
      <c r="AT129" s="186">
        <f t="shared" si="415"/>
        <v>89.515706806282722</v>
      </c>
      <c r="AU129" s="185">
        <f t="shared" si="415"/>
        <v>108.32673267326733</v>
      </c>
      <c r="AV129" s="185">
        <f t="shared" si="415"/>
        <v>132.82317073170734</v>
      </c>
      <c r="AW129" s="185">
        <f t="shared" si="415"/>
        <v>127.09742120343839</v>
      </c>
      <c r="AX129" s="185">
        <f t="shared" si="415"/>
        <v>137.51344086021504</v>
      </c>
      <c r="AY129" s="186">
        <f t="shared" si="415"/>
        <v>127.14571005917161</v>
      </c>
      <c r="AZ129" s="185">
        <f t="shared" si="415"/>
        <v>139.9389920424403</v>
      </c>
      <c r="BA129" s="185">
        <f t="shared" si="415"/>
        <v>148.7777777777778</v>
      </c>
      <c r="BB129" s="185">
        <f t="shared" si="415"/>
        <v>136.99493670886076</v>
      </c>
      <c r="BC129" s="185">
        <f t="shared" si="415"/>
        <v>144.30396475770925</v>
      </c>
      <c r="BD129" s="186">
        <f t="shared" si="415"/>
        <v>142.53241895261846</v>
      </c>
      <c r="BE129" s="185">
        <f t="shared" si="415"/>
        <v>147.55944055944056</v>
      </c>
      <c r="BF129" s="185">
        <f t="shared" si="415"/>
        <v>153.69230769230768</v>
      </c>
      <c r="BG129" s="185">
        <f t="shared" si="415"/>
        <v>145.49417249417249</v>
      </c>
      <c r="BH129" s="185">
        <f t="shared" si="415"/>
        <v>152.09049773755655</v>
      </c>
      <c r="BI129" s="187">
        <f t="shared" si="415"/>
        <v>149.72700983227298</v>
      </c>
      <c r="BJ129" s="184">
        <f t="shared" si="415"/>
        <v>146.98941641919723</v>
      </c>
      <c r="BK129" s="184">
        <f t="shared" si="415"/>
        <v>155.98129846153842</v>
      </c>
      <c r="BL129" s="184">
        <f t="shared" si="415"/>
        <v>147.55347462793614</v>
      </c>
      <c r="BM129" s="184">
        <f t="shared" si="415"/>
        <v>153.59656461759187</v>
      </c>
      <c r="BN129" s="183">
        <f t="shared" si="415"/>
        <v>151.0808899442803</v>
      </c>
      <c r="BO129" s="184">
        <f t="shared" si="415"/>
        <v>148.01488375962762</v>
      </c>
      <c r="BP129" s="184">
        <f t="shared" si="415"/>
        <v>157.1919260393706</v>
      </c>
      <c r="BQ129" s="184">
        <f t="shared" si="415"/>
        <v>148.84135984669953</v>
      </c>
      <c r="BR129" s="184">
        <f t="shared" si="415"/>
        <v>154.74373895957953</v>
      </c>
      <c r="BS129" s="183">
        <f t="shared" si="415"/>
        <v>152.25196303891678</v>
      </c>
      <c r="BT129" s="183">
        <f t="shared" si="415"/>
        <v>153.81254566006567</v>
      </c>
      <c r="BU129" s="183">
        <f t="shared" si="415"/>
        <v>156.21875917856639</v>
      </c>
      <c r="BV129" s="183">
        <f t="shared" si="415"/>
        <v>158.94306193009504</v>
      </c>
      <c r="BW129" s="188"/>
    </row>
    <row r="130" spans="1:75" ht="15.75" customHeight="1" outlineLevel="1" x14ac:dyDescent="0.2">
      <c r="A130" s="47"/>
      <c r="B130" s="47"/>
      <c r="C130" s="189"/>
      <c r="D130" s="189"/>
      <c r="E130" s="189"/>
      <c r="F130" s="189"/>
      <c r="G130" s="39"/>
      <c r="H130" s="39"/>
      <c r="I130" s="39"/>
      <c r="J130" s="39"/>
      <c r="K130" s="189"/>
      <c r="L130" s="39"/>
      <c r="M130" s="39"/>
      <c r="N130" s="39"/>
      <c r="O130" s="39"/>
      <c r="P130" s="189"/>
      <c r="Q130" s="39"/>
      <c r="R130" s="39"/>
      <c r="S130" s="39"/>
      <c r="T130" s="39"/>
      <c r="U130" s="189"/>
      <c r="V130" s="39"/>
      <c r="W130" s="39"/>
      <c r="X130" s="39"/>
      <c r="Y130" s="39"/>
      <c r="Z130" s="189"/>
      <c r="AA130" s="39"/>
      <c r="AB130" s="39"/>
      <c r="AC130" s="39"/>
      <c r="AD130" s="39"/>
      <c r="AE130" s="189"/>
      <c r="AF130" s="39"/>
      <c r="AG130" s="39"/>
      <c r="AH130" s="39"/>
      <c r="AI130" s="39"/>
      <c r="AJ130" s="189"/>
      <c r="AK130" s="39"/>
      <c r="AL130" s="39"/>
      <c r="AM130" s="39"/>
      <c r="AN130" s="39"/>
      <c r="AO130" s="189"/>
      <c r="AP130" s="39"/>
      <c r="AQ130" s="39"/>
      <c r="AR130" s="39"/>
      <c r="AS130" s="39"/>
      <c r="AT130" s="189"/>
      <c r="AU130" s="39"/>
      <c r="AV130" s="39"/>
      <c r="AW130" s="39"/>
      <c r="AX130" s="39"/>
      <c r="AY130" s="189"/>
      <c r="AZ130" s="39"/>
      <c r="BA130" s="39"/>
      <c r="BB130" s="39"/>
      <c r="BC130" s="39"/>
      <c r="BD130" s="189"/>
      <c r="BE130" s="39"/>
      <c r="BF130" s="39"/>
      <c r="BG130" s="39"/>
      <c r="BH130" s="39"/>
      <c r="BI130" s="190"/>
      <c r="BJ130" s="39"/>
      <c r="BK130" s="39"/>
      <c r="BL130" s="39"/>
      <c r="BM130" s="39"/>
      <c r="BN130" s="189"/>
      <c r="BO130" s="39"/>
      <c r="BP130" s="39"/>
      <c r="BQ130" s="39"/>
      <c r="BR130" s="39"/>
      <c r="BS130" s="189"/>
      <c r="BT130" s="189"/>
      <c r="BU130" s="189"/>
      <c r="BV130" s="189"/>
      <c r="BW130" s="45"/>
    </row>
    <row r="131" spans="1:75" ht="15.75" customHeight="1" outlineLevel="1" x14ac:dyDescent="0.2">
      <c r="A131" s="47" t="str">
        <f>A21</f>
        <v>North Italia comparable restaurant sales growth, %</v>
      </c>
      <c r="B131" s="47"/>
      <c r="C131" s="189"/>
      <c r="D131" s="189"/>
      <c r="E131" s="189"/>
      <c r="F131" s="189"/>
      <c r="G131" s="39"/>
      <c r="H131" s="39"/>
      <c r="I131" s="39"/>
      <c r="J131" s="39"/>
      <c r="K131" s="189"/>
      <c r="L131" s="39"/>
      <c r="M131" s="39"/>
      <c r="N131" s="39"/>
      <c r="O131" s="39"/>
      <c r="P131" s="189"/>
      <c r="Q131" s="39"/>
      <c r="R131" s="39"/>
      <c r="S131" s="39"/>
      <c r="T131" s="39"/>
      <c r="U131" s="189"/>
      <c r="V131" s="39"/>
      <c r="W131" s="39"/>
      <c r="X131" s="39"/>
      <c r="Y131" s="39"/>
      <c r="Z131" s="189"/>
      <c r="AA131" s="39"/>
      <c r="AB131" s="39"/>
      <c r="AC131" s="39"/>
      <c r="AD131" s="39"/>
      <c r="AE131" s="189"/>
      <c r="AF131" s="39"/>
      <c r="AG131" s="39"/>
      <c r="AH131" s="39"/>
      <c r="AI131" s="39"/>
      <c r="AJ131" s="189"/>
      <c r="AK131" s="39"/>
      <c r="AL131" s="39"/>
      <c r="AM131" s="39"/>
      <c r="AN131" s="39">
        <f>AN21</f>
        <v>0.04</v>
      </c>
      <c r="AO131" s="189"/>
      <c r="AP131" s="39">
        <f t="shared" ref="AP131:BI131" si="416">AP21</f>
        <v>-0.12</v>
      </c>
      <c r="AQ131" s="39">
        <f t="shared" si="416"/>
        <v>-0.59</v>
      </c>
      <c r="AR131" s="39">
        <f t="shared" si="416"/>
        <v>-0.22</v>
      </c>
      <c r="AS131" s="39">
        <f t="shared" si="416"/>
        <v>-0.18</v>
      </c>
      <c r="AT131" s="189">
        <f t="shared" si="416"/>
        <v>-0.28000000000000003</v>
      </c>
      <c r="AU131" s="39">
        <f t="shared" si="416"/>
        <v>0.05</v>
      </c>
      <c r="AV131" s="39">
        <f t="shared" si="416"/>
        <v>1.8199999999999998</v>
      </c>
      <c r="AW131" s="39">
        <f t="shared" si="416"/>
        <v>0.53</v>
      </c>
      <c r="AX131" s="39">
        <f t="shared" si="416"/>
        <v>0.37</v>
      </c>
      <c r="AY131" s="189">
        <f t="shared" si="416"/>
        <v>0.48</v>
      </c>
      <c r="AZ131" s="39">
        <f t="shared" si="416"/>
        <v>0.29199999999999998</v>
      </c>
      <c r="BA131" s="39">
        <f t="shared" si="416"/>
        <v>0.12</v>
      </c>
      <c r="BB131" s="39">
        <f t="shared" si="416"/>
        <v>0.1</v>
      </c>
      <c r="BC131" s="39">
        <f t="shared" si="416"/>
        <v>0.09</v>
      </c>
      <c r="BD131" s="189">
        <f t="shared" si="416"/>
        <v>0.15</v>
      </c>
      <c r="BE131" s="39">
        <f t="shared" si="416"/>
        <v>0.09</v>
      </c>
      <c r="BF131" s="39">
        <f t="shared" si="416"/>
        <v>0.08</v>
      </c>
      <c r="BG131" s="39">
        <f t="shared" si="416"/>
        <v>0.08</v>
      </c>
      <c r="BH131" s="39">
        <f t="shared" si="416"/>
        <v>7.0000000000000007E-2</v>
      </c>
      <c r="BI131" s="190">
        <f t="shared" si="416"/>
        <v>0.08</v>
      </c>
      <c r="BJ131" s="194">
        <v>0.03</v>
      </c>
      <c r="BK131" s="194">
        <v>0.03</v>
      </c>
      <c r="BL131" s="194">
        <v>0.03</v>
      </c>
      <c r="BM131" s="194">
        <v>0.03</v>
      </c>
      <c r="BN131" s="189">
        <f>SUM(BJ131*BJ126*BJ120,BK131*BK126*BK120,BL131*BL126*BL120,BM131*BM126*BM120)/(BN120*BN126)</f>
        <v>2.9998581289505673E-2</v>
      </c>
      <c r="BO131" s="194">
        <v>0.03</v>
      </c>
      <c r="BP131" s="194">
        <v>0.03</v>
      </c>
      <c r="BQ131" s="194">
        <v>0.03</v>
      </c>
      <c r="BR131" s="194">
        <v>0.03</v>
      </c>
      <c r="BS131" s="189">
        <f>SUM(BO131*BO126*BO120,BP131*BP126*BP120,BQ131*BQ126*BQ120,BR131*BR126*BR120)/(BS120*BS126)</f>
        <v>2.9999484434172066E-2</v>
      </c>
      <c r="BT131" s="195">
        <v>0.03</v>
      </c>
      <c r="BU131" s="195">
        <v>0.03</v>
      </c>
      <c r="BV131" s="195">
        <v>0.03</v>
      </c>
      <c r="BW131" s="45"/>
    </row>
    <row r="132" spans="1:75" ht="15.75" customHeight="1" outlineLevel="1" x14ac:dyDescent="0.2">
      <c r="A132" s="47" t="s">
        <v>567</v>
      </c>
      <c r="B132" s="47"/>
      <c r="C132" s="189"/>
      <c r="D132" s="189"/>
      <c r="E132" s="189"/>
      <c r="F132" s="189"/>
      <c r="G132" s="39"/>
      <c r="H132" s="39"/>
      <c r="I132" s="39"/>
      <c r="J132" s="39"/>
      <c r="K132" s="189"/>
      <c r="L132" s="39"/>
      <c r="M132" s="39"/>
      <c r="N132" s="39"/>
      <c r="O132" s="39"/>
      <c r="P132" s="189"/>
      <c r="Q132" s="39"/>
      <c r="R132" s="39"/>
      <c r="S132" s="39"/>
      <c r="T132" s="39"/>
      <c r="U132" s="189"/>
      <c r="V132" s="39"/>
      <c r="W132" s="39"/>
      <c r="X132" s="39"/>
      <c r="Y132" s="39"/>
      <c r="Z132" s="189"/>
      <c r="AA132" s="39"/>
      <c r="AB132" s="39"/>
      <c r="AC132" s="39"/>
      <c r="AD132" s="39"/>
      <c r="AE132" s="189"/>
      <c r="AF132" s="39"/>
      <c r="AG132" s="39"/>
      <c r="AH132" s="39"/>
      <c r="AI132" s="39"/>
      <c r="AJ132" s="189"/>
      <c r="AK132" s="39"/>
      <c r="AL132" s="39"/>
      <c r="AM132" s="39"/>
      <c r="AN132" s="39"/>
      <c r="AO132" s="189"/>
      <c r="AP132" s="39"/>
      <c r="AQ132" s="39"/>
      <c r="AR132" s="39"/>
      <c r="AS132" s="39"/>
      <c r="AT132" s="189"/>
      <c r="AU132" s="39">
        <f t="shared" ref="AU132:BI132" si="417">AU128/AU127</f>
        <v>0.81874873946190097</v>
      </c>
      <c r="AV132" s="39">
        <f t="shared" si="417"/>
        <v>0.23202369905417802</v>
      </c>
      <c r="AW132" s="39">
        <f t="shared" si="417"/>
        <v>0.27506158629318855</v>
      </c>
      <c r="AX132" s="39">
        <f t="shared" si="417"/>
        <v>0.9674579351672582</v>
      </c>
      <c r="AY132" s="189">
        <f t="shared" si="417"/>
        <v>0.58118358300620476</v>
      </c>
      <c r="AZ132" s="39">
        <f t="shared" si="417"/>
        <v>0.99933878970679979</v>
      </c>
      <c r="BA132" s="39">
        <f t="shared" si="417"/>
        <v>1.0004759153424825</v>
      </c>
      <c r="BB132" s="39">
        <f t="shared" si="417"/>
        <v>0.95298555852696099</v>
      </c>
      <c r="BC132" s="39">
        <f t="shared" si="417"/>
        <v>0.88858719139277631</v>
      </c>
      <c r="BD132" s="189">
        <f t="shared" si="417"/>
        <v>0.94750552505703156</v>
      </c>
      <c r="BE132" s="39">
        <f t="shared" si="417"/>
        <v>0.81865423426860573</v>
      </c>
      <c r="BF132" s="39">
        <f t="shared" si="417"/>
        <v>0.68455260793800066</v>
      </c>
      <c r="BG132" s="39">
        <f t="shared" si="417"/>
        <v>0.93140472693445131</v>
      </c>
      <c r="BH132" s="39">
        <f t="shared" si="417"/>
        <v>0.7980587528753158</v>
      </c>
      <c r="BI132" s="190">
        <f t="shared" si="417"/>
        <v>0.81793411055289267</v>
      </c>
      <c r="BJ132" s="194">
        <v>0.8</v>
      </c>
      <c r="BK132" s="194">
        <v>0.9</v>
      </c>
      <c r="BL132" s="194">
        <v>0.9</v>
      </c>
      <c r="BM132" s="194">
        <v>0.9</v>
      </c>
      <c r="BN132" s="189">
        <f>BN128/BN127</f>
        <v>0.87739831665612178</v>
      </c>
      <c r="BO132" s="194">
        <v>0.9</v>
      </c>
      <c r="BP132" s="194">
        <v>0.9</v>
      </c>
      <c r="BQ132" s="194">
        <v>0.9</v>
      </c>
      <c r="BR132" s="194">
        <v>0.9</v>
      </c>
      <c r="BS132" s="189">
        <f>BS128/BS127</f>
        <v>0.90010543908082874</v>
      </c>
      <c r="BT132" s="195">
        <v>0.9</v>
      </c>
      <c r="BU132" s="195">
        <v>0.9</v>
      </c>
      <c r="BV132" s="195">
        <v>0.9</v>
      </c>
      <c r="BW132" s="45"/>
    </row>
    <row r="133" spans="1:75" ht="15.75" customHeight="1" outlineLevel="1" x14ac:dyDescent="0.2">
      <c r="A133" s="47" t="s">
        <v>568</v>
      </c>
      <c r="B133" s="47"/>
      <c r="C133" s="189"/>
      <c r="D133" s="189"/>
      <c r="E133" s="189"/>
      <c r="F133" s="189"/>
      <c r="G133" s="39"/>
      <c r="H133" s="39"/>
      <c r="I133" s="39"/>
      <c r="J133" s="39"/>
      <c r="K133" s="189"/>
      <c r="L133" s="39"/>
      <c r="M133" s="39"/>
      <c r="N133" s="39"/>
      <c r="O133" s="39"/>
      <c r="P133" s="189"/>
      <c r="Q133" s="39"/>
      <c r="R133" s="39"/>
      <c r="S133" s="39"/>
      <c r="T133" s="39"/>
      <c r="U133" s="189"/>
      <c r="V133" s="39"/>
      <c r="W133" s="39"/>
      <c r="X133" s="39"/>
      <c r="Y133" s="39"/>
      <c r="Z133" s="189"/>
      <c r="AA133" s="39"/>
      <c r="AB133" s="39"/>
      <c r="AC133" s="39"/>
      <c r="AD133" s="39"/>
      <c r="AE133" s="189"/>
      <c r="AF133" s="39"/>
      <c r="AG133" s="39"/>
      <c r="AH133" s="39"/>
      <c r="AI133" s="39"/>
      <c r="AJ133" s="189"/>
      <c r="AK133" s="39"/>
      <c r="AL133" s="39"/>
      <c r="AM133" s="39"/>
      <c r="AN133" s="39"/>
      <c r="AO133" s="189"/>
      <c r="AP133" s="39"/>
      <c r="AQ133" s="39"/>
      <c r="AR133" s="39"/>
      <c r="AS133" s="39"/>
      <c r="AT133" s="189"/>
      <c r="AU133" s="194">
        <v>0.9</v>
      </c>
      <c r="AV133" s="194">
        <v>0.9</v>
      </c>
      <c r="AW133" s="194">
        <v>0.9</v>
      </c>
      <c r="AX133" s="194">
        <v>0.9</v>
      </c>
      <c r="AY133" s="189">
        <f>AVERAGE(AU133,AV133,AW133,AX133)</f>
        <v>0.9</v>
      </c>
      <c r="AZ133" s="194">
        <v>0.9</v>
      </c>
      <c r="BA133" s="194">
        <v>0.9</v>
      </c>
      <c r="BB133" s="194">
        <v>0.9</v>
      </c>
      <c r="BC133" s="194">
        <v>0.9</v>
      </c>
      <c r="BD133" s="189">
        <f>AVERAGE(AZ133,BA133,BB133,BC133)</f>
        <v>0.9</v>
      </c>
      <c r="BE133" s="194">
        <v>0.9</v>
      </c>
      <c r="BF133" s="194">
        <v>0.9</v>
      </c>
      <c r="BG133" s="194">
        <v>0.9</v>
      </c>
      <c r="BH133" s="194">
        <v>0.9</v>
      </c>
      <c r="BI133" s="190">
        <f>AVERAGE(BE133,BF133,BG133,BH133)</f>
        <v>0.9</v>
      </c>
      <c r="BJ133" s="194">
        <v>0.9</v>
      </c>
      <c r="BK133" s="194">
        <v>0.9</v>
      </c>
      <c r="BL133" s="194">
        <v>0.9</v>
      </c>
      <c r="BM133" s="194">
        <v>0.9</v>
      </c>
      <c r="BN133" s="189">
        <f>AVERAGE(BJ133,BK133,BL133,BM133)</f>
        <v>0.9</v>
      </c>
      <c r="BO133" s="194">
        <v>0.9</v>
      </c>
      <c r="BP133" s="194">
        <v>0.9</v>
      </c>
      <c r="BQ133" s="194">
        <v>0.9</v>
      </c>
      <c r="BR133" s="194">
        <v>0.9</v>
      </c>
      <c r="BS133" s="189">
        <f>AVERAGE(BO133,BP133,BQ133,BR133)</f>
        <v>0.9</v>
      </c>
      <c r="BT133" s="195">
        <v>0.9</v>
      </c>
      <c r="BU133" s="195">
        <v>0.9</v>
      </c>
      <c r="BV133" s="195">
        <v>0.9</v>
      </c>
      <c r="BW133" s="45"/>
    </row>
    <row r="134" spans="1:75" ht="15.75" customHeight="1" outlineLevel="1" x14ac:dyDescent="0.2">
      <c r="A134" s="47" t="s">
        <v>569</v>
      </c>
      <c r="B134" s="47"/>
      <c r="C134" s="189"/>
      <c r="D134" s="189"/>
      <c r="E134" s="189"/>
      <c r="F134" s="189"/>
      <c r="G134" s="39"/>
      <c r="H134" s="39"/>
      <c r="I134" s="39"/>
      <c r="J134" s="39"/>
      <c r="K134" s="189"/>
      <c r="L134" s="39"/>
      <c r="M134" s="39"/>
      <c r="N134" s="39"/>
      <c r="O134" s="39"/>
      <c r="P134" s="189"/>
      <c r="Q134" s="39"/>
      <c r="R134" s="39"/>
      <c r="S134" s="39"/>
      <c r="T134" s="39"/>
      <c r="U134" s="189"/>
      <c r="V134" s="39"/>
      <c r="W134" s="39"/>
      <c r="X134" s="39"/>
      <c r="Y134" s="39"/>
      <c r="Z134" s="189"/>
      <c r="AA134" s="39"/>
      <c r="AB134" s="39"/>
      <c r="AC134" s="39"/>
      <c r="AD134" s="39"/>
      <c r="AE134" s="189"/>
      <c r="AF134" s="39"/>
      <c r="AG134" s="39"/>
      <c r="AH134" s="39"/>
      <c r="AI134" s="39"/>
      <c r="AJ134" s="189"/>
      <c r="AK134" s="39"/>
      <c r="AL134" s="39"/>
      <c r="AM134" s="39"/>
      <c r="AN134" s="39"/>
      <c r="AO134" s="189"/>
      <c r="AP134" s="39"/>
      <c r="AQ134" s="39"/>
      <c r="AR134" s="39"/>
      <c r="AS134" s="39"/>
      <c r="AT134" s="189"/>
      <c r="AU134" s="39">
        <f>(AU120-(2-AU133)*SUM(AU105,AS105,AR105,AQ105)*AU$3/7)/(AU120-SUM(AU105,AS105,AR105,AQ105)*AU$3/7)-1</f>
        <v>0</v>
      </c>
      <c r="AV134" s="39">
        <f>(AV120-(2-AV133)*SUM(AV105,AU105,AS105,AR105)*AV$3/7)/(AV120-SUM(AV105,AU105,AS105,AR105)*AV$3/7)-1</f>
        <v>0</v>
      </c>
      <c r="AW134" s="39">
        <f>(AW120-(2-AW133)*SUM(AW105,AV105,AU105,AS105)*AW$3/7)/(AW120-SUM(AW105,AV105,AU105,AS105)*AW$3/7)-1</f>
        <v>0</v>
      </c>
      <c r="AX134" s="39">
        <f>(AX120-(2-AX133)*SUM(AX105,AW105,AV105,AU105)*AX$3/7)/(AX120-SUM(AX105,AW105,AV105,AU105)*AX$3/7)-1</f>
        <v>0</v>
      </c>
      <c r="AY134" s="189">
        <f>AY126/AT129-1</f>
        <v>2.7025717640543512E-2</v>
      </c>
      <c r="AZ134" s="39">
        <f>(AZ120-(2-AZ133)*SUM(AZ105,AX105,AW105,AV105)*AZ$3/7)/(AZ120-SUM(AZ105,AX105,AW105,AV105)*AZ$3/7)-1</f>
        <v>0</v>
      </c>
      <c r="BA134" s="39">
        <f>(BA120-(2-BA133)*SUM(BA105,AZ105,AX105,AW105)*BA$3/7)/(BA120-SUM(BA105,AZ105,AX105,AW105)*BA$3/7)-1</f>
        <v>0</v>
      </c>
      <c r="BB134" s="39">
        <f>(BB120-(2-BB133)*SUM(BB105,BA105,AZ105,AX105)*BB$3/7)/(BB120-SUM(BB105,BA105,AZ105,AX105)*BB$3/7)-1</f>
        <v>0</v>
      </c>
      <c r="BC134" s="39">
        <f>(BC120-(2-BC133)*SUM(BC105,BB105,BA105,AZ105)*BC$3/7)/(BC120-SUM(BC105,BB105,BA105,AZ105)*BC$3/7)-1</f>
        <v>0</v>
      </c>
      <c r="BD134" s="189">
        <f>BD126/AY129-1</f>
        <v>-7.5403827736165718E-3</v>
      </c>
      <c r="BE134" s="39">
        <f>(BE120-(2-BE133)*SUM(BE105,BC105,BB105,BA105)*BE$3/7)/(BE120-SUM(BE105,BC105,BB105,BA105)*BE$3/7)-1</f>
        <v>0</v>
      </c>
      <c r="BF134" s="39">
        <f>(BF120-(2-BF133)*SUM(BF105,BE105,BC105,BB105)*BF$3/7)/(BF120-SUM(BF105,BE105,BC105,BB105)*BF$3/7)-1</f>
        <v>0</v>
      </c>
      <c r="BG134" s="39">
        <f>(BG120-(2-BG133)*SUM(BG105,BF105,BE105,BC105)*BG$3/7)/(BG120-SUM(BG105,BF105,BE105,BC105)*BG$3/7)-1</f>
        <v>0</v>
      </c>
      <c r="BH134" s="39">
        <f>(BH120-(2-BH133)*SUM(BH105,BG105,BF105,BE105)*BH$3/7)/(BH120-SUM(BH105,BG105,BF105,BE105)*BH$3/7)-1</f>
        <v>0</v>
      </c>
      <c r="BI134" s="190">
        <f>BI126/BD129-1</f>
        <v>1.0820626880430062E-3</v>
      </c>
      <c r="BJ134" s="39">
        <f>(BJ120-(2-BJ133)*SUM(BJ105,BH105,BG105,BF105)*BJ$3/7)/(BJ120-SUM(BJ105,BH105,BG105,BF105)*BJ$3/7)-1</f>
        <v>0</v>
      </c>
      <c r="BK134" s="39">
        <f>(BK120-(2-BK133)*SUM(BK105,BJ105,BH105,BG105)*BK$3/7)/(BK120-SUM(BK105,BJ105,BH105,BG105)*BK$3/7)-1</f>
        <v>0</v>
      </c>
      <c r="BL134" s="39">
        <f>(BL120-(2-BL133)*SUM(BL105,BK105,BJ105,BH105)*BL$3/7)/(BL120-SUM(BL105,BK105,BJ105,BH105)*BL$3/7)-1</f>
        <v>0</v>
      </c>
      <c r="BM134" s="39">
        <f>(BM120-(2-BM133)*SUM(BM105,BL105,BK105,BJ105)*BM$3/7)/(BM120-SUM(BM105,BL105,BK105,BJ105)*BM$3/7)-1</f>
        <v>0</v>
      </c>
      <c r="BN134" s="189">
        <f>(BN120-(2-BN133)*BN105*BN$3/7)/(BN120-BN105*BN$3/7)-1</f>
        <v>0</v>
      </c>
      <c r="BO134" s="39">
        <f>(BO120-(2-BO133)*SUM(BO105,BM105,BL105,BK105)*BO$3/7)/(BO120-SUM(BO105,BM105,BL105,BK105)*BO$3/7)-1</f>
        <v>0</v>
      </c>
      <c r="BP134" s="39">
        <f>(BP120-(2-BP133)*SUM(BP105,BO105,BM105,BL105)*BP$3/7)/(BP120-SUM(BP105,BO105,BM105,BL105)*BP$3/7)-1</f>
        <v>0</v>
      </c>
      <c r="BQ134" s="39">
        <f>(BQ120-(2-BQ133)*SUM(BQ105,BP105,BO105,BM105)*BQ$3/7)/(BQ120-SUM(BQ105,BP105,BO105,BM105)*BQ$3/7)-1</f>
        <v>0</v>
      </c>
      <c r="BR134" s="39">
        <f>(BR120-(2-BR133)*SUM(BR105,BQ105,BP105,BO105)*BR$3/7)/(BR120-SUM(BR105,BQ105,BP105,BO105)*BR$3/7)-1</f>
        <v>0</v>
      </c>
      <c r="BS134" s="189">
        <f t="shared" ref="BS134:BV134" si="418">(BS120-(2-BS133)*BS105*BS$3/7)/(BS120-BS105*BS$3/7)-1</f>
        <v>0</v>
      </c>
      <c r="BT134" s="189">
        <f t="shared" si="418"/>
        <v>0</v>
      </c>
      <c r="BU134" s="189">
        <f t="shared" si="418"/>
        <v>0</v>
      </c>
      <c r="BV134" s="189">
        <f t="shared" si="418"/>
        <v>0</v>
      </c>
      <c r="BW134" s="45"/>
    </row>
    <row r="135" spans="1:75" ht="15.75" customHeight="1" outlineLevel="1" x14ac:dyDescent="0.2">
      <c r="A135" s="47"/>
      <c r="B135" s="47"/>
      <c r="C135" s="189"/>
      <c r="D135" s="189"/>
      <c r="E135" s="189"/>
      <c r="F135" s="189"/>
      <c r="G135" s="39"/>
      <c r="H135" s="39"/>
      <c r="I135" s="39"/>
      <c r="J135" s="39"/>
      <c r="K135" s="189"/>
      <c r="L135" s="39"/>
      <c r="M135" s="39"/>
      <c r="N135" s="39"/>
      <c r="O135" s="39"/>
      <c r="P135" s="189"/>
      <c r="Q135" s="39"/>
      <c r="R135" s="39"/>
      <c r="S135" s="39"/>
      <c r="T135" s="39"/>
      <c r="U135" s="189"/>
      <c r="V135" s="39"/>
      <c r="W135" s="39"/>
      <c r="X135" s="39"/>
      <c r="Y135" s="39"/>
      <c r="Z135" s="189"/>
      <c r="AA135" s="39"/>
      <c r="AB135" s="39"/>
      <c r="AC135" s="39"/>
      <c r="AD135" s="39"/>
      <c r="AE135" s="189"/>
      <c r="AF135" s="39"/>
      <c r="AG135" s="39"/>
      <c r="AH135" s="39"/>
      <c r="AI135" s="39"/>
      <c r="AJ135" s="189"/>
      <c r="AK135" s="39"/>
      <c r="AL135" s="39"/>
      <c r="AM135" s="39"/>
      <c r="AN135" s="39"/>
      <c r="AO135" s="189"/>
      <c r="AP135" s="39"/>
      <c r="AQ135" s="39"/>
      <c r="AR135" s="39"/>
      <c r="AS135" s="39"/>
      <c r="AT135" s="189"/>
      <c r="AU135" s="39"/>
      <c r="AV135" s="39"/>
      <c r="AW135" s="39"/>
      <c r="AX135" s="39"/>
      <c r="AY135" s="189"/>
      <c r="AZ135" s="39"/>
      <c r="BA135" s="39"/>
      <c r="BB135" s="39"/>
      <c r="BC135" s="39"/>
      <c r="BD135" s="189"/>
      <c r="BE135" s="39"/>
      <c r="BF135" s="39"/>
      <c r="BG135" s="39"/>
      <c r="BH135" s="39"/>
      <c r="BI135" s="190"/>
      <c r="BJ135" s="39"/>
      <c r="BK135" s="39"/>
      <c r="BL135" s="39"/>
      <c r="BM135" s="39"/>
      <c r="BN135" s="189"/>
      <c r="BO135" s="39"/>
      <c r="BP135" s="39"/>
      <c r="BQ135" s="39"/>
      <c r="BR135" s="39"/>
      <c r="BS135" s="189"/>
      <c r="BT135" s="189"/>
      <c r="BU135" s="189"/>
      <c r="BV135" s="189"/>
      <c r="BW135" s="45"/>
    </row>
    <row r="136" spans="1:75" ht="15.75" customHeight="1" outlineLevel="1" x14ac:dyDescent="0.2">
      <c r="A136" s="84" t="s">
        <v>570</v>
      </c>
      <c r="B136" s="85"/>
      <c r="C136" s="86"/>
      <c r="D136" s="86"/>
      <c r="E136" s="86"/>
      <c r="F136" s="86"/>
      <c r="G136" s="2"/>
      <c r="H136" s="2"/>
      <c r="I136" s="2"/>
      <c r="J136" s="2"/>
      <c r="K136" s="86"/>
      <c r="L136" s="2"/>
      <c r="M136" s="2"/>
      <c r="N136" s="2"/>
      <c r="O136" s="2"/>
      <c r="P136" s="86"/>
      <c r="Q136" s="2"/>
      <c r="R136" s="2"/>
      <c r="S136" s="2"/>
      <c r="T136" s="2"/>
      <c r="U136" s="86"/>
      <c r="V136" s="2"/>
      <c r="W136" s="2"/>
      <c r="X136" s="2"/>
      <c r="Y136" s="2"/>
      <c r="Z136" s="86"/>
      <c r="AA136" s="2"/>
      <c r="AB136" s="2"/>
      <c r="AC136" s="2"/>
      <c r="AD136" s="2"/>
      <c r="AE136" s="86"/>
      <c r="AF136" s="2"/>
      <c r="AG136" s="2"/>
      <c r="AH136" s="2"/>
      <c r="AI136" s="2"/>
      <c r="AJ136" s="86"/>
      <c r="AK136" s="2"/>
      <c r="AL136" s="2"/>
      <c r="AM136" s="2"/>
      <c r="AN136" s="2"/>
      <c r="AO136" s="86"/>
      <c r="AP136" s="2"/>
      <c r="AQ136" s="2"/>
      <c r="AR136" s="2"/>
      <c r="AS136" s="2"/>
      <c r="AT136" s="86"/>
      <c r="AU136" s="4">
        <f t="shared" ref="AU136:AX136" si="419">AU127*AU120/1000</f>
        <v>29.883347586206899</v>
      </c>
      <c r="AV136" s="2">
        <f t="shared" si="419"/>
        <v>41.996579885057464</v>
      </c>
      <c r="AW136" s="2">
        <f t="shared" si="419"/>
        <v>42.028970777027027</v>
      </c>
      <c r="AX136" s="2">
        <f t="shared" si="419"/>
        <v>41.543880000000001</v>
      </c>
      <c r="AY136" s="86">
        <f t="shared" ref="AY136:AY137" si="420">SUM(AU136,AV136,AW136,AX136)</f>
        <v>155.45277824829139</v>
      </c>
      <c r="AZ136" s="4">
        <f t="shared" ref="AZ136:BC136" si="421">AZ127*AZ120/1000</f>
        <v>41.847483445544562</v>
      </c>
      <c r="BA136" s="2">
        <f t="shared" si="421"/>
        <v>43.661632682926843</v>
      </c>
      <c r="BB136" s="2">
        <f t="shared" si="421"/>
        <v>31.596418911174787</v>
      </c>
      <c r="BC136" s="2">
        <f t="shared" si="421"/>
        <v>52.461377688172043</v>
      </c>
      <c r="BD136" s="86">
        <f t="shared" ref="BD136:BD137" si="422">SUM(AZ136,BA136,BB136,BC136)</f>
        <v>169.56691272781822</v>
      </c>
      <c r="BE136" s="4">
        <f t="shared" ref="BE136:BH136" si="423">BE127*BE120/1000</f>
        <v>53.670001966654041</v>
      </c>
      <c r="BF136" s="2">
        <f t="shared" si="423"/>
        <v>59.428645714285729</v>
      </c>
      <c r="BG136" s="2">
        <f t="shared" si="423"/>
        <v>48.085222784810135</v>
      </c>
      <c r="BH136" s="2">
        <f t="shared" si="423"/>
        <v>59.214410418502197</v>
      </c>
      <c r="BI136" s="90">
        <f t="shared" ref="BI136:BI137" si="424">SUM(BE136,BF136,BG136,BH136)</f>
        <v>220.39828088425207</v>
      </c>
      <c r="BJ136" s="2">
        <f t="shared" ref="BJ136:BM136" si="425">BJ127*BJ120/1000</f>
        <v>60.262537727272722</v>
      </c>
      <c r="BK136" s="2">
        <f t="shared" si="425"/>
        <v>65.854079999999982</v>
      </c>
      <c r="BL136" s="2">
        <f t="shared" si="425"/>
        <v>64.289509999999993</v>
      </c>
      <c r="BM136" s="2">
        <f t="shared" si="425"/>
        <v>67.20422823529411</v>
      </c>
      <c r="BN136" s="86">
        <f t="shared" ref="BN136:BN137" si="426">SUM(BJ136,BK136,BL136,BM136)</f>
        <v>257.61035596256681</v>
      </c>
      <c r="BO136" s="2">
        <f t="shared" ref="BO136:BR136" si="427">BO127*BO120/1000</f>
        <v>64.95021343315068</v>
      </c>
      <c r="BP136" s="2">
        <f t="shared" si="427"/>
        <v>72.056340730799988</v>
      </c>
      <c r="BQ136" s="2">
        <f t="shared" si="427"/>
        <v>72.11454742228436</v>
      </c>
      <c r="BR136" s="2">
        <f t="shared" si="427"/>
        <v>77.124675008608321</v>
      </c>
      <c r="BS136" s="86">
        <f t="shared" ref="BS136:BS137" si="428">SUM(BO136,BP136,BQ136,BR136)</f>
        <v>286.24577659484339</v>
      </c>
      <c r="BT136" s="86">
        <f t="shared" ref="BT136:BV136" si="429">BT127*BT120/1000</f>
        <v>339.43585521766744</v>
      </c>
      <c r="BU136" s="86">
        <f t="shared" si="429"/>
        <v>400.58247235252037</v>
      </c>
      <c r="BV136" s="86">
        <f t="shared" si="429"/>
        <v>460.51103143212873</v>
      </c>
      <c r="BW136" s="4"/>
    </row>
    <row r="137" spans="1:75" ht="15.75" customHeight="1" outlineLevel="1" x14ac:dyDescent="0.2">
      <c r="A137" s="84" t="s">
        <v>571</v>
      </c>
      <c r="B137" s="85"/>
      <c r="C137" s="86"/>
      <c r="D137" s="86"/>
      <c r="E137" s="86"/>
      <c r="F137" s="86"/>
      <c r="G137" s="2"/>
      <c r="H137" s="2"/>
      <c r="I137" s="2"/>
      <c r="J137" s="2"/>
      <c r="K137" s="86"/>
      <c r="L137" s="2"/>
      <c r="M137" s="2"/>
      <c r="N137" s="2"/>
      <c r="O137" s="2"/>
      <c r="P137" s="86"/>
      <c r="Q137" s="2"/>
      <c r="R137" s="2"/>
      <c r="S137" s="2"/>
      <c r="T137" s="2"/>
      <c r="U137" s="86"/>
      <c r="V137" s="2"/>
      <c r="W137" s="2"/>
      <c r="X137" s="2"/>
      <c r="Y137" s="2"/>
      <c r="Z137" s="86"/>
      <c r="AA137" s="2"/>
      <c r="AB137" s="2"/>
      <c r="AC137" s="2"/>
      <c r="AD137" s="2"/>
      <c r="AE137" s="86"/>
      <c r="AF137" s="2"/>
      <c r="AG137" s="2"/>
      <c r="AH137" s="2"/>
      <c r="AI137" s="2"/>
      <c r="AJ137" s="86"/>
      <c r="AK137" s="2"/>
      <c r="AL137" s="2"/>
      <c r="AM137" s="2"/>
      <c r="AN137" s="2"/>
      <c r="AO137" s="86"/>
      <c r="AP137" s="2"/>
      <c r="AQ137" s="2"/>
      <c r="AR137" s="2"/>
      <c r="AS137" s="2"/>
      <c r="AT137" s="86"/>
      <c r="AU137" s="4">
        <f t="shared" ref="AU137:AX137" si="430">AU138-AU136</f>
        <v>2.9396524137931017</v>
      </c>
      <c r="AV137" s="2">
        <f t="shared" si="430"/>
        <v>1.5694201149425382</v>
      </c>
      <c r="AW137" s="2">
        <f t="shared" si="430"/>
        <v>2.3280292229729724</v>
      </c>
      <c r="AX137" s="2">
        <f t="shared" si="430"/>
        <v>9.6111199999999997</v>
      </c>
      <c r="AY137" s="86">
        <f t="shared" si="420"/>
        <v>16.448221751708612</v>
      </c>
      <c r="AZ137" s="4">
        <f t="shared" ref="AZ137:BC137" si="431">AZ138-AZ136</f>
        <v>10.909516554455436</v>
      </c>
      <c r="BA137" s="2">
        <f t="shared" si="431"/>
        <v>12.576367317073156</v>
      </c>
      <c r="BB137" s="2">
        <f t="shared" si="431"/>
        <v>22.516581088825212</v>
      </c>
      <c r="BC137" s="2">
        <f t="shared" si="431"/>
        <v>13.052622311827967</v>
      </c>
      <c r="BD137" s="86">
        <f t="shared" si="422"/>
        <v>59.055087272181773</v>
      </c>
      <c r="BE137" s="4">
        <f t="shared" ref="BE137:BH137" si="432">BE138-BE136</f>
        <v>9.6329980333459559</v>
      </c>
      <c r="BF137" s="2">
        <f t="shared" si="432"/>
        <v>6.5053542857142688</v>
      </c>
      <c r="BG137" s="2">
        <f t="shared" si="432"/>
        <v>14.331777215189867</v>
      </c>
      <c r="BH137" s="2">
        <f t="shared" si="432"/>
        <v>8.0095895814977922</v>
      </c>
      <c r="BI137" s="90">
        <f t="shared" si="424"/>
        <v>38.479719115747884</v>
      </c>
      <c r="BJ137" s="2">
        <f t="shared" ref="BJ137:BM137" si="433">BJ123*BJ128/1000</f>
        <v>9.4839403636363642</v>
      </c>
      <c r="BK137" s="2">
        <f t="shared" si="433"/>
        <v>10.186802999999999</v>
      </c>
      <c r="BL137" s="2">
        <f t="shared" si="433"/>
        <v>10.520101636363636</v>
      </c>
      <c r="BM137" s="2">
        <f t="shared" si="433"/>
        <v>14.662740705882351</v>
      </c>
      <c r="BN137" s="86">
        <f t="shared" si="426"/>
        <v>44.853585705882345</v>
      </c>
      <c r="BO137" s="2">
        <f t="shared" ref="BO137:BR137" si="434">BO123*BO128/1000</f>
        <v>16.828009844043585</v>
      </c>
      <c r="BP137" s="2">
        <f t="shared" si="434"/>
        <v>17.857440963719998</v>
      </c>
      <c r="BQ137" s="2">
        <f t="shared" si="434"/>
        <v>16.892585766041954</v>
      </c>
      <c r="BR137" s="2">
        <f t="shared" si="434"/>
        <v>19.435418102169297</v>
      </c>
      <c r="BS137" s="86">
        <f t="shared" si="428"/>
        <v>71.013454675974842</v>
      </c>
      <c r="BT137" s="86">
        <f t="shared" ref="BT137:BV137" si="435">BT123*BT128/1000</f>
        <v>72.474142059988452</v>
      </c>
      <c r="BU137" s="86">
        <f t="shared" si="435"/>
        <v>58.388242114107719</v>
      </c>
      <c r="BV137" s="86">
        <f t="shared" si="435"/>
        <v>57.563878929016091</v>
      </c>
      <c r="BW137" s="4"/>
    </row>
    <row r="138" spans="1:75" ht="15.75" customHeight="1" outlineLevel="1" x14ac:dyDescent="0.2">
      <c r="A138" s="101" t="s">
        <v>294</v>
      </c>
      <c r="B138" s="102"/>
      <c r="C138" s="103"/>
      <c r="D138" s="103"/>
      <c r="E138" s="103"/>
      <c r="F138" s="103"/>
      <c r="G138" s="106"/>
      <c r="H138" s="106"/>
      <c r="I138" s="106"/>
      <c r="J138" s="106"/>
      <c r="K138" s="103"/>
      <c r="L138" s="106"/>
      <c r="M138" s="106"/>
      <c r="N138" s="106"/>
      <c r="O138" s="106"/>
      <c r="P138" s="103"/>
      <c r="Q138" s="106"/>
      <c r="R138" s="106"/>
      <c r="S138" s="106"/>
      <c r="T138" s="106"/>
      <c r="U138" s="103"/>
      <c r="V138" s="106"/>
      <c r="W138" s="106"/>
      <c r="X138" s="106"/>
      <c r="Y138" s="106"/>
      <c r="Z138" s="103"/>
      <c r="AA138" s="106"/>
      <c r="AB138" s="106"/>
      <c r="AC138" s="106"/>
      <c r="AD138" s="106"/>
      <c r="AE138" s="103"/>
      <c r="AF138" s="106"/>
      <c r="AG138" s="106"/>
      <c r="AH138" s="106"/>
      <c r="AI138" s="106"/>
      <c r="AJ138" s="103"/>
      <c r="AK138" s="106"/>
      <c r="AL138" s="106"/>
      <c r="AM138" s="106"/>
      <c r="AN138" s="105">
        <f t="shared" ref="AN138:BI138" si="436">AN27</f>
        <v>35.268000000000001</v>
      </c>
      <c r="AO138" s="104">
        <f t="shared" si="436"/>
        <v>35.268000000000001</v>
      </c>
      <c r="AP138" s="105">
        <f t="shared" si="436"/>
        <v>30.512</v>
      </c>
      <c r="AQ138" s="105">
        <f t="shared" si="436"/>
        <v>13.759</v>
      </c>
      <c r="AR138" s="105">
        <f t="shared" si="436"/>
        <v>27.99</v>
      </c>
      <c r="AS138" s="105">
        <f t="shared" si="436"/>
        <v>30.323999999999998</v>
      </c>
      <c r="AT138" s="104">
        <f t="shared" si="436"/>
        <v>102.58499999999999</v>
      </c>
      <c r="AU138" s="105">
        <f t="shared" si="436"/>
        <v>32.823</v>
      </c>
      <c r="AV138" s="105">
        <f t="shared" si="436"/>
        <v>43.566000000000003</v>
      </c>
      <c r="AW138" s="105">
        <f t="shared" si="436"/>
        <v>44.356999999999999</v>
      </c>
      <c r="AX138" s="105">
        <f t="shared" si="436"/>
        <v>51.155000000000001</v>
      </c>
      <c r="AY138" s="104">
        <f t="shared" si="436"/>
        <v>171.90100000000001</v>
      </c>
      <c r="AZ138" s="105">
        <f t="shared" si="436"/>
        <v>52.756999999999998</v>
      </c>
      <c r="BA138" s="105">
        <f t="shared" si="436"/>
        <v>56.238</v>
      </c>
      <c r="BB138" s="105">
        <f t="shared" si="436"/>
        <v>54.113</v>
      </c>
      <c r="BC138" s="105">
        <f t="shared" si="436"/>
        <v>65.51400000000001</v>
      </c>
      <c r="BD138" s="104">
        <f t="shared" si="436"/>
        <v>228.62200000000001</v>
      </c>
      <c r="BE138" s="105">
        <f t="shared" si="436"/>
        <v>63.302999999999997</v>
      </c>
      <c r="BF138" s="105">
        <f t="shared" si="436"/>
        <v>65.933999999999997</v>
      </c>
      <c r="BG138" s="105">
        <f t="shared" si="436"/>
        <v>62.417000000000002</v>
      </c>
      <c r="BH138" s="105">
        <f t="shared" si="436"/>
        <v>67.22399999999999</v>
      </c>
      <c r="BI138" s="114">
        <f t="shared" si="436"/>
        <v>258.87799999999999</v>
      </c>
      <c r="BJ138" s="106">
        <f t="shared" ref="BJ138:BV138" si="437">BJ136+BJ137</f>
        <v>69.746478090909079</v>
      </c>
      <c r="BK138" s="106">
        <f t="shared" si="437"/>
        <v>76.04088299999998</v>
      </c>
      <c r="BL138" s="106">
        <f t="shared" si="437"/>
        <v>74.809611636363627</v>
      </c>
      <c r="BM138" s="106">
        <f t="shared" si="437"/>
        <v>81.866968941176467</v>
      </c>
      <c r="BN138" s="103">
        <f t="shared" si="437"/>
        <v>302.46394166844914</v>
      </c>
      <c r="BO138" s="106">
        <f t="shared" si="437"/>
        <v>81.778223277194257</v>
      </c>
      <c r="BP138" s="106">
        <f t="shared" si="437"/>
        <v>89.913781694519983</v>
      </c>
      <c r="BQ138" s="106">
        <f t="shared" si="437"/>
        <v>89.007133188326321</v>
      </c>
      <c r="BR138" s="106">
        <f t="shared" si="437"/>
        <v>96.560093110777615</v>
      </c>
      <c r="BS138" s="103">
        <f t="shared" si="437"/>
        <v>357.25923127081825</v>
      </c>
      <c r="BT138" s="103">
        <f t="shared" si="437"/>
        <v>411.90999727765586</v>
      </c>
      <c r="BU138" s="103">
        <f t="shared" si="437"/>
        <v>458.97071446662807</v>
      </c>
      <c r="BV138" s="103">
        <f t="shared" si="437"/>
        <v>518.07491036114482</v>
      </c>
      <c r="BW138" s="83"/>
    </row>
    <row r="139" spans="1:75" ht="15.75" customHeight="1" outlineLevel="1" x14ac:dyDescent="0.2">
      <c r="A139" s="196"/>
      <c r="B139" s="196"/>
      <c r="C139" s="109"/>
      <c r="D139" s="109"/>
      <c r="E139" s="109"/>
      <c r="F139" s="109"/>
      <c r="G139" s="110"/>
      <c r="H139" s="110"/>
      <c r="I139" s="110"/>
      <c r="J139" s="110"/>
      <c r="K139" s="109"/>
      <c r="L139" s="110"/>
      <c r="M139" s="110"/>
      <c r="N139" s="110"/>
      <c r="O139" s="110"/>
      <c r="P139" s="109"/>
      <c r="Q139" s="110"/>
      <c r="R139" s="110"/>
      <c r="S139" s="110"/>
      <c r="T139" s="110"/>
      <c r="U139" s="109"/>
      <c r="V139" s="110"/>
      <c r="W139" s="110"/>
      <c r="X139" s="110"/>
      <c r="Y139" s="110"/>
      <c r="Z139" s="109"/>
      <c r="AA139" s="110"/>
      <c r="AB139" s="110"/>
      <c r="AC139" s="110"/>
      <c r="AD139" s="110"/>
      <c r="AE139" s="109"/>
      <c r="AF139" s="110"/>
      <c r="AG139" s="110"/>
      <c r="AH139" s="110"/>
      <c r="AI139" s="110"/>
      <c r="AJ139" s="109"/>
      <c r="AK139" s="110"/>
      <c r="AL139" s="110"/>
      <c r="AM139" s="110"/>
      <c r="AN139" s="110"/>
      <c r="AO139" s="109"/>
      <c r="AP139" s="110"/>
      <c r="AQ139" s="110"/>
      <c r="AR139" s="110"/>
      <c r="AS139" s="110"/>
      <c r="AT139" s="109"/>
      <c r="AU139" s="110"/>
      <c r="AV139" s="110"/>
      <c r="AW139" s="110"/>
      <c r="AX139" s="110"/>
      <c r="AY139" s="109"/>
      <c r="AZ139" s="110"/>
      <c r="BA139" s="110"/>
      <c r="BB139" s="110"/>
      <c r="BC139" s="110"/>
      <c r="BD139" s="109"/>
      <c r="BE139" s="110"/>
      <c r="BF139" s="110"/>
      <c r="BG139" s="110"/>
      <c r="BH139" s="110"/>
      <c r="BI139" s="107"/>
      <c r="BJ139" s="110"/>
      <c r="BK139" s="110"/>
      <c r="BL139" s="110"/>
      <c r="BM139" s="110"/>
      <c r="BN139" s="109"/>
      <c r="BO139" s="110"/>
      <c r="BP139" s="110"/>
      <c r="BQ139" s="110"/>
      <c r="BR139" s="110"/>
      <c r="BS139" s="109"/>
      <c r="BT139" s="109"/>
      <c r="BU139" s="109"/>
      <c r="BV139" s="109"/>
      <c r="BW139" s="197"/>
    </row>
    <row r="140" spans="1:75" ht="15.75" customHeight="1" outlineLevel="1" x14ac:dyDescent="0.2">
      <c r="A140" s="38" t="str">
        <f>A131</f>
        <v>North Italia comparable restaurant sales growth, %</v>
      </c>
      <c r="B140" s="47"/>
      <c r="C140" s="189"/>
      <c r="D140" s="189"/>
      <c r="E140" s="189"/>
      <c r="F140" s="189"/>
      <c r="G140" s="39"/>
      <c r="H140" s="39"/>
      <c r="I140" s="39"/>
      <c r="J140" s="39"/>
      <c r="K140" s="189"/>
      <c r="L140" s="39"/>
      <c r="M140" s="39"/>
      <c r="N140" s="39"/>
      <c r="O140" s="39"/>
      <c r="P140" s="189"/>
      <c r="Q140" s="39"/>
      <c r="R140" s="39"/>
      <c r="S140" s="39"/>
      <c r="T140" s="39"/>
      <c r="U140" s="189"/>
      <c r="V140" s="39"/>
      <c r="W140" s="39"/>
      <c r="X140" s="39"/>
      <c r="Y140" s="39"/>
      <c r="Z140" s="189"/>
      <c r="AA140" s="39"/>
      <c r="AB140" s="39"/>
      <c r="AC140" s="39"/>
      <c r="AD140" s="39"/>
      <c r="AE140" s="189"/>
      <c r="AF140" s="39"/>
      <c r="AG140" s="39"/>
      <c r="AH140" s="39"/>
      <c r="AI140" s="39"/>
      <c r="AJ140" s="189"/>
      <c r="AK140" s="39"/>
      <c r="AL140" s="39"/>
      <c r="AM140" s="39"/>
      <c r="AN140" s="39">
        <f>AN131</f>
        <v>0.04</v>
      </c>
      <c r="AO140" s="189"/>
      <c r="AP140" s="39">
        <f t="shared" ref="AP140:BV140" si="438">AP131</f>
        <v>-0.12</v>
      </c>
      <c r="AQ140" s="39">
        <f t="shared" si="438"/>
        <v>-0.59</v>
      </c>
      <c r="AR140" s="39">
        <f t="shared" si="438"/>
        <v>-0.22</v>
      </c>
      <c r="AS140" s="39">
        <f t="shared" si="438"/>
        <v>-0.18</v>
      </c>
      <c r="AT140" s="189">
        <f t="shared" si="438"/>
        <v>-0.28000000000000003</v>
      </c>
      <c r="AU140" s="39">
        <f t="shared" si="438"/>
        <v>0.05</v>
      </c>
      <c r="AV140" s="39">
        <f t="shared" si="438"/>
        <v>1.8199999999999998</v>
      </c>
      <c r="AW140" s="39">
        <f t="shared" si="438"/>
        <v>0.53</v>
      </c>
      <c r="AX140" s="39">
        <f t="shared" si="438"/>
        <v>0.37</v>
      </c>
      <c r="AY140" s="189">
        <f t="shared" si="438"/>
        <v>0.48</v>
      </c>
      <c r="AZ140" s="39">
        <f t="shared" si="438"/>
        <v>0.29199999999999998</v>
      </c>
      <c r="BA140" s="39">
        <f t="shared" si="438"/>
        <v>0.12</v>
      </c>
      <c r="BB140" s="39">
        <f t="shared" si="438"/>
        <v>0.1</v>
      </c>
      <c r="BC140" s="39">
        <f t="shared" si="438"/>
        <v>0.09</v>
      </c>
      <c r="BD140" s="189">
        <f t="shared" si="438"/>
        <v>0.15</v>
      </c>
      <c r="BE140" s="39">
        <f t="shared" si="438"/>
        <v>0.09</v>
      </c>
      <c r="BF140" s="39">
        <f t="shared" si="438"/>
        <v>0.08</v>
      </c>
      <c r="BG140" s="39">
        <f t="shared" si="438"/>
        <v>0.08</v>
      </c>
      <c r="BH140" s="39">
        <f t="shared" si="438"/>
        <v>7.0000000000000007E-2</v>
      </c>
      <c r="BI140" s="190">
        <f t="shared" si="438"/>
        <v>0.08</v>
      </c>
      <c r="BJ140" s="39">
        <f t="shared" si="438"/>
        <v>0.03</v>
      </c>
      <c r="BK140" s="39">
        <f t="shared" si="438"/>
        <v>0.03</v>
      </c>
      <c r="BL140" s="39">
        <f t="shared" si="438"/>
        <v>0.03</v>
      </c>
      <c r="BM140" s="39">
        <f t="shared" si="438"/>
        <v>0.03</v>
      </c>
      <c r="BN140" s="189">
        <f t="shared" si="438"/>
        <v>2.9998581289505673E-2</v>
      </c>
      <c r="BO140" s="39">
        <f t="shared" si="438"/>
        <v>0.03</v>
      </c>
      <c r="BP140" s="39">
        <f t="shared" si="438"/>
        <v>0.03</v>
      </c>
      <c r="BQ140" s="39">
        <f t="shared" si="438"/>
        <v>0.03</v>
      </c>
      <c r="BR140" s="39">
        <f t="shared" si="438"/>
        <v>0.03</v>
      </c>
      <c r="BS140" s="189">
        <f t="shared" si="438"/>
        <v>2.9999484434172066E-2</v>
      </c>
      <c r="BT140" s="189">
        <f t="shared" si="438"/>
        <v>0.03</v>
      </c>
      <c r="BU140" s="189">
        <f t="shared" si="438"/>
        <v>0.03</v>
      </c>
      <c r="BV140" s="189">
        <f t="shared" si="438"/>
        <v>0.03</v>
      </c>
      <c r="BW140" s="45"/>
    </row>
    <row r="141" spans="1:75" ht="15.75" customHeight="1" outlineLevel="1" x14ac:dyDescent="0.2">
      <c r="A141" s="38" t="s">
        <v>572</v>
      </c>
      <c r="B141" s="47"/>
      <c r="C141" s="189"/>
      <c r="D141" s="189"/>
      <c r="E141" s="189"/>
      <c r="F141" s="189"/>
      <c r="G141" s="39"/>
      <c r="H141" s="39"/>
      <c r="I141" s="39"/>
      <c r="J141" s="39"/>
      <c r="K141" s="189"/>
      <c r="L141" s="39"/>
      <c r="M141" s="39"/>
      <c r="N141" s="39"/>
      <c r="O141" s="39"/>
      <c r="P141" s="189"/>
      <c r="Q141" s="39"/>
      <c r="R141" s="39"/>
      <c r="S141" s="39"/>
      <c r="T141" s="39"/>
      <c r="U141" s="189"/>
      <c r="V141" s="39"/>
      <c r="W141" s="39"/>
      <c r="X141" s="39"/>
      <c r="Y141" s="39"/>
      <c r="Z141" s="189"/>
      <c r="AA141" s="39"/>
      <c r="AB141" s="39"/>
      <c r="AC141" s="39"/>
      <c r="AD141" s="39"/>
      <c r="AE141" s="189"/>
      <c r="AF141" s="39"/>
      <c r="AG141" s="39"/>
      <c r="AH141" s="39"/>
      <c r="AI141" s="39"/>
      <c r="AJ141" s="189"/>
      <c r="AK141" s="39"/>
      <c r="AL141" s="39"/>
      <c r="AM141" s="39"/>
      <c r="AN141" s="39"/>
      <c r="AO141" s="189"/>
      <c r="AP141" s="39"/>
      <c r="AQ141" s="39"/>
      <c r="AR141" s="39"/>
      <c r="AS141" s="39"/>
      <c r="AT141" s="189"/>
      <c r="AU141" s="39"/>
      <c r="AV141" s="39"/>
      <c r="AW141" s="39"/>
      <c r="AX141" s="39"/>
      <c r="AY141" s="189"/>
      <c r="AZ141" s="39">
        <f t="shared" ref="AZ141:BV141" si="439">AZ144-AZ143-AZ142</f>
        <v>8.5604388091229701E-4</v>
      </c>
      <c r="BA141" s="39">
        <f t="shared" si="439"/>
        <v>-9.7219754460365543E-2</v>
      </c>
      <c r="BB141" s="39">
        <f t="shared" si="439"/>
        <v>-0.34685825671663034</v>
      </c>
      <c r="BC141" s="39">
        <f t="shared" si="439"/>
        <v>6.4296146349207703E-2</v>
      </c>
      <c r="BD141" s="189">
        <f t="shared" si="439"/>
        <v>-0.10515548277750922</v>
      </c>
      <c r="BE141" s="39">
        <f t="shared" si="439"/>
        <v>-4.5223214795138186E-3</v>
      </c>
      <c r="BF141" s="39">
        <f t="shared" si="439"/>
        <v>1.1517004102289417E-2</v>
      </c>
      <c r="BG141" s="39">
        <f t="shared" si="439"/>
        <v>-0.14338052162103862</v>
      </c>
      <c r="BH141" s="39">
        <f t="shared" si="439"/>
        <v>-0.10008385711176507</v>
      </c>
      <c r="BI141" s="190">
        <f t="shared" si="439"/>
        <v>-6.132772846997777E-2</v>
      </c>
      <c r="BJ141" s="39">
        <f t="shared" si="439"/>
        <v>-1.3920444197733622E-2</v>
      </c>
      <c r="BK141" s="39">
        <f t="shared" si="439"/>
        <v>-9.5249663365609416E-3</v>
      </c>
      <c r="BL141" s="39">
        <f t="shared" si="439"/>
        <v>-1.6653345369377348E-16</v>
      </c>
      <c r="BM141" s="39">
        <f t="shared" si="439"/>
        <v>5.4502128665871964E-3</v>
      </c>
      <c r="BN141" s="189">
        <f t="shared" si="439"/>
        <v>-3.2474592465471077E-3</v>
      </c>
      <c r="BO141" s="39">
        <f t="shared" si="439"/>
        <v>-1.9447009973223593E-2</v>
      </c>
      <c r="BP141" s="39">
        <f t="shared" si="439"/>
        <v>-9.3282814614342232E-3</v>
      </c>
      <c r="BQ141" s="39">
        <f t="shared" si="439"/>
        <v>-7.4318910256410946E-3</v>
      </c>
      <c r="BR141" s="39">
        <f t="shared" si="439"/>
        <v>-9.5686203130687375E-3</v>
      </c>
      <c r="BS141" s="189">
        <f t="shared" si="439"/>
        <v>-1.0926510937956446E-2</v>
      </c>
      <c r="BT141" s="189">
        <f t="shared" si="439"/>
        <v>-8.5348210865437424E-3</v>
      </c>
      <c r="BU141" s="189">
        <f t="shared" si="439"/>
        <v>-6.2750556792873363E-3</v>
      </c>
      <c r="BV141" s="189">
        <f t="shared" si="439"/>
        <v>1.4518586422899148E-2</v>
      </c>
      <c r="BW141" s="45"/>
    </row>
    <row r="142" spans="1:75" ht="15.75" customHeight="1" outlineLevel="1" x14ac:dyDescent="0.2">
      <c r="A142" s="38" t="s">
        <v>573</v>
      </c>
      <c r="B142" s="47"/>
      <c r="C142" s="189"/>
      <c r="D142" s="189"/>
      <c r="E142" s="189"/>
      <c r="F142" s="189"/>
      <c r="G142" s="39"/>
      <c r="H142" s="39"/>
      <c r="I142" s="39"/>
      <c r="J142" s="39"/>
      <c r="K142" s="189"/>
      <c r="L142" s="39"/>
      <c r="M142" s="39"/>
      <c r="N142" s="39"/>
      <c r="O142" s="39"/>
      <c r="P142" s="189"/>
      <c r="Q142" s="39"/>
      <c r="R142" s="39"/>
      <c r="S142" s="39"/>
      <c r="T142" s="39"/>
      <c r="U142" s="189"/>
      <c r="V142" s="39"/>
      <c r="W142" s="39"/>
      <c r="X142" s="39"/>
      <c r="Y142" s="39"/>
      <c r="Z142" s="189"/>
      <c r="AA142" s="39"/>
      <c r="AB142" s="39"/>
      <c r="AC142" s="39"/>
      <c r="AD142" s="39"/>
      <c r="AE142" s="189"/>
      <c r="AF142" s="39"/>
      <c r="AG142" s="39"/>
      <c r="AH142" s="39"/>
      <c r="AI142" s="39"/>
      <c r="AJ142" s="189"/>
      <c r="AK142" s="39"/>
      <c r="AL142" s="39"/>
      <c r="AM142" s="39"/>
      <c r="AN142" s="39"/>
      <c r="AO142" s="189"/>
      <c r="AP142" s="39"/>
      <c r="AQ142" s="39"/>
      <c r="AR142" s="39"/>
      <c r="AS142" s="39"/>
      <c r="AT142" s="189"/>
      <c r="AU142" s="39"/>
      <c r="AV142" s="39"/>
      <c r="AW142" s="39"/>
      <c r="AX142" s="39"/>
      <c r="AY142" s="189"/>
      <c r="AZ142" s="39">
        <f t="shared" ref="AZ142:BS142" si="440">((AZ128-AU128)/1000*AZ121)/AU138</f>
        <v>9.7856959077272845E-3</v>
      </c>
      <c r="BA142" s="39">
        <f t="shared" si="440"/>
        <v>6.8237616212722702E-2</v>
      </c>
      <c r="BB142" s="39">
        <f t="shared" si="440"/>
        <v>9.584658681483775E-2</v>
      </c>
      <c r="BC142" s="39">
        <f t="shared" si="440"/>
        <v>-1.1793670688631424E-3</v>
      </c>
      <c r="BD142" s="189">
        <f t="shared" si="440"/>
        <v>4.3160025611640195E-2</v>
      </c>
      <c r="BE142" s="39">
        <f t="shared" si="440"/>
        <v>-7.307932115218652E-3</v>
      </c>
      <c r="BF142" s="39">
        <f t="shared" si="440"/>
        <v>-9.0766612735967769E-3</v>
      </c>
      <c r="BG142" s="39">
        <f t="shared" si="440"/>
        <v>1.6473154165819455E-3</v>
      </c>
      <c r="BH142" s="39">
        <f t="shared" si="440"/>
        <v>-4.9436910573121143E-3</v>
      </c>
      <c r="BI142" s="190">
        <f t="shared" si="440"/>
        <v>-4.5513038279247015E-3</v>
      </c>
      <c r="BJ142" s="39">
        <f t="shared" si="440"/>
        <v>-1.6856164083272384E-3</v>
      </c>
      <c r="BK142" s="39">
        <f t="shared" si="440"/>
        <v>6.4037542153484728E-3</v>
      </c>
      <c r="BL142" s="39">
        <f t="shared" si="440"/>
        <v>0</v>
      </c>
      <c r="BM142" s="39">
        <f t="shared" si="440"/>
        <v>5.1527283098834241E-3</v>
      </c>
      <c r="BN142" s="189">
        <f t="shared" si="440"/>
        <v>2.3250323201406244E-3</v>
      </c>
      <c r="BO142" s="39">
        <f t="shared" si="440"/>
        <v>9.5702976444565161E-3</v>
      </c>
      <c r="BP142" s="39">
        <f t="shared" si="440"/>
        <v>1.0882814614343651E-3</v>
      </c>
      <c r="BQ142" s="39">
        <f t="shared" si="440"/>
        <v>8.2932692307691007E-4</v>
      </c>
      <c r="BR142" s="39">
        <f t="shared" si="440"/>
        <v>7.7593738623954413E-4</v>
      </c>
      <c r="BS142" s="189">
        <f t="shared" si="440"/>
        <v>2.5578944441421001E-3</v>
      </c>
      <c r="BT142" s="189">
        <f t="shared" ref="BT142:BV142" si="441">((BT128-BS128)/1000*BT121)/BS138</f>
        <v>5.4590141895369216E-4</v>
      </c>
      <c r="BU142" s="189">
        <f t="shared" si="441"/>
        <v>5.2505567928730302E-4</v>
      </c>
      <c r="BV142" s="189">
        <f t="shared" si="441"/>
        <v>6.4393910467055754E-4</v>
      </c>
      <c r="BW142" s="45"/>
    </row>
    <row r="143" spans="1:75" ht="15.75" customHeight="1" outlineLevel="1" x14ac:dyDescent="0.2">
      <c r="A143" s="50" t="s">
        <v>574</v>
      </c>
      <c r="B143" s="57"/>
      <c r="C143" s="198"/>
      <c r="D143" s="198"/>
      <c r="E143" s="198"/>
      <c r="F143" s="198"/>
      <c r="G143" s="51"/>
      <c r="H143" s="51"/>
      <c r="I143" s="51"/>
      <c r="J143" s="51"/>
      <c r="K143" s="198"/>
      <c r="L143" s="51"/>
      <c r="M143" s="51"/>
      <c r="N143" s="51"/>
      <c r="O143" s="51"/>
      <c r="P143" s="198"/>
      <c r="Q143" s="51"/>
      <c r="R143" s="51"/>
      <c r="S143" s="51"/>
      <c r="T143" s="51"/>
      <c r="U143" s="198"/>
      <c r="V143" s="51"/>
      <c r="W143" s="51"/>
      <c r="X143" s="51"/>
      <c r="Y143" s="51"/>
      <c r="Z143" s="198"/>
      <c r="AA143" s="51"/>
      <c r="AB143" s="51"/>
      <c r="AC143" s="51"/>
      <c r="AD143" s="51"/>
      <c r="AE143" s="198"/>
      <c r="AF143" s="51"/>
      <c r="AG143" s="51"/>
      <c r="AH143" s="51"/>
      <c r="AI143" s="51"/>
      <c r="AJ143" s="198"/>
      <c r="AK143" s="51"/>
      <c r="AL143" s="51"/>
      <c r="AM143" s="51"/>
      <c r="AN143" s="51"/>
      <c r="AO143" s="198"/>
      <c r="AP143" s="51"/>
      <c r="AQ143" s="51"/>
      <c r="AR143" s="51"/>
      <c r="AS143" s="51"/>
      <c r="AT143" s="198"/>
      <c r="AU143" s="51"/>
      <c r="AV143" s="51"/>
      <c r="AW143" s="51"/>
      <c r="AX143" s="51"/>
      <c r="AY143" s="198"/>
      <c r="AZ143" s="51">
        <f t="shared" ref="AZ143:BS143" si="442">(AZ128/1000*AZ122)/AU138</f>
        <v>0.30467629939120383</v>
      </c>
      <c r="BA143" s="51">
        <f t="shared" si="442"/>
        <v>0.19985116455255936</v>
      </c>
      <c r="BB143" s="51">
        <f t="shared" si="442"/>
        <v>0.37095440723750045</v>
      </c>
      <c r="BC143" s="51">
        <f t="shared" si="442"/>
        <v>0.12757914487174243</v>
      </c>
      <c r="BD143" s="198">
        <f t="shared" si="442"/>
        <v>0.24195863364535428</v>
      </c>
      <c r="BE143" s="51">
        <f t="shared" si="442"/>
        <v>0.12172789750928414</v>
      </c>
      <c r="BF143" s="51">
        <f t="shared" si="442"/>
        <v>8.9969771328994391E-2</v>
      </c>
      <c r="BG143" s="51">
        <f t="shared" si="442"/>
        <v>0.21518986172161528</v>
      </c>
      <c r="BH143" s="51">
        <f t="shared" si="442"/>
        <v>6.112883949612137E-2</v>
      </c>
      <c r="BI143" s="199">
        <f t="shared" si="442"/>
        <v>0.11821975191368733</v>
      </c>
      <c r="BJ143" s="51">
        <f t="shared" si="442"/>
        <v>8.7393939393939399E-2</v>
      </c>
      <c r="BK143" s="51">
        <f t="shared" si="442"/>
        <v>0.12640909090909089</v>
      </c>
      <c r="BL143" s="51">
        <f t="shared" si="442"/>
        <v>0.16854545454545453</v>
      </c>
      <c r="BM143" s="51">
        <f t="shared" si="442"/>
        <v>0.17722058823529413</v>
      </c>
      <c r="BN143" s="198">
        <f t="shared" si="442"/>
        <v>0.13928864167383381</v>
      </c>
      <c r="BO143" s="51">
        <f t="shared" si="442"/>
        <v>0.15238356164383562</v>
      </c>
      <c r="BP143" s="51">
        <f t="shared" si="442"/>
        <v>0.16068000000000002</v>
      </c>
      <c r="BQ143" s="51">
        <f t="shared" si="442"/>
        <v>0.16638461538461535</v>
      </c>
      <c r="BR143" s="51">
        <f t="shared" si="442"/>
        <v>0.15826829268292686</v>
      </c>
      <c r="BS143" s="198">
        <f t="shared" si="442"/>
        <v>0.15953218012450501</v>
      </c>
      <c r="BT143" s="198">
        <f t="shared" ref="BT143:BV143" si="443">(BT128/1000*BT122)/BS138</f>
        <v>0.13096121883656509</v>
      </c>
      <c r="BU143" s="198">
        <f t="shared" si="443"/>
        <v>0.09</v>
      </c>
      <c r="BV143" s="198">
        <f t="shared" si="443"/>
        <v>8.3613002042205578E-2</v>
      </c>
      <c r="BW143" s="45"/>
    </row>
    <row r="144" spans="1:75" ht="15.75" customHeight="1" outlineLevel="1" x14ac:dyDescent="0.2">
      <c r="A144" s="38" t="s">
        <v>575</v>
      </c>
      <c r="B144" s="47"/>
      <c r="C144" s="189"/>
      <c r="D144" s="189"/>
      <c r="E144" s="189"/>
      <c r="F144" s="189"/>
      <c r="G144" s="39"/>
      <c r="H144" s="39"/>
      <c r="I144" s="39"/>
      <c r="J144" s="39"/>
      <c r="K144" s="189"/>
      <c r="L144" s="39"/>
      <c r="M144" s="39"/>
      <c r="N144" s="39"/>
      <c r="O144" s="39"/>
      <c r="P144" s="189"/>
      <c r="Q144" s="39"/>
      <c r="R144" s="39"/>
      <c r="S144" s="39"/>
      <c r="T144" s="39"/>
      <c r="U144" s="189"/>
      <c r="V144" s="39"/>
      <c r="W144" s="39"/>
      <c r="X144" s="39"/>
      <c r="Y144" s="39"/>
      <c r="Z144" s="189"/>
      <c r="AA144" s="39"/>
      <c r="AB144" s="39"/>
      <c r="AC144" s="39"/>
      <c r="AD144" s="39"/>
      <c r="AE144" s="189"/>
      <c r="AF144" s="39"/>
      <c r="AG144" s="39"/>
      <c r="AH144" s="39"/>
      <c r="AI144" s="39"/>
      <c r="AJ144" s="189"/>
      <c r="AK144" s="39"/>
      <c r="AL144" s="39"/>
      <c r="AM144" s="39"/>
      <c r="AN144" s="39"/>
      <c r="AO144" s="189"/>
      <c r="AP144" s="39"/>
      <c r="AQ144" s="39"/>
      <c r="AR144" s="39"/>
      <c r="AS144" s="39">
        <f>AS145-AS140</f>
        <v>3.9816264035386129E-2</v>
      </c>
      <c r="AT144" s="189"/>
      <c r="AU144" s="39">
        <f t="shared" ref="AU144:BV144" si="444">AU145-AU140</f>
        <v>2.5740692186680555E-2</v>
      </c>
      <c r="AV144" s="39">
        <f t="shared" si="444"/>
        <v>0.34636383458100184</v>
      </c>
      <c r="AW144" s="39">
        <f t="shared" si="444"/>
        <v>5.4744551625580673E-2</v>
      </c>
      <c r="AX144" s="39">
        <f t="shared" si="444"/>
        <v>0.31694763223849109</v>
      </c>
      <c r="AY144" s="189">
        <f t="shared" si="444"/>
        <v>0.19569332748452517</v>
      </c>
      <c r="AZ144" s="39">
        <f t="shared" si="444"/>
        <v>0.31531803917984341</v>
      </c>
      <c r="BA144" s="39">
        <f t="shared" si="444"/>
        <v>0.17086902630491652</v>
      </c>
      <c r="BB144" s="39">
        <f t="shared" si="444"/>
        <v>0.1199427373357079</v>
      </c>
      <c r="BC144" s="39">
        <f t="shared" si="444"/>
        <v>0.190695924152087</v>
      </c>
      <c r="BD144" s="189">
        <f t="shared" si="444"/>
        <v>0.17996317647948526</v>
      </c>
      <c r="BE144" s="39">
        <f t="shared" si="444"/>
        <v>0.10989764391455167</v>
      </c>
      <c r="BF144" s="39">
        <f t="shared" si="444"/>
        <v>9.2410114157687032E-2</v>
      </c>
      <c r="BG144" s="39">
        <f t="shared" si="444"/>
        <v>7.3456655517158589E-2</v>
      </c>
      <c r="BH144" s="39">
        <f t="shared" si="444"/>
        <v>-4.3898708672955811E-2</v>
      </c>
      <c r="BI144" s="190">
        <f t="shared" si="444"/>
        <v>5.2340719615784861E-2</v>
      </c>
      <c r="BJ144" s="39">
        <f t="shared" si="444"/>
        <v>7.178787878787854E-2</v>
      </c>
      <c r="BK144" s="39">
        <f t="shared" si="444"/>
        <v>0.12328787878787842</v>
      </c>
      <c r="BL144" s="39">
        <f t="shared" si="444"/>
        <v>0.16854545454545436</v>
      </c>
      <c r="BM144" s="39">
        <f t="shared" si="444"/>
        <v>0.18782352941176475</v>
      </c>
      <c r="BN144" s="189">
        <f t="shared" si="444"/>
        <v>0.13836621474742733</v>
      </c>
      <c r="BO144" s="39">
        <f t="shared" si="444"/>
        <v>0.14250684931506855</v>
      </c>
      <c r="BP144" s="39">
        <f t="shared" si="444"/>
        <v>0.15244000000000016</v>
      </c>
      <c r="BQ144" s="39">
        <f t="shared" si="444"/>
        <v>0.15978205128205117</v>
      </c>
      <c r="BR144" s="39">
        <f t="shared" si="444"/>
        <v>0.14947560975609767</v>
      </c>
      <c r="BS144" s="189">
        <f t="shared" si="444"/>
        <v>0.15116356363069067</v>
      </c>
      <c r="BT144" s="189">
        <f t="shared" si="444"/>
        <v>0.12297229916897504</v>
      </c>
      <c r="BU144" s="189">
        <f t="shared" si="444"/>
        <v>8.4249999999999964E-2</v>
      </c>
      <c r="BV144" s="189">
        <f t="shared" si="444"/>
        <v>9.8775527569775284E-2</v>
      </c>
      <c r="BW144" s="45"/>
    </row>
    <row r="145" spans="1:75" ht="15.75" customHeight="1" outlineLevel="1" x14ac:dyDescent="0.2">
      <c r="A145" s="59" t="s">
        <v>576</v>
      </c>
      <c r="B145" s="200"/>
      <c r="C145" s="201"/>
      <c r="D145" s="201"/>
      <c r="E145" s="201"/>
      <c r="F145" s="201"/>
      <c r="G145" s="60"/>
      <c r="H145" s="60"/>
      <c r="I145" s="60"/>
      <c r="J145" s="60"/>
      <c r="K145" s="201"/>
      <c r="L145" s="60"/>
      <c r="M145" s="60"/>
      <c r="N145" s="60"/>
      <c r="O145" s="60"/>
      <c r="P145" s="201"/>
      <c r="Q145" s="60"/>
      <c r="R145" s="60"/>
      <c r="S145" s="60"/>
      <c r="T145" s="60"/>
      <c r="U145" s="201"/>
      <c r="V145" s="60"/>
      <c r="W145" s="60"/>
      <c r="X145" s="60"/>
      <c r="Y145" s="60"/>
      <c r="Z145" s="201"/>
      <c r="AA145" s="60"/>
      <c r="AB145" s="60"/>
      <c r="AC145" s="60"/>
      <c r="AD145" s="60"/>
      <c r="AE145" s="201"/>
      <c r="AF145" s="60"/>
      <c r="AG145" s="60"/>
      <c r="AH145" s="60"/>
      <c r="AI145" s="60"/>
      <c r="AJ145" s="201"/>
      <c r="AK145" s="60"/>
      <c r="AL145" s="60"/>
      <c r="AM145" s="60"/>
      <c r="AN145" s="60"/>
      <c r="AO145" s="201"/>
      <c r="AP145" s="60"/>
      <c r="AQ145" s="60"/>
      <c r="AR145" s="60"/>
      <c r="AS145" s="60">
        <f>AS138/AN138-1</f>
        <v>-0.14018373596461386</v>
      </c>
      <c r="AT145" s="207" t="s">
        <v>577</v>
      </c>
      <c r="AU145" s="60">
        <f t="shared" ref="AU145:BS145" si="445">AU138/AP138-1</f>
        <v>7.5740692186680558E-2</v>
      </c>
      <c r="AV145" s="60">
        <f t="shared" si="445"/>
        <v>2.1663638345810017</v>
      </c>
      <c r="AW145" s="60">
        <f t="shared" si="445"/>
        <v>0.5847445516255807</v>
      </c>
      <c r="AX145" s="60">
        <f t="shared" si="445"/>
        <v>0.68694763223849109</v>
      </c>
      <c r="AY145" s="201">
        <f t="shared" si="445"/>
        <v>0.67569332748452515</v>
      </c>
      <c r="AZ145" s="60">
        <f t="shared" si="445"/>
        <v>0.60731803917984339</v>
      </c>
      <c r="BA145" s="60">
        <f t="shared" si="445"/>
        <v>0.29086902630491651</v>
      </c>
      <c r="BB145" s="60">
        <f t="shared" si="445"/>
        <v>0.21994273733570791</v>
      </c>
      <c r="BC145" s="60">
        <f t="shared" si="445"/>
        <v>0.280695924152087</v>
      </c>
      <c r="BD145" s="201">
        <f t="shared" si="445"/>
        <v>0.32996317647948525</v>
      </c>
      <c r="BE145" s="60">
        <f t="shared" si="445"/>
        <v>0.19989764391455167</v>
      </c>
      <c r="BF145" s="60">
        <f t="shared" si="445"/>
        <v>0.17241011415768703</v>
      </c>
      <c r="BG145" s="60">
        <f t="shared" si="445"/>
        <v>0.15345665551715859</v>
      </c>
      <c r="BH145" s="60">
        <f t="shared" si="445"/>
        <v>2.6101291327044196E-2</v>
      </c>
      <c r="BI145" s="202">
        <f t="shared" si="445"/>
        <v>0.13234071961578486</v>
      </c>
      <c r="BJ145" s="60">
        <f t="shared" si="445"/>
        <v>0.10178787878787854</v>
      </c>
      <c r="BK145" s="60">
        <f t="shared" si="445"/>
        <v>0.15328787878787842</v>
      </c>
      <c r="BL145" s="60">
        <f t="shared" si="445"/>
        <v>0.19854545454545436</v>
      </c>
      <c r="BM145" s="60">
        <f t="shared" si="445"/>
        <v>0.21782352941176475</v>
      </c>
      <c r="BN145" s="201">
        <f t="shared" si="445"/>
        <v>0.168364796036933</v>
      </c>
      <c r="BO145" s="60">
        <f t="shared" si="445"/>
        <v>0.17250684931506854</v>
      </c>
      <c r="BP145" s="60">
        <f t="shared" si="445"/>
        <v>0.18244000000000016</v>
      </c>
      <c r="BQ145" s="60">
        <f t="shared" si="445"/>
        <v>0.18978205128205117</v>
      </c>
      <c r="BR145" s="60">
        <f t="shared" si="445"/>
        <v>0.17947560975609766</v>
      </c>
      <c r="BS145" s="201">
        <f t="shared" si="445"/>
        <v>0.18116304806486272</v>
      </c>
      <c r="BT145" s="201">
        <f t="shared" ref="BT145:BV145" si="446">BT138/BS138-1</f>
        <v>0.15297229916897503</v>
      </c>
      <c r="BU145" s="201">
        <f t="shared" si="446"/>
        <v>0.11424999999999996</v>
      </c>
      <c r="BV145" s="201">
        <f t="shared" si="446"/>
        <v>0.12877552756977528</v>
      </c>
      <c r="BW145" s="37"/>
    </row>
    <row r="146" spans="1:75" ht="17.25" customHeight="1" x14ac:dyDescent="0.2">
      <c r="A146" s="117"/>
      <c r="B146" s="117"/>
      <c r="C146" s="122"/>
      <c r="D146" s="122"/>
      <c r="E146" s="122"/>
      <c r="F146" s="122"/>
      <c r="G146" s="121"/>
      <c r="H146" s="121"/>
      <c r="I146" s="121"/>
      <c r="J146" s="121"/>
      <c r="K146" s="122"/>
      <c r="L146" s="121"/>
      <c r="M146" s="121"/>
      <c r="N146" s="121"/>
      <c r="O146" s="121"/>
      <c r="P146" s="122"/>
      <c r="Q146" s="121"/>
      <c r="R146" s="121"/>
      <c r="S146" s="121"/>
      <c r="T146" s="121"/>
      <c r="U146" s="122"/>
      <c r="V146" s="121"/>
      <c r="W146" s="121"/>
      <c r="X146" s="121"/>
      <c r="Y146" s="121"/>
      <c r="Z146" s="122"/>
      <c r="AA146" s="121"/>
      <c r="AB146" s="121"/>
      <c r="AC146" s="121"/>
      <c r="AD146" s="121"/>
      <c r="AE146" s="122"/>
      <c r="AF146" s="121"/>
      <c r="AG146" s="121"/>
      <c r="AH146" s="121"/>
      <c r="AI146" s="121"/>
      <c r="AJ146" s="122"/>
      <c r="AK146" s="121"/>
      <c r="AL146" s="121"/>
      <c r="AM146" s="121"/>
      <c r="AN146" s="121"/>
      <c r="AO146" s="122"/>
      <c r="AP146" s="121"/>
      <c r="AQ146" s="121"/>
      <c r="AR146" s="121"/>
      <c r="AS146" s="121"/>
      <c r="AT146" s="122"/>
      <c r="AU146" s="121"/>
      <c r="AV146" s="121"/>
      <c r="AW146" s="121"/>
      <c r="AX146" s="121"/>
      <c r="AY146" s="122"/>
      <c r="AZ146" s="121"/>
      <c r="BA146" s="121"/>
      <c r="BB146" s="121"/>
      <c r="BC146" s="121"/>
      <c r="BD146" s="122"/>
      <c r="BE146" s="121"/>
      <c r="BF146" s="121"/>
      <c r="BG146" s="121"/>
      <c r="BH146" s="121"/>
      <c r="BI146" s="123"/>
      <c r="BJ146" s="121"/>
      <c r="BK146" s="121"/>
      <c r="BL146" s="121"/>
      <c r="BM146" s="121"/>
      <c r="BN146" s="122"/>
      <c r="BO146" s="121"/>
      <c r="BP146" s="121"/>
      <c r="BQ146" s="121"/>
      <c r="BR146" s="121"/>
      <c r="BS146" s="122"/>
      <c r="BT146" s="122"/>
      <c r="BU146" s="122"/>
      <c r="BV146" s="122"/>
      <c r="BW146" s="120"/>
    </row>
    <row r="147" spans="1:75" ht="15.75" customHeight="1" x14ac:dyDescent="0.2">
      <c r="A147" s="81" t="s">
        <v>578</v>
      </c>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2"/>
      <c r="BJ147" s="81"/>
      <c r="BK147" s="81"/>
      <c r="BL147" s="81"/>
      <c r="BM147" s="81"/>
      <c r="BN147" s="81"/>
      <c r="BO147" s="81"/>
      <c r="BP147" s="81"/>
      <c r="BQ147" s="81"/>
      <c r="BR147" s="81"/>
      <c r="BS147" s="81"/>
      <c r="BT147" s="81"/>
      <c r="BU147" s="81"/>
      <c r="BV147" s="81"/>
      <c r="BW147" s="83"/>
    </row>
    <row r="148" spans="1:75" ht="15.75" customHeight="1" outlineLevel="1" x14ac:dyDescent="0.2">
      <c r="A148" s="117" t="s">
        <v>297</v>
      </c>
      <c r="B148" s="117"/>
      <c r="C148" s="122"/>
      <c r="D148" s="122"/>
      <c r="E148" s="122"/>
      <c r="F148" s="122"/>
      <c r="G148" s="121"/>
      <c r="H148" s="121"/>
      <c r="I148" s="121"/>
      <c r="J148" s="121"/>
      <c r="K148" s="122"/>
      <c r="L148" s="121"/>
      <c r="M148" s="121"/>
      <c r="N148" s="121"/>
      <c r="O148" s="121"/>
      <c r="P148" s="122"/>
      <c r="Q148" s="121"/>
      <c r="R148" s="121"/>
      <c r="S148" s="121"/>
      <c r="T148" s="121"/>
      <c r="U148" s="122"/>
      <c r="V148" s="121"/>
      <c r="W148" s="121"/>
      <c r="X148" s="121"/>
      <c r="Y148" s="121"/>
      <c r="Z148" s="122"/>
      <c r="AA148" s="121"/>
      <c r="AB148" s="121"/>
      <c r="AC148" s="121"/>
      <c r="AD148" s="121"/>
      <c r="AE148" s="122"/>
      <c r="AF148" s="121"/>
      <c r="AG148" s="121"/>
      <c r="AH148" s="121"/>
      <c r="AI148" s="121"/>
      <c r="AJ148" s="122"/>
      <c r="AK148" s="121"/>
      <c r="AL148" s="121"/>
      <c r="AM148" s="121"/>
      <c r="AN148" s="121">
        <f>AM151</f>
        <v>25</v>
      </c>
      <c r="AO148" s="122">
        <f>AJ151</f>
        <v>0</v>
      </c>
      <c r="AP148" s="121">
        <f t="shared" ref="AP148:AS148" si="447">AO151</f>
        <v>25</v>
      </c>
      <c r="AQ148" s="121">
        <f t="shared" si="447"/>
        <v>25</v>
      </c>
      <c r="AR148" s="121">
        <f t="shared" si="447"/>
        <v>25</v>
      </c>
      <c r="AS148" s="121">
        <f t="shared" si="447"/>
        <v>25</v>
      </c>
      <c r="AT148" s="122">
        <f>AO151</f>
        <v>25</v>
      </c>
      <c r="AU148" s="121">
        <f t="shared" ref="AU148:AX148" si="448">AT151</f>
        <v>27</v>
      </c>
      <c r="AV148" s="121">
        <f t="shared" si="448"/>
        <v>28</v>
      </c>
      <c r="AW148" s="121">
        <f t="shared" si="448"/>
        <v>28</v>
      </c>
      <c r="AX148" s="121">
        <f t="shared" si="448"/>
        <v>29</v>
      </c>
      <c r="AY148" s="122">
        <f>AT151</f>
        <v>27</v>
      </c>
      <c r="AZ148" s="121">
        <f t="shared" ref="AZ148:BC148" si="449">AY151</f>
        <v>31</v>
      </c>
      <c r="BA148" s="121">
        <f t="shared" si="449"/>
        <v>31</v>
      </c>
      <c r="BB148" s="121">
        <f t="shared" si="449"/>
        <v>31</v>
      </c>
      <c r="BC148" s="121">
        <f t="shared" si="449"/>
        <v>32</v>
      </c>
      <c r="BD148" s="122">
        <f>AY151</f>
        <v>31</v>
      </c>
      <c r="BE148" s="121">
        <f t="shared" ref="BE148:BH148" si="450">BD151</f>
        <v>34</v>
      </c>
      <c r="BF148" s="121">
        <f t="shared" si="450"/>
        <v>35</v>
      </c>
      <c r="BG148" s="121">
        <f t="shared" si="450"/>
        <v>37</v>
      </c>
      <c r="BH148" s="121">
        <f t="shared" si="450"/>
        <v>37</v>
      </c>
      <c r="BI148" s="123">
        <f>BD151</f>
        <v>34</v>
      </c>
      <c r="BJ148" s="121">
        <f t="shared" ref="BJ148:BM148" si="451">BI151</f>
        <v>40</v>
      </c>
      <c r="BK148" s="121">
        <f t="shared" si="451"/>
        <v>41</v>
      </c>
      <c r="BL148" s="121">
        <f t="shared" si="451"/>
        <v>43</v>
      </c>
      <c r="BM148" s="121">
        <f t="shared" si="451"/>
        <v>45</v>
      </c>
      <c r="BN148" s="122">
        <f>BI151</f>
        <v>40</v>
      </c>
      <c r="BO148" s="121">
        <f t="shared" ref="BO148:BR148" si="452">BN151</f>
        <v>47</v>
      </c>
      <c r="BP148" s="121">
        <f t="shared" si="452"/>
        <v>48</v>
      </c>
      <c r="BQ148" s="121">
        <f t="shared" si="452"/>
        <v>51</v>
      </c>
      <c r="BR148" s="121">
        <f t="shared" si="452"/>
        <v>54</v>
      </c>
      <c r="BS148" s="122">
        <f>BN151</f>
        <v>47</v>
      </c>
      <c r="BT148" s="122">
        <f t="shared" ref="BT148:BV148" si="453">BS151</f>
        <v>56</v>
      </c>
      <c r="BU148" s="122">
        <f t="shared" si="453"/>
        <v>66</v>
      </c>
      <c r="BV148" s="122">
        <f t="shared" si="453"/>
        <v>76</v>
      </c>
      <c r="BW148" s="120"/>
    </row>
    <row r="149" spans="1:75" ht="15.75" customHeight="1" outlineLevel="1" x14ac:dyDescent="0.2">
      <c r="A149" s="125" t="s">
        <v>298</v>
      </c>
      <c r="B149" s="125"/>
      <c r="C149" s="130"/>
      <c r="D149" s="130"/>
      <c r="E149" s="130"/>
      <c r="F149" s="130"/>
      <c r="G149" s="154"/>
      <c r="H149" s="154"/>
      <c r="I149" s="154"/>
      <c r="J149" s="154"/>
      <c r="K149" s="130"/>
      <c r="L149" s="154"/>
      <c r="M149" s="154"/>
      <c r="N149" s="154"/>
      <c r="O149" s="154"/>
      <c r="P149" s="130"/>
      <c r="Q149" s="154"/>
      <c r="R149" s="154"/>
      <c r="S149" s="154"/>
      <c r="T149" s="154"/>
      <c r="U149" s="130"/>
      <c r="V149" s="154"/>
      <c r="W149" s="154"/>
      <c r="X149" s="154"/>
      <c r="Y149" s="154"/>
      <c r="Z149" s="130"/>
      <c r="AA149" s="154"/>
      <c r="AB149" s="154"/>
      <c r="AC149" s="154"/>
      <c r="AD149" s="154"/>
      <c r="AE149" s="130"/>
      <c r="AF149" s="154"/>
      <c r="AG149" s="154"/>
      <c r="AH149" s="154"/>
      <c r="AI149" s="154"/>
      <c r="AJ149" s="130"/>
      <c r="AK149" s="154"/>
      <c r="AL149" s="154"/>
      <c r="AM149" s="154"/>
      <c r="AN149" s="127">
        <v>0</v>
      </c>
      <c r="AO149" s="130">
        <f>AN149+AM151</f>
        <v>25</v>
      </c>
      <c r="AP149" s="127">
        <v>0</v>
      </c>
      <c r="AQ149" s="127">
        <v>0</v>
      </c>
      <c r="AR149" s="127">
        <v>0</v>
      </c>
      <c r="AS149" s="127">
        <v>2</v>
      </c>
      <c r="AT149" s="130">
        <f t="shared" ref="AT149:AT150" si="454">SUM(AP149,AQ149,AR149,AS149)</f>
        <v>2</v>
      </c>
      <c r="AU149" s="127">
        <v>1</v>
      </c>
      <c r="AV149" s="127">
        <v>0</v>
      </c>
      <c r="AW149" s="127">
        <v>1</v>
      </c>
      <c r="AX149" s="127">
        <v>2</v>
      </c>
      <c r="AY149" s="130">
        <f t="shared" ref="AY149:AY150" si="455">SUM(AU149,AV149,AW149,AX149)</f>
        <v>4</v>
      </c>
      <c r="AZ149" s="127">
        <v>0</v>
      </c>
      <c r="BA149" s="127">
        <v>0</v>
      </c>
      <c r="BB149" s="127">
        <v>1</v>
      </c>
      <c r="BC149" s="127">
        <v>2</v>
      </c>
      <c r="BD149" s="130">
        <f t="shared" ref="BD149:BD150" si="456">SUM(AZ149,BA149,BB149,BC149)</f>
        <v>3</v>
      </c>
      <c r="BE149" s="127">
        <v>1</v>
      </c>
      <c r="BF149" s="127">
        <v>2</v>
      </c>
      <c r="BG149" s="127">
        <v>0</v>
      </c>
      <c r="BH149" s="127">
        <v>3</v>
      </c>
      <c r="BI149" s="155">
        <f t="shared" ref="BI149:BI150" si="457">SUM(BE149,BF149,BG149,BH149)</f>
        <v>6</v>
      </c>
      <c r="BJ149" s="127">
        <v>1</v>
      </c>
      <c r="BK149" s="127">
        <v>2</v>
      </c>
      <c r="BL149" s="127">
        <v>2</v>
      </c>
      <c r="BM149" s="127">
        <v>2</v>
      </c>
      <c r="BN149" s="130">
        <f t="shared" ref="BN149:BN150" si="458">SUM(BJ149,BK149,BL149,BM149)</f>
        <v>7</v>
      </c>
      <c r="BO149" s="127">
        <v>1</v>
      </c>
      <c r="BP149" s="127">
        <v>3</v>
      </c>
      <c r="BQ149" s="127">
        <v>3</v>
      </c>
      <c r="BR149" s="127">
        <v>2</v>
      </c>
      <c r="BS149" s="130">
        <f t="shared" ref="BS149:BS150" si="459">SUM(BO149,BP149,BQ149,BR149)</f>
        <v>9</v>
      </c>
      <c r="BT149" s="126">
        <v>10</v>
      </c>
      <c r="BU149" s="126">
        <v>10</v>
      </c>
      <c r="BV149" s="126">
        <v>10</v>
      </c>
      <c r="BW149" s="131"/>
    </row>
    <row r="150" spans="1:75" ht="15.75" customHeight="1" outlineLevel="1" x14ac:dyDescent="0.2">
      <c r="A150" s="133" t="s">
        <v>299</v>
      </c>
      <c r="B150" s="133"/>
      <c r="C150" s="138"/>
      <c r="D150" s="138"/>
      <c r="E150" s="138"/>
      <c r="F150" s="138"/>
      <c r="G150" s="174"/>
      <c r="H150" s="174"/>
      <c r="I150" s="174"/>
      <c r="J150" s="174"/>
      <c r="K150" s="138"/>
      <c r="L150" s="174"/>
      <c r="M150" s="174"/>
      <c r="N150" s="174"/>
      <c r="O150" s="174"/>
      <c r="P150" s="138"/>
      <c r="Q150" s="174"/>
      <c r="R150" s="174"/>
      <c r="S150" s="174"/>
      <c r="T150" s="174"/>
      <c r="U150" s="138"/>
      <c r="V150" s="174"/>
      <c r="W150" s="174"/>
      <c r="X150" s="174"/>
      <c r="Y150" s="174"/>
      <c r="Z150" s="138"/>
      <c r="AA150" s="174"/>
      <c r="AB150" s="174"/>
      <c r="AC150" s="174"/>
      <c r="AD150" s="174"/>
      <c r="AE150" s="138"/>
      <c r="AF150" s="174"/>
      <c r="AG150" s="174"/>
      <c r="AH150" s="174"/>
      <c r="AI150" s="174"/>
      <c r="AJ150" s="138"/>
      <c r="AK150" s="174"/>
      <c r="AL150" s="174"/>
      <c r="AM150" s="174"/>
      <c r="AN150" s="137">
        <v>0</v>
      </c>
      <c r="AO150" s="139">
        <v>0</v>
      </c>
      <c r="AP150" s="174">
        <f t="shared" ref="AP150:AR150" si="460">AP151-AP148-AP149</f>
        <v>0</v>
      </c>
      <c r="AQ150" s="174">
        <f t="shared" si="460"/>
        <v>0</v>
      </c>
      <c r="AR150" s="174">
        <f t="shared" si="460"/>
        <v>0</v>
      </c>
      <c r="AS150" s="137">
        <v>0</v>
      </c>
      <c r="AT150" s="138">
        <f t="shared" si="454"/>
        <v>0</v>
      </c>
      <c r="AU150" s="174">
        <f t="shared" ref="AU150:AX150" si="461">AU151-AU148-AU149</f>
        <v>0</v>
      </c>
      <c r="AV150" s="174">
        <f t="shared" si="461"/>
        <v>0</v>
      </c>
      <c r="AW150" s="174">
        <f t="shared" si="461"/>
        <v>0</v>
      </c>
      <c r="AX150" s="174">
        <f t="shared" si="461"/>
        <v>0</v>
      </c>
      <c r="AY150" s="138">
        <f t="shared" si="455"/>
        <v>0</v>
      </c>
      <c r="AZ150" s="174">
        <f t="shared" ref="AZ150:BC150" si="462">AZ151-AZ148-AZ149</f>
        <v>0</v>
      </c>
      <c r="BA150" s="174">
        <f t="shared" si="462"/>
        <v>0</v>
      </c>
      <c r="BB150" s="174">
        <f t="shared" si="462"/>
        <v>0</v>
      </c>
      <c r="BC150" s="174">
        <f t="shared" si="462"/>
        <v>0</v>
      </c>
      <c r="BD150" s="138">
        <f t="shared" si="456"/>
        <v>0</v>
      </c>
      <c r="BE150" s="174">
        <f t="shared" ref="BE150:BH150" si="463">BE151-BE148-BE149</f>
        <v>0</v>
      </c>
      <c r="BF150" s="174">
        <f t="shared" si="463"/>
        <v>0</v>
      </c>
      <c r="BG150" s="154">
        <f t="shared" si="463"/>
        <v>0</v>
      </c>
      <c r="BH150" s="154">
        <f t="shared" si="463"/>
        <v>0</v>
      </c>
      <c r="BI150" s="203">
        <f t="shared" si="457"/>
        <v>0</v>
      </c>
      <c r="BJ150" s="137">
        <v>0</v>
      </c>
      <c r="BK150" s="137">
        <v>0</v>
      </c>
      <c r="BL150" s="137">
        <v>0</v>
      </c>
      <c r="BM150" s="137">
        <v>0</v>
      </c>
      <c r="BN150" s="138">
        <f t="shared" si="458"/>
        <v>0</v>
      </c>
      <c r="BO150" s="137">
        <v>0</v>
      </c>
      <c r="BP150" s="137">
        <v>0</v>
      </c>
      <c r="BQ150" s="137">
        <v>0</v>
      </c>
      <c r="BR150" s="137">
        <v>0</v>
      </c>
      <c r="BS150" s="138">
        <f t="shared" si="459"/>
        <v>0</v>
      </c>
      <c r="BT150" s="139">
        <v>0</v>
      </c>
      <c r="BU150" s="139">
        <v>0</v>
      </c>
      <c r="BV150" s="139">
        <v>0</v>
      </c>
      <c r="BW150" s="131"/>
    </row>
    <row r="151" spans="1:75" ht="15.75" customHeight="1" outlineLevel="1" x14ac:dyDescent="0.2">
      <c r="A151" s="141" t="s">
        <v>300</v>
      </c>
      <c r="B151" s="141"/>
      <c r="C151" s="145"/>
      <c r="D151" s="145"/>
      <c r="E151" s="145"/>
      <c r="F151" s="145"/>
      <c r="G151" s="147"/>
      <c r="H151" s="147"/>
      <c r="I151" s="147"/>
      <c r="J151" s="147"/>
      <c r="K151" s="145"/>
      <c r="L151" s="147"/>
      <c r="M151" s="147"/>
      <c r="N151" s="147"/>
      <c r="O151" s="147"/>
      <c r="P151" s="145"/>
      <c r="Q151" s="147"/>
      <c r="R151" s="147"/>
      <c r="S151" s="147"/>
      <c r="T151" s="147"/>
      <c r="U151" s="145"/>
      <c r="V151" s="147"/>
      <c r="W151" s="147"/>
      <c r="X151" s="147"/>
      <c r="Y151" s="147"/>
      <c r="Z151" s="145"/>
      <c r="AA151" s="147"/>
      <c r="AB151" s="147"/>
      <c r="AC151" s="147"/>
      <c r="AD151" s="147"/>
      <c r="AE151" s="145"/>
      <c r="AF151" s="147"/>
      <c r="AG151" s="147"/>
      <c r="AH151" s="147"/>
      <c r="AI151" s="147"/>
      <c r="AJ151" s="145"/>
      <c r="AK151" s="147"/>
      <c r="AL151" s="147"/>
      <c r="AM151" s="143">
        <v>25</v>
      </c>
      <c r="AN151" s="147">
        <f>AN148+AN149+AN150</f>
        <v>25</v>
      </c>
      <c r="AO151" s="145">
        <f t="shared" ref="AO151:AO152" si="464">AN151</f>
        <v>25</v>
      </c>
      <c r="AP151" s="143">
        <v>25</v>
      </c>
      <c r="AQ151" s="143">
        <v>25</v>
      </c>
      <c r="AR151" s="143">
        <v>25</v>
      </c>
      <c r="AS151" s="147">
        <f>AS148+AS149+AS150</f>
        <v>27</v>
      </c>
      <c r="AT151" s="145">
        <f t="shared" ref="AT151:AT152" si="465">AS151</f>
        <v>27</v>
      </c>
      <c r="AU151" s="143">
        <v>28</v>
      </c>
      <c r="AV151" s="143">
        <v>28</v>
      </c>
      <c r="AW151" s="143">
        <v>29</v>
      </c>
      <c r="AX151" s="143">
        <v>31</v>
      </c>
      <c r="AY151" s="145">
        <f t="shared" ref="AY151:AY152" si="466">AX151</f>
        <v>31</v>
      </c>
      <c r="AZ151" s="143">
        <v>31</v>
      </c>
      <c r="BA151" s="143">
        <v>31</v>
      </c>
      <c r="BB151" s="143">
        <v>32</v>
      </c>
      <c r="BC151" s="143">
        <v>34</v>
      </c>
      <c r="BD151" s="145">
        <f t="shared" ref="BD151:BD152" si="467">BC151</f>
        <v>34</v>
      </c>
      <c r="BE151" s="143">
        <v>35</v>
      </c>
      <c r="BF151" s="143">
        <v>37</v>
      </c>
      <c r="BG151" s="143">
        <v>37</v>
      </c>
      <c r="BH151" s="143">
        <v>40</v>
      </c>
      <c r="BI151" s="146">
        <f t="shared" ref="BI151:BI152" si="468">BH151</f>
        <v>40</v>
      </c>
      <c r="BJ151" s="147">
        <f t="shared" ref="BJ151:BM151" si="469">BJ148+BJ149+BJ150</f>
        <v>41</v>
      </c>
      <c r="BK151" s="147">
        <f t="shared" si="469"/>
        <v>43</v>
      </c>
      <c r="BL151" s="147">
        <f t="shared" si="469"/>
        <v>45</v>
      </c>
      <c r="BM151" s="147">
        <f t="shared" si="469"/>
        <v>47</v>
      </c>
      <c r="BN151" s="145">
        <f>SUM(BN148:BN150)</f>
        <v>47</v>
      </c>
      <c r="BO151" s="147">
        <f t="shared" ref="BO151:BR151" si="470">BO148+BO149+BO150</f>
        <v>48</v>
      </c>
      <c r="BP151" s="147">
        <f t="shared" si="470"/>
        <v>51</v>
      </c>
      <c r="BQ151" s="147">
        <f t="shared" si="470"/>
        <v>54</v>
      </c>
      <c r="BR151" s="147">
        <f t="shared" si="470"/>
        <v>56</v>
      </c>
      <c r="BS151" s="145">
        <f>SUM(BS148:BS150)</f>
        <v>56</v>
      </c>
      <c r="BT151" s="145">
        <f t="shared" ref="BT151:BV151" si="471">BT148+BT149+BT150</f>
        <v>66</v>
      </c>
      <c r="BU151" s="145">
        <f t="shared" si="471"/>
        <v>76</v>
      </c>
      <c r="BV151" s="145">
        <f t="shared" si="471"/>
        <v>86</v>
      </c>
      <c r="BW151" s="120"/>
    </row>
    <row r="152" spans="1:75" ht="15.75" customHeight="1" outlineLevel="1" x14ac:dyDescent="0.2">
      <c r="A152" s="116" t="s">
        <v>301</v>
      </c>
      <c r="B152" s="117"/>
      <c r="C152" s="122"/>
      <c r="D152" s="122"/>
      <c r="E152" s="122"/>
      <c r="F152" s="122"/>
      <c r="G152" s="121"/>
      <c r="H152" s="121"/>
      <c r="I152" s="121"/>
      <c r="J152" s="121"/>
      <c r="K152" s="122"/>
      <c r="L152" s="121"/>
      <c r="M152" s="121"/>
      <c r="N152" s="121"/>
      <c r="O152" s="121"/>
      <c r="P152" s="122"/>
      <c r="Q152" s="121"/>
      <c r="R152" s="121"/>
      <c r="S152" s="121"/>
      <c r="T152" s="121"/>
      <c r="U152" s="122"/>
      <c r="V152" s="121"/>
      <c r="W152" s="121"/>
      <c r="X152" s="121"/>
      <c r="Y152" s="121"/>
      <c r="Z152" s="122"/>
      <c r="AA152" s="121"/>
      <c r="AB152" s="121"/>
      <c r="AC152" s="121"/>
      <c r="AD152" s="121"/>
      <c r="AE152" s="122"/>
      <c r="AF152" s="121"/>
      <c r="AG152" s="121"/>
      <c r="AH152" s="121"/>
      <c r="AI152" s="121"/>
      <c r="AJ152" s="122"/>
      <c r="AK152" s="121"/>
      <c r="AL152" s="121"/>
      <c r="AM152" s="121"/>
      <c r="AN152" s="120">
        <f>AVERAGE(AN148,AN151)</f>
        <v>25</v>
      </c>
      <c r="AO152" s="119">
        <f t="shared" si="464"/>
        <v>25</v>
      </c>
      <c r="AP152" s="120">
        <f t="shared" ref="AP152:AS152" si="472">AVERAGE(AP148,AP151)</f>
        <v>25</v>
      </c>
      <c r="AQ152" s="120">
        <f t="shared" si="472"/>
        <v>25</v>
      </c>
      <c r="AR152" s="120">
        <f t="shared" si="472"/>
        <v>25</v>
      </c>
      <c r="AS152" s="120">
        <f t="shared" si="472"/>
        <v>26</v>
      </c>
      <c r="AT152" s="119">
        <f t="shared" si="465"/>
        <v>26</v>
      </c>
      <c r="AU152" s="120">
        <f t="shared" ref="AU152:AX152" si="473">AVERAGE(AU148,AU151)</f>
        <v>27.5</v>
      </c>
      <c r="AV152" s="120">
        <f t="shared" si="473"/>
        <v>28</v>
      </c>
      <c r="AW152" s="120">
        <f t="shared" si="473"/>
        <v>28.5</v>
      </c>
      <c r="AX152" s="120">
        <f t="shared" si="473"/>
        <v>30</v>
      </c>
      <c r="AY152" s="119">
        <f t="shared" si="466"/>
        <v>30</v>
      </c>
      <c r="AZ152" s="120">
        <f t="shared" ref="AZ152:BC152" si="474">AVERAGE(AZ148,AZ151)</f>
        <v>31</v>
      </c>
      <c r="BA152" s="120">
        <f t="shared" si="474"/>
        <v>31</v>
      </c>
      <c r="BB152" s="120">
        <f t="shared" si="474"/>
        <v>31.5</v>
      </c>
      <c r="BC152" s="120">
        <f t="shared" si="474"/>
        <v>33</v>
      </c>
      <c r="BD152" s="119">
        <f t="shared" si="467"/>
        <v>33</v>
      </c>
      <c r="BE152" s="120">
        <f t="shared" ref="BE152:BH152" si="475">AVERAGE(BE148,BE151)</f>
        <v>34.5</v>
      </c>
      <c r="BF152" s="120">
        <f t="shared" si="475"/>
        <v>36</v>
      </c>
      <c r="BG152" s="120">
        <f t="shared" si="475"/>
        <v>37</v>
      </c>
      <c r="BH152" s="120">
        <f t="shared" si="475"/>
        <v>38.5</v>
      </c>
      <c r="BI152" s="208">
        <f t="shared" si="468"/>
        <v>38.5</v>
      </c>
      <c r="BJ152" s="121">
        <f t="shared" ref="BJ152:BM152" si="476">AVERAGE(BJ148,BJ151)</f>
        <v>40.5</v>
      </c>
      <c r="BK152" s="121">
        <f t="shared" si="476"/>
        <v>42</v>
      </c>
      <c r="BL152" s="121">
        <f t="shared" si="476"/>
        <v>44</v>
      </c>
      <c r="BM152" s="121">
        <f t="shared" si="476"/>
        <v>46</v>
      </c>
      <c r="BN152" s="122">
        <f>AVERAGE(BJ152,BK152,BL152,BM152)</f>
        <v>43.125</v>
      </c>
      <c r="BO152" s="121">
        <f t="shared" ref="BO152:BR152" si="477">AVERAGE(BO148,BO151)</f>
        <v>47.5</v>
      </c>
      <c r="BP152" s="121">
        <f t="shared" si="477"/>
        <v>49.5</v>
      </c>
      <c r="BQ152" s="121">
        <f t="shared" si="477"/>
        <v>52.5</v>
      </c>
      <c r="BR152" s="121">
        <f t="shared" si="477"/>
        <v>55</v>
      </c>
      <c r="BS152" s="122">
        <f>AVERAGE(BO152,BP152,BQ152,BR152)</f>
        <v>51.125</v>
      </c>
      <c r="BT152" s="122">
        <f t="shared" ref="BT152:BV152" si="478">AVERAGE(BT148,BT151)</f>
        <v>61</v>
      </c>
      <c r="BU152" s="122">
        <f t="shared" si="478"/>
        <v>71</v>
      </c>
      <c r="BV152" s="122">
        <f t="shared" si="478"/>
        <v>81</v>
      </c>
      <c r="BW152" s="120"/>
    </row>
    <row r="153" spans="1:75" ht="15.75" customHeight="1" outlineLevel="1" x14ac:dyDescent="0.2">
      <c r="A153" s="148" t="s">
        <v>579</v>
      </c>
      <c r="B153" s="149"/>
      <c r="C153" s="150"/>
      <c r="D153" s="150"/>
      <c r="E153" s="150"/>
      <c r="F153" s="150"/>
      <c r="G153" s="151"/>
      <c r="H153" s="151"/>
      <c r="I153" s="151"/>
      <c r="J153" s="151"/>
      <c r="K153" s="150"/>
      <c r="L153" s="151"/>
      <c r="M153" s="151"/>
      <c r="N153" s="151"/>
      <c r="O153" s="151"/>
      <c r="P153" s="150"/>
      <c r="Q153" s="151"/>
      <c r="R153" s="151"/>
      <c r="S153" s="151"/>
      <c r="T153" s="151"/>
      <c r="U153" s="150"/>
      <c r="V153" s="151"/>
      <c r="W153" s="151"/>
      <c r="X153" s="151"/>
      <c r="Y153" s="151"/>
      <c r="Z153" s="150"/>
      <c r="AA153" s="151"/>
      <c r="AB153" s="151"/>
      <c r="AC153" s="151"/>
      <c r="AD153" s="151"/>
      <c r="AE153" s="150"/>
      <c r="AF153" s="151"/>
      <c r="AG153" s="151"/>
      <c r="AH153" s="151"/>
      <c r="AI153" s="151"/>
      <c r="AJ153" s="150"/>
      <c r="AK153" s="151"/>
      <c r="AL153" s="151"/>
      <c r="AM153" s="151"/>
      <c r="AN153" s="151"/>
      <c r="AO153" s="150"/>
      <c r="AP153" s="151"/>
      <c r="AQ153" s="151"/>
      <c r="AR153" s="152">
        <f t="shared" ref="AR153:BS153" si="479">AR151/AM151-1</f>
        <v>0</v>
      </c>
      <c r="AS153" s="151">
        <f t="shared" si="479"/>
        <v>8.0000000000000071E-2</v>
      </c>
      <c r="AT153" s="150">
        <f t="shared" si="479"/>
        <v>8.0000000000000071E-2</v>
      </c>
      <c r="AU153" s="152">
        <f t="shared" si="479"/>
        <v>0.12000000000000011</v>
      </c>
      <c r="AV153" s="152">
        <f t="shared" si="479"/>
        <v>0.12000000000000011</v>
      </c>
      <c r="AW153" s="152">
        <f t="shared" si="479"/>
        <v>0.15999999999999992</v>
      </c>
      <c r="AX153" s="151">
        <f t="shared" si="479"/>
        <v>0.14814814814814814</v>
      </c>
      <c r="AY153" s="150">
        <f t="shared" si="479"/>
        <v>0.14814814814814814</v>
      </c>
      <c r="AZ153" s="152">
        <f t="shared" si="479"/>
        <v>0.10714285714285721</v>
      </c>
      <c r="BA153" s="152">
        <f t="shared" si="479"/>
        <v>0.10714285714285721</v>
      </c>
      <c r="BB153" s="152">
        <f t="shared" si="479"/>
        <v>0.10344827586206895</v>
      </c>
      <c r="BC153" s="151">
        <f t="shared" si="479"/>
        <v>9.6774193548387011E-2</v>
      </c>
      <c r="BD153" s="150">
        <f t="shared" si="479"/>
        <v>9.6774193548387011E-2</v>
      </c>
      <c r="BE153" s="152">
        <f t="shared" si="479"/>
        <v>0.12903225806451624</v>
      </c>
      <c r="BF153" s="152">
        <f t="shared" si="479"/>
        <v>0.19354838709677424</v>
      </c>
      <c r="BG153" s="152">
        <f t="shared" si="479"/>
        <v>0.15625</v>
      </c>
      <c r="BH153" s="151">
        <f t="shared" si="479"/>
        <v>0.17647058823529416</v>
      </c>
      <c r="BI153" s="153">
        <f t="shared" si="479"/>
        <v>0.17647058823529416</v>
      </c>
      <c r="BJ153" s="151">
        <f t="shared" si="479"/>
        <v>0.17142857142857149</v>
      </c>
      <c r="BK153" s="151">
        <f t="shared" si="479"/>
        <v>0.16216216216216206</v>
      </c>
      <c r="BL153" s="151">
        <f t="shared" si="479"/>
        <v>0.21621621621621623</v>
      </c>
      <c r="BM153" s="151">
        <f t="shared" si="479"/>
        <v>0.17500000000000004</v>
      </c>
      <c r="BN153" s="150">
        <f t="shared" si="479"/>
        <v>0.17500000000000004</v>
      </c>
      <c r="BO153" s="151">
        <f t="shared" si="479"/>
        <v>0.1707317073170731</v>
      </c>
      <c r="BP153" s="151">
        <f t="shared" si="479"/>
        <v>0.18604651162790709</v>
      </c>
      <c r="BQ153" s="151">
        <f t="shared" si="479"/>
        <v>0.19999999999999996</v>
      </c>
      <c r="BR153" s="151">
        <f t="shared" si="479"/>
        <v>0.1914893617021276</v>
      </c>
      <c r="BS153" s="150">
        <f t="shared" si="479"/>
        <v>0.1914893617021276</v>
      </c>
      <c r="BT153" s="150">
        <f t="shared" ref="BT153:BV153" si="480">BT151/BS151-1</f>
        <v>0.1785714285714286</v>
      </c>
      <c r="BU153" s="150">
        <f t="shared" si="480"/>
        <v>0.1515151515151516</v>
      </c>
      <c r="BV153" s="150">
        <f t="shared" si="480"/>
        <v>0.13157894736842102</v>
      </c>
      <c r="BW153" s="152"/>
    </row>
    <row r="154" spans="1:75" ht="15.75" customHeight="1" outlineLevel="1" x14ac:dyDescent="0.2">
      <c r="A154" s="117"/>
      <c r="B154" s="117"/>
      <c r="C154" s="122"/>
      <c r="D154" s="122"/>
      <c r="E154" s="122"/>
      <c r="F154" s="122"/>
      <c r="G154" s="121"/>
      <c r="H154" s="121"/>
      <c r="I154" s="121"/>
      <c r="J154" s="121"/>
      <c r="K154" s="122"/>
      <c r="L154" s="121"/>
      <c r="M154" s="121"/>
      <c r="N154" s="121"/>
      <c r="O154" s="121"/>
      <c r="P154" s="122"/>
      <c r="Q154" s="121"/>
      <c r="R154" s="121"/>
      <c r="S154" s="121"/>
      <c r="T154" s="121"/>
      <c r="U154" s="122"/>
      <c r="V154" s="121"/>
      <c r="W154" s="121"/>
      <c r="X154" s="121"/>
      <c r="Y154" s="121"/>
      <c r="Z154" s="122"/>
      <c r="AA154" s="121"/>
      <c r="AB154" s="121"/>
      <c r="AC154" s="121"/>
      <c r="AD154" s="121"/>
      <c r="AE154" s="122"/>
      <c r="AF154" s="121"/>
      <c r="AG154" s="121"/>
      <c r="AH154" s="121"/>
      <c r="AI154" s="121"/>
      <c r="AJ154" s="122"/>
      <c r="AK154" s="121"/>
      <c r="AL154" s="121"/>
      <c r="AM154" s="121"/>
      <c r="AN154" s="121"/>
      <c r="AO154" s="122"/>
      <c r="AP154" s="121"/>
      <c r="AQ154" s="121"/>
      <c r="AR154" s="121"/>
      <c r="AS154" s="121"/>
      <c r="AT154" s="122"/>
      <c r="AU154" s="121"/>
      <c r="AV154" s="121"/>
      <c r="AW154" s="121"/>
      <c r="AX154" s="121"/>
      <c r="AY154" s="122"/>
      <c r="AZ154" s="121"/>
      <c r="BA154" s="121"/>
      <c r="BB154" s="121"/>
      <c r="BC154" s="121"/>
      <c r="BD154" s="122"/>
      <c r="BE154" s="121"/>
      <c r="BF154" s="121"/>
      <c r="BG154" s="121"/>
      <c r="BH154" s="121"/>
      <c r="BI154" s="123"/>
      <c r="BJ154" s="121"/>
      <c r="BK154" s="121"/>
      <c r="BL154" s="121"/>
      <c r="BM154" s="121"/>
      <c r="BN154" s="122"/>
      <c r="BO154" s="121"/>
      <c r="BP154" s="121"/>
      <c r="BQ154" s="121"/>
      <c r="BR154" s="121"/>
      <c r="BS154" s="122"/>
      <c r="BT154" s="122"/>
      <c r="BU154" s="122"/>
      <c r="BV154" s="122"/>
      <c r="BW154" s="120"/>
    </row>
    <row r="155" spans="1:75" ht="15.75" customHeight="1" outlineLevel="1" x14ac:dyDescent="0.2">
      <c r="A155" s="169" t="s">
        <v>580</v>
      </c>
      <c r="B155" s="169"/>
      <c r="C155" s="170"/>
      <c r="D155" s="170"/>
      <c r="E155" s="170"/>
      <c r="F155" s="170"/>
      <c r="G155" s="171"/>
      <c r="H155" s="171"/>
      <c r="I155" s="171"/>
      <c r="J155" s="171"/>
      <c r="K155" s="170"/>
      <c r="L155" s="171"/>
      <c r="M155" s="171"/>
      <c r="N155" s="171"/>
      <c r="O155" s="171"/>
      <c r="P155" s="170"/>
      <c r="Q155" s="171"/>
      <c r="R155" s="171"/>
      <c r="S155" s="171"/>
      <c r="T155" s="171"/>
      <c r="U155" s="170"/>
      <c r="V155" s="171"/>
      <c r="W155" s="171"/>
      <c r="X155" s="171"/>
      <c r="Y155" s="171"/>
      <c r="Z155" s="170"/>
      <c r="AA155" s="171"/>
      <c r="AB155" s="171"/>
      <c r="AC155" s="171"/>
      <c r="AD155" s="171"/>
      <c r="AE155" s="170"/>
      <c r="AF155" s="171"/>
      <c r="AG155" s="171"/>
      <c r="AH155" s="171"/>
      <c r="AI155" s="171"/>
      <c r="AJ155" s="170"/>
      <c r="AK155" s="171"/>
      <c r="AL155" s="171"/>
      <c r="AM155" s="171"/>
      <c r="AN155" s="171">
        <f t="shared" ref="AN155:BI155" si="481">AN158/AN152*1000</f>
        <v>1573.4</v>
      </c>
      <c r="AO155" s="170">
        <f t="shared" si="481"/>
        <v>1573.4</v>
      </c>
      <c r="AP155" s="171">
        <f t="shared" si="481"/>
        <v>1423.32</v>
      </c>
      <c r="AQ155" s="171">
        <f t="shared" si="481"/>
        <v>488.32000000000005</v>
      </c>
      <c r="AR155" s="171">
        <f t="shared" si="481"/>
        <v>810.92</v>
      </c>
      <c r="AS155" s="171">
        <f t="shared" si="481"/>
        <v>1107.3846153846155</v>
      </c>
      <c r="AT155" s="170">
        <f t="shared" si="481"/>
        <v>3725.2307692307691</v>
      </c>
      <c r="AU155" s="171">
        <f t="shared" si="481"/>
        <v>1316.1454545454546</v>
      </c>
      <c r="AV155" s="171">
        <f t="shared" si="481"/>
        <v>1694.9285714285713</v>
      </c>
      <c r="AW155" s="171">
        <f t="shared" si="481"/>
        <v>1555.2982456140351</v>
      </c>
      <c r="AX155" s="171">
        <f t="shared" si="481"/>
        <v>1806.5666666666666</v>
      </c>
      <c r="AY155" s="170">
        <f t="shared" si="481"/>
        <v>6072.5000000000009</v>
      </c>
      <c r="AZ155" s="171">
        <f t="shared" si="481"/>
        <v>1897.8064516129032</v>
      </c>
      <c r="BA155" s="171">
        <f t="shared" si="481"/>
        <v>1936.1290322580646</v>
      </c>
      <c r="BB155" s="171">
        <f t="shared" si="481"/>
        <v>1656.9206349206349</v>
      </c>
      <c r="BC155" s="171">
        <f t="shared" si="481"/>
        <v>2015.3636363636358</v>
      </c>
      <c r="BD155" s="170">
        <f t="shared" si="481"/>
        <v>7198.545454545454</v>
      </c>
      <c r="BE155" s="171">
        <f t="shared" si="481"/>
        <v>1989.5652173913043</v>
      </c>
      <c r="BF155" s="171">
        <f t="shared" si="481"/>
        <v>1825.7777777777778</v>
      </c>
      <c r="BG155" s="171">
        <f t="shared" si="481"/>
        <v>1584.918918918919</v>
      </c>
      <c r="BH155" s="171">
        <f t="shared" si="481"/>
        <v>1841.8961038961043</v>
      </c>
      <c r="BI155" s="172">
        <f t="shared" si="481"/>
        <v>6855.1428571428569</v>
      </c>
      <c r="BJ155" s="171">
        <f t="shared" ref="BJ155:BM155" si="482">BE155*(1+BJ156)</f>
        <v>2029.3565217391304</v>
      </c>
      <c r="BK155" s="171">
        <f t="shared" si="482"/>
        <v>1862.2933333333335</v>
      </c>
      <c r="BL155" s="171">
        <f t="shared" si="482"/>
        <v>1616.6172972972975</v>
      </c>
      <c r="BM155" s="171">
        <f t="shared" si="482"/>
        <v>1878.7340259740263</v>
      </c>
      <c r="BN155" s="170">
        <f>BN158/BN152*1000</f>
        <v>7372.9434297117914</v>
      </c>
      <c r="BO155" s="171">
        <f t="shared" ref="BO155:BR155" si="483">BJ155*(1+BO156)</f>
        <v>2069.9436521739131</v>
      </c>
      <c r="BP155" s="171">
        <f t="shared" si="483"/>
        <v>1899.5392000000002</v>
      </c>
      <c r="BQ155" s="171">
        <f t="shared" si="483"/>
        <v>1648.9496432432434</v>
      </c>
      <c r="BR155" s="171">
        <f t="shared" si="483"/>
        <v>1916.3087064935069</v>
      </c>
      <c r="BS155" s="170">
        <f>BS158/BS152*1000</f>
        <v>7517.1902005999809</v>
      </c>
      <c r="BT155" s="170">
        <f t="shared" ref="BT155:BV155" si="484">BS155*(1+BT156)</f>
        <v>7667.5340046119809</v>
      </c>
      <c r="BU155" s="170">
        <f t="shared" si="484"/>
        <v>7820.8846847042205</v>
      </c>
      <c r="BV155" s="170">
        <f t="shared" si="484"/>
        <v>7977.3023783983053</v>
      </c>
      <c r="BW155" s="209"/>
    </row>
    <row r="156" spans="1:75" ht="15.75" customHeight="1" outlineLevel="1" x14ac:dyDescent="0.2">
      <c r="A156" s="149" t="s">
        <v>581</v>
      </c>
      <c r="B156" s="149"/>
      <c r="C156" s="150"/>
      <c r="D156" s="150"/>
      <c r="E156" s="150"/>
      <c r="F156" s="150"/>
      <c r="G156" s="151"/>
      <c r="H156" s="151"/>
      <c r="I156" s="151"/>
      <c r="J156" s="151"/>
      <c r="K156" s="150"/>
      <c r="L156" s="151"/>
      <c r="M156" s="151"/>
      <c r="N156" s="151"/>
      <c r="O156" s="151"/>
      <c r="P156" s="150"/>
      <c r="Q156" s="151"/>
      <c r="R156" s="151"/>
      <c r="S156" s="151"/>
      <c r="T156" s="151"/>
      <c r="U156" s="150"/>
      <c r="V156" s="151"/>
      <c r="W156" s="151"/>
      <c r="X156" s="151"/>
      <c r="Y156" s="151"/>
      <c r="Z156" s="150"/>
      <c r="AA156" s="151"/>
      <c r="AB156" s="151"/>
      <c r="AC156" s="151"/>
      <c r="AD156" s="151"/>
      <c r="AE156" s="150"/>
      <c r="AF156" s="151"/>
      <c r="AG156" s="151"/>
      <c r="AH156" s="151"/>
      <c r="AI156" s="151"/>
      <c r="AJ156" s="150"/>
      <c r="AK156" s="151"/>
      <c r="AL156" s="151"/>
      <c r="AM156" s="151"/>
      <c r="AN156" s="151"/>
      <c r="AO156" s="150"/>
      <c r="AP156" s="151"/>
      <c r="AQ156" s="151"/>
      <c r="AR156" s="151"/>
      <c r="AS156" s="151">
        <f>AS155/AN155-1</f>
        <v>-0.29618366887974101</v>
      </c>
      <c r="AT156" s="210" t="s">
        <v>577</v>
      </c>
      <c r="AU156" s="151">
        <f t="shared" ref="AU156:BI156" si="485">AU155/AP155-1</f>
        <v>-7.5298980871866705E-2</v>
      </c>
      <c r="AV156" s="151">
        <f t="shared" si="485"/>
        <v>2.4709382606253505</v>
      </c>
      <c r="AW156" s="151">
        <f t="shared" si="485"/>
        <v>0.91794288661524592</v>
      </c>
      <c r="AX156" s="151">
        <f t="shared" si="485"/>
        <v>0.63138140224136308</v>
      </c>
      <c r="AY156" s="211">
        <f t="shared" si="485"/>
        <v>0.63010035516643303</v>
      </c>
      <c r="AZ156" s="151">
        <f t="shared" si="485"/>
        <v>0.44194279215767351</v>
      </c>
      <c r="BA156" s="151">
        <f t="shared" si="485"/>
        <v>0.14230715376176439</v>
      </c>
      <c r="BB156" s="151">
        <f t="shared" si="485"/>
        <v>6.5339486875380048E-2</v>
      </c>
      <c r="BC156" s="151">
        <f t="shared" si="485"/>
        <v>0.11557667566302698</v>
      </c>
      <c r="BD156" s="211">
        <f t="shared" si="485"/>
        <v>0.18543358658632414</v>
      </c>
      <c r="BE156" s="151">
        <f t="shared" si="485"/>
        <v>4.8349907178583562E-2</v>
      </c>
      <c r="BF156" s="151">
        <f t="shared" si="485"/>
        <v>-5.6995816209411743E-2</v>
      </c>
      <c r="BG156" s="151">
        <f t="shared" si="485"/>
        <v>-4.3455138697795714E-2</v>
      </c>
      <c r="BH156" s="151">
        <f t="shared" si="485"/>
        <v>-8.6072572382283719E-2</v>
      </c>
      <c r="BI156" s="212">
        <f t="shared" si="485"/>
        <v>-4.7704442455907325E-2</v>
      </c>
      <c r="BJ156" s="213">
        <v>0.02</v>
      </c>
      <c r="BK156" s="213">
        <v>0.02</v>
      </c>
      <c r="BL156" s="213">
        <v>0.02</v>
      </c>
      <c r="BM156" s="213">
        <v>0.02</v>
      </c>
      <c r="BN156" s="150">
        <f>BN155/BI155-1</f>
        <v>7.5534614428844682E-2</v>
      </c>
      <c r="BO156" s="213">
        <v>0.02</v>
      </c>
      <c r="BP156" s="213">
        <v>0.02</v>
      </c>
      <c r="BQ156" s="213">
        <v>0.02</v>
      </c>
      <c r="BR156" s="213">
        <v>0.02</v>
      </c>
      <c r="BS156" s="150">
        <f>BS155/BN155-1</f>
        <v>1.9564339841113831E-2</v>
      </c>
      <c r="BT156" s="214">
        <v>0.02</v>
      </c>
      <c r="BU156" s="214">
        <v>0.02</v>
      </c>
      <c r="BV156" s="214">
        <v>0.02</v>
      </c>
      <c r="BW156" s="152"/>
    </row>
    <row r="157" spans="1:75" ht="15.75" customHeight="1" outlineLevel="1" x14ac:dyDescent="0.2">
      <c r="A157" s="149"/>
      <c r="B157" s="149"/>
      <c r="C157" s="150"/>
      <c r="D157" s="150"/>
      <c r="E157" s="150"/>
      <c r="F157" s="150"/>
      <c r="G157" s="151"/>
      <c r="H157" s="151"/>
      <c r="I157" s="151"/>
      <c r="J157" s="151"/>
      <c r="K157" s="150"/>
      <c r="L157" s="151"/>
      <c r="M157" s="151"/>
      <c r="N157" s="151"/>
      <c r="O157" s="151"/>
      <c r="P157" s="150"/>
      <c r="Q157" s="151"/>
      <c r="R157" s="151"/>
      <c r="S157" s="151"/>
      <c r="T157" s="151"/>
      <c r="U157" s="150"/>
      <c r="V157" s="151"/>
      <c r="W157" s="151"/>
      <c r="X157" s="151"/>
      <c r="Y157" s="151"/>
      <c r="Z157" s="150"/>
      <c r="AA157" s="151"/>
      <c r="AB157" s="151"/>
      <c r="AC157" s="151"/>
      <c r="AD157" s="151"/>
      <c r="AE157" s="150"/>
      <c r="AF157" s="151"/>
      <c r="AG157" s="151"/>
      <c r="AH157" s="151"/>
      <c r="AI157" s="151"/>
      <c r="AJ157" s="150"/>
      <c r="AK157" s="151"/>
      <c r="AL157" s="151"/>
      <c r="AM157" s="151"/>
      <c r="AN157" s="151"/>
      <c r="AO157" s="150"/>
      <c r="AP157" s="151"/>
      <c r="AQ157" s="151"/>
      <c r="AR157" s="151"/>
      <c r="AS157" s="151"/>
      <c r="AT157" s="150"/>
      <c r="AU157" s="151"/>
      <c r="AV157" s="151"/>
      <c r="AW157" s="151"/>
      <c r="AX157" s="151"/>
      <c r="AY157" s="150"/>
      <c r="AZ157" s="151"/>
      <c r="BA157" s="151"/>
      <c r="BB157" s="151"/>
      <c r="BC157" s="151"/>
      <c r="BD157" s="150"/>
      <c r="BE157" s="151"/>
      <c r="BF157" s="151"/>
      <c r="BG157" s="151"/>
      <c r="BH157" s="151"/>
      <c r="BI157" s="153"/>
      <c r="BJ157" s="151"/>
      <c r="BK157" s="151"/>
      <c r="BL157" s="151"/>
      <c r="BM157" s="151"/>
      <c r="BN157" s="150"/>
      <c r="BO157" s="151"/>
      <c r="BP157" s="151"/>
      <c r="BQ157" s="151"/>
      <c r="BR157" s="151"/>
      <c r="BS157" s="150"/>
      <c r="BT157" s="150"/>
      <c r="BU157" s="150"/>
      <c r="BV157" s="150"/>
      <c r="BW157" s="152"/>
    </row>
    <row r="158" spans="1:75" ht="15.75" customHeight="1" outlineLevel="1" x14ac:dyDescent="0.2">
      <c r="A158" s="108" t="str">
        <f>A28</f>
        <v>Other FRC revenue, mm</v>
      </c>
      <c r="B158" s="108"/>
      <c r="C158" s="109"/>
      <c r="D158" s="109"/>
      <c r="E158" s="109"/>
      <c r="F158" s="109"/>
      <c r="G158" s="110"/>
      <c r="H158" s="110"/>
      <c r="I158" s="110"/>
      <c r="J158" s="110"/>
      <c r="K158" s="109"/>
      <c r="L158" s="110"/>
      <c r="M158" s="110"/>
      <c r="N158" s="110"/>
      <c r="O158" s="110"/>
      <c r="P158" s="109"/>
      <c r="Q158" s="110"/>
      <c r="R158" s="110"/>
      <c r="S158" s="110"/>
      <c r="T158" s="110"/>
      <c r="U158" s="109"/>
      <c r="V158" s="110"/>
      <c r="W158" s="110"/>
      <c r="X158" s="110"/>
      <c r="Y158" s="110"/>
      <c r="Z158" s="109"/>
      <c r="AA158" s="110"/>
      <c r="AB158" s="110"/>
      <c r="AC158" s="110"/>
      <c r="AD158" s="110"/>
      <c r="AE158" s="109"/>
      <c r="AF158" s="110"/>
      <c r="AG158" s="110"/>
      <c r="AH158" s="110"/>
      <c r="AI158" s="110"/>
      <c r="AJ158" s="109"/>
      <c r="AK158" s="110"/>
      <c r="AL158" s="110"/>
      <c r="AM158" s="110"/>
      <c r="AN158" s="110">
        <f t="shared" ref="AN158:BI158" si="486">AN28</f>
        <v>39.335000000000001</v>
      </c>
      <c r="AO158" s="109">
        <f t="shared" si="486"/>
        <v>39.335000000000001</v>
      </c>
      <c r="AP158" s="110">
        <f t="shared" si="486"/>
        <v>35.582999999999998</v>
      </c>
      <c r="AQ158" s="110">
        <f t="shared" si="486"/>
        <v>12.208</v>
      </c>
      <c r="AR158" s="110">
        <f t="shared" si="486"/>
        <v>20.273</v>
      </c>
      <c r="AS158" s="110">
        <f t="shared" si="486"/>
        <v>28.792000000000002</v>
      </c>
      <c r="AT158" s="109">
        <f t="shared" si="486"/>
        <v>96.855999999999995</v>
      </c>
      <c r="AU158" s="110">
        <f t="shared" si="486"/>
        <v>36.194000000000003</v>
      </c>
      <c r="AV158" s="110">
        <f t="shared" si="486"/>
        <v>47.457999999999998</v>
      </c>
      <c r="AW158" s="110">
        <f t="shared" si="486"/>
        <v>44.326000000000001</v>
      </c>
      <c r="AX158" s="110">
        <f t="shared" si="486"/>
        <v>54.197000000000003</v>
      </c>
      <c r="AY158" s="109">
        <f t="shared" si="486"/>
        <v>182.17500000000001</v>
      </c>
      <c r="AZ158" s="110">
        <f t="shared" si="486"/>
        <v>58.832000000000001</v>
      </c>
      <c r="BA158" s="110">
        <f t="shared" si="486"/>
        <v>60.02</v>
      </c>
      <c r="BB158" s="110">
        <f t="shared" si="486"/>
        <v>52.192999999999998</v>
      </c>
      <c r="BC158" s="110">
        <f t="shared" si="486"/>
        <v>66.506999999999977</v>
      </c>
      <c r="BD158" s="109">
        <f t="shared" si="486"/>
        <v>237.55199999999999</v>
      </c>
      <c r="BE158" s="110">
        <f t="shared" si="486"/>
        <v>68.64</v>
      </c>
      <c r="BF158" s="110">
        <f t="shared" si="486"/>
        <v>65.727999999999994</v>
      </c>
      <c r="BG158" s="110">
        <f t="shared" si="486"/>
        <v>58.642000000000003</v>
      </c>
      <c r="BH158" s="110">
        <f t="shared" si="486"/>
        <v>70.913000000000011</v>
      </c>
      <c r="BI158" s="107">
        <f t="shared" si="486"/>
        <v>263.923</v>
      </c>
      <c r="BJ158" s="110">
        <f t="shared" ref="BJ158:BM158" si="487">BJ155*BJ152/1000</f>
        <v>82.188939130434775</v>
      </c>
      <c r="BK158" s="110">
        <f t="shared" si="487"/>
        <v>78.21632000000001</v>
      </c>
      <c r="BL158" s="110">
        <f t="shared" si="487"/>
        <v>71.131161081081075</v>
      </c>
      <c r="BM158" s="110">
        <f t="shared" si="487"/>
        <v>86.421765194805204</v>
      </c>
      <c r="BN158" s="109">
        <f>SUM(BJ158,BK158,BL158,BM158)</f>
        <v>317.95818540632104</v>
      </c>
      <c r="BO158" s="110">
        <f t="shared" ref="BO158:BR158" si="488">BO155*BO152/1000</f>
        <v>98.32232347826087</v>
      </c>
      <c r="BP158" s="110">
        <f t="shared" si="488"/>
        <v>94.027190400000009</v>
      </c>
      <c r="BQ158" s="110">
        <f t="shared" si="488"/>
        <v>86.569856270270279</v>
      </c>
      <c r="BR158" s="110">
        <f t="shared" si="488"/>
        <v>105.39697885714288</v>
      </c>
      <c r="BS158" s="109">
        <f>SUM(BO158,BP158,BQ158,BR158)</f>
        <v>384.31634900567406</v>
      </c>
      <c r="BT158" s="109">
        <f t="shared" ref="BT158:BV158" si="489">BT155*BT152/1000</f>
        <v>467.71957428133084</v>
      </c>
      <c r="BU158" s="109">
        <f t="shared" si="489"/>
        <v>555.28281261399968</v>
      </c>
      <c r="BV158" s="109">
        <f t="shared" si="489"/>
        <v>646.16149265026274</v>
      </c>
      <c r="BW158" s="83"/>
    </row>
    <row r="159" spans="1:75" ht="15.75" customHeight="1" x14ac:dyDescent="0.2">
      <c r="A159" s="117"/>
      <c r="B159" s="117"/>
      <c r="C159" s="122"/>
      <c r="D159" s="122"/>
      <c r="E159" s="122"/>
      <c r="F159" s="122"/>
      <c r="G159" s="121"/>
      <c r="H159" s="121"/>
      <c r="I159" s="121"/>
      <c r="J159" s="121"/>
      <c r="K159" s="122"/>
      <c r="L159" s="121"/>
      <c r="M159" s="121"/>
      <c r="N159" s="121"/>
      <c r="O159" s="121"/>
      <c r="P159" s="122"/>
      <c r="Q159" s="121"/>
      <c r="R159" s="121"/>
      <c r="S159" s="121"/>
      <c r="T159" s="121"/>
      <c r="U159" s="122"/>
      <c r="V159" s="121"/>
      <c r="W159" s="121"/>
      <c r="X159" s="121"/>
      <c r="Y159" s="121"/>
      <c r="Z159" s="122"/>
      <c r="AA159" s="121"/>
      <c r="AB159" s="121"/>
      <c r="AC159" s="121"/>
      <c r="AD159" s="121"/>
      <c r="AE159" s="122"/>
      <c r="AF159" s="121"/>
      <c r="AG159" s="121"/>
      <c r="AH159" s="121"/>
      <c r="AI159" s="121"/>
      <c r="AJ159" s="122"/>
      <c r="AK159" s="121"/>
      <c r="AL159" s="121"/>
      <c r="AM159" s="121"/>
      <c r="AN159" s="121"/>
      <c r="AO159" s="122"/>
      <c r="AP159" s="121"/>
      <c r="AQ159" s="121"/>
      <c r="AR159" s="121"/>
      <c r="AS159" s="121"/>
      <c r="AT159" s="122"/>
      <c r="AU159" s="121"/>
      <c r="AV159" s="121"/>
      <c r="AW159" s="121"/>
      <c r="AX159" s="121"/>
      <c r="AY159" s="122"/>
      <c r="AZ159" s="121"/>
      <c r="BA159" s="121"/>
      <c r="BB159" s="121"/>
      <c r="BC159" s="121"/>
      <c r="BD159" s="122"/>
      <c r="BE159" s="121"/>
      <c r="BF159" s="121"/>
      <c r="BG159" s="121"/>
      <c r="BH159" s="121"/>
      <c r="BI159" s="123"/>
      <c r="BJ159" s="121"/>
      <c r="BK159" s="121"/>
      <c r="BL159" s="121"/>
      <c r="BM159" s="121"/>
      <c r="BN159" s="122"/>
      <c r="BO159" s="121"/>
      <c r="BP159" s="121"/>
      <c r="BQ159" s="121"/>
      <c r="BR159" s="121"/>
      <c r="BS159" s="122"/>
      <c r="BT159" s="122"/>
      <c r="BU159" s="122"/>
      <c r="BV159" s="122"/>
      <c r="BW159" s="120"/>
    </row>
    <row r="160" spans="1:75" ht="15.75" customHeight="1" x14ac:dyDescent="0.2">
      <c r="A160" s="81" t="s">
        <v>582</v>
      </c>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2"/>
      <c r="BJ160" s="81"/>
      <c r="BK160" s="81"/>
      <c r="BL160" s="81"/>
      <c r="BM160" s="81"/>
      <c r="BN160" s="81"/>
      <c r="BO160" s="81"/>
      <c r="BP160" s="81"/>
      <c r="BQ160" s="81"/>
      <c r="BR160" s="81"/>
      <c r="BS160" s="81"/>
      <c r="BT160" s="81"/>
      <c r="BU160" s="81"/>
      <c r="BV160" s="81"/>
      <c r="BW160" s="83"/>
    </row>
    <row r="161" spans="1:75" ht="15.75" customHeight="1" outlineLevel="2" x14ac:dyDescent="0.2">
      <c r="A161" s="116" t="s">
        <v>305</v>
      </c>
      <c r="B161" s="117"/>
      <c r="C161" s="118">
        <v>13</v>
      </c>
      <c r="D161" s="119">
        <f t="shared" ref="D161:J161" si="490">C164</f>
        <v>13</v>
      </c>
      <c r="E161" s="119">
        <f t="shared" si="490"/>
        <v>13</v>
      </c>
      <c r="F161" s="119">
        <f t="shared" si="490"/>
        <v>13</v>
      </c>
      <c r="G161" s="120">
        <f t="shared" si="490"/>
        <v>14</v>
      </c>
      <c r="H161" s="120">
        <f t="shared" si="490"/>
        <v>11</v>
      </c>
      <c r="I161" s="120">
        <f t="shared" si="490"/>
        <v>11</v>
      </c>
      <c r="J161" s="120">
        <f t="shared" si="490"/>
        <v>11</v>
      </c>
      <c r="K161" s="119">
        <f>F164</f>
        <v>14</v>
      </c>
      <c r="L161" s="120">
        <f>K164</f>
        <v>11</v>
      </c>
      <c r="M161" s="120">
        <f t="shared" ref="M161:O161" si="491">L164</f>
        <v>11</v>
      </c>
      <c r="N161" s="120">
        <f t="shared" si="491"/>
        <v>11</v>
      </c>
      <c r="O161" s="120">
        <f t="shared" si="491"/>
        <v>11</v>
      </c>
      <c r="P161" s="119">
        <f>K164</f>
        <v>11</v>
      </c>
      <c r="Q161" s="120">
        <f t="shared" ref="Q161:T161" si="492">P164</f>
        <v>11</v>
      </c>
      <c r="R161" s="120">
        <f t="shared" si="492"/>
        <v>11</v>
      </c>
      <c r="S161" s="120">
        <f t="shared" si="492"/>
        <v>12</v>
      </c>
      <c r="T161" s="120">
        <f t="shared" si="492"/>
        <v>12</v>
      </c>
      <c r="U161" s="119">
        <f>P164</f>
        <v>11</v>
      </c>
      <c r="V161" s="120">
        <f t="shared" ref="V161:Y161" si="493">U164</f>
        <v>12</v>
      </c>
      <c r="W161" s="120">
        <f t="shared" si="493"/>
        <v>12</v>
      </c>
      <c r="X161" s="120">
        <f t="shared" si="493"/>
        <v>12</v>
      </c>
      <c r="Y161" s="120">
        <f t="shared" si="493"/>
        <v>12</v>
      </c>
      <c r="Z161" s="122">
        <f>U164</f>
        <v>12</v>
      </c>
      <c r="AA161" s="120">
        <f t="shared" ref="AA161:AD161" si="494">Z164</f>
        <v>13</v>
      </c>
      <c r="AB161" s="120">
        <f t="shared" si="494"/>
        <v>13</v>
      </c>
      <c r="AC161" s="120">
        <f t="shared" si="494"/>
        <v>13</v>
      </c>
      <c r="AD161" s="120">
        <f t="shared" si="494"/>
        <v>13</v>
      </c>
      <c r="AE161" s="122">
        <f>Z164</f>
        <v>13</v>
      </c>
      <c r="AF161" s="120">
        <f t="shared" ref="AF161:AI161" si="495">AE164</f>
        <v>13</v>
      </c>
      <c r="AG161" s="120">
        <f t="shared" si="495"/>
        <v>13</v>
      </c>
      <c r="AH161" s="120">
        <f t="shared" si="495"/>
        <v>13</v>
      </c>
      <c r="AI161" s="120">
        <f t="shared" si="495"/>
        <v>14</v>
      </c>
      <c r="AJ161" s="122">
        <f>AE164</f>
        <v>13</v>
      </c>
      <c r="AK161" s="120">
        <f t="shared" ref="AK161:AL161" si="496">AJ164</f>
        <v>14</v>
      </c>
      <c r="AL161" s="120">
        <f t="shared" si="496"/>
        <v>14</v>
      </c>
      <c r="AM161" s="215">
        <v>14</v>
      </c>
      <c r="AN161" s="120">
        <f>AM164</f>
        <v>14</v>
      </c>
      <c r="AO161" s="122">
        <f>AJ164</f>
        <v>14</v>
      </c>
      <c r="AP161" s="120">
        <f>AO164</f>
        <v>13</v>
      </c>
      <c r="AQ161" s="121"/>
      <c r="AR161" s="121"/>
      <c r="AS161" s="121"/>
      <c r="AT161" s="122"/>
      <c r="AU161" s="121"/>
      <c r="AV161" s="121"/>
      <c r="AW161" s="121"/>
      <c r="AX161" s="121"/>
      <c r="AY161" s="122"/>
      <c r="AZ161" s="121"/>
      <c r="BA161" s="121"/>
      <c r="BB161" s="121"/>
      <c r="BC161" s="121"/>
      <c r="BD161" s="122"/>
      <c r="BE161" s="121"/>
      <c r="BF161" s="121"/>
      <c r="BG161" s="121"/>
      <c r="BH161" s="121"/>
      <c r="BI161" s="123"/>
      <c r="BJ161" s="121"/>
      <c r="BK161" s="121"/>
      <c r="BL161" s="121"/>
      <c r="BM161" s="121"/>
      <c r="BN161" s="122"/>
      <c r="BO161" s="121"/>
      <c r="BP161" s="121"/>
      <c r="BQ161" s="121"/>
      <c r="BR161" s="121"/>
      <c r="BS161" s="122"/>
      <c r="BT161" s="122"/>
      <c r="BU161" s="122"/>
      <c r="BV161" s="122"/>
      <c r="BW161" s="120"/>
    </row>
    <row r="162" spans="1:75" ht="15.75" customHeight="1" outlineLevel="2" x14ac:dyDescent="0.2">
      <c r="A162" s="124" t="s">
        <v>306</v>
      </c>
      <c r="B162" s="125"/>
      <c r="C162" s="126">
        <v>0</v>
      </c>
      <c r="D162" s="126">
        <v>0</v>
      </c>
      <c r="E162" s="126">
        <v>0</v>
      </c>
      <c r="F162" s="126">
        <v>1</v>
      </c>
      <c r="G162" s="127">
        <v>0</v>
      </c>
      <c r="H162" s="127">
        <v>0</v>
      </c>
      <c r="I162" s="127">
        <v>0</v>
      </c>
      <c r="J162" s="127">
        <v>0</v>
      </c>
      <c r="K162" s="128">
        <f t="shared" ref="K162:K163" si="497">SUM(G162,H162,I162,J162)</f>
        <v>0</v>
      </c>
      <c r="L162" s="127">
        <v>0</v>
      </c>
      <c r="M162" s="127">
        <v>0</v>
      </c>
      <c r="N162" s="127">
        <v>0</v>
      </c>
      <c r="O162" s="127">
        <v>0</v>
      </c>
      <c r="P162" s="128">
        <f>SUM(L162,M162,N162,O162)</f>
        <v>0</v>
      </c>
      <c r="Q162" s="127">
        <v>0</v>
      </c>
      <c r="R162" s="127">
        <v>1</v>
      </c>
      <c r="S162" s="127">
        <v>0</v>
      </c>
      <c r="T162" s="127">
        <v>0</v>
      </c>
      <c r="U162" s="128">
        <f t="shared" ref="U162:U163" si="498">SUM(Q162,R162,S162,T162)</f>
        <v>1</v>
      </c>
      <c r="V162" s="127">
        <v>0</v>
      </c>
      <c r="W162" s="127">
        <v>0</v>
      </c>
      <c r="X162" s="127">
        <v>0</v>
      </c>
      <c r="Y162" s="127">
        <v>1</v>
      </c>
      <c r="Z162" s="128">
        <f t="shared" ref="Z162:Z163" si="499">SUM(V162,W162,X162,Y162)</f>
        <v>1</v>
      </c>
      <c r="AA162" s="127">
        <v>0</v>
      </c>
      <c r="AB162" s="127">
        <v>0</v>
      </c>
      <c r="AC162" s="127">
        <v>0</v>
      </c>
      <c r="AD162" s="127">
        <v>0</v>
      </c>
      <c r="AE162" s="128">
        <f t="shared" ref="AE162:AE163" si="500">SUM(AA162,AB162,AC162,AD162)</f>
        <v>0</v>
      </c>
      <c r="AF162" s="127">
        <v>0</v>
      </c>
      <c r="AG162" s="127">
        <v>0</v>
      </c>
      <c r="AH162" s="127">
        <v>1</v>
      </c>
      <c r="AI162" s="127">
        <v>0</v>
      </c>
      <c r="AJ162" s="128">
        <f t="shared" ref="AJ162:AJ163" si="501">SUM(AF162,AG162,AH162,AI162)</f>
        <v>1</v>
      </c>
      <c r="AK162" s="127">
        <v>0</v>
      </c>
      <c r="AL162" s="127">
        <v>0</v>
      </c>
      <c r="AM162" s="127">
        <v>0</v>
      </c>
      <c r="AN162" s="127">
        <v>0</v>
      </c>
      <c r="AO162" s="128">
        <f t="shared" ref="AO162:AO163" si="502">SUM(AK162,AL162,AM162,AN162)</f>
        <v>0</v>
      </c>
      <c r="AP162" s="127">
        <v>0</v>
      </c>
      <c r="AQ162" s="154"/>
      <c r="AR162" s="154"/>
      <c r="AS162" s="154"/>
      <c r="AT162" s="130"/>
      <c r="AU162" s="154"/>
      <c r="AV162" s="154"/>
      <c r="AW162" s="154"/>
      <c r="AX162" s="154"/>
      <c r="AY162" s="130"/>
      <c r="AZ162" s="154"/>
      <c r="BA162" s="154"/>
      <c r="BB162" s="154"/>
      <c r="BC162" s="154"/>
      <c r="BD162" s="130"/>
      <c r="BE162" s="154"/>
      <c r="BF162" s="154"/>
      <c r="BG162" s="154"/>
      <c r="BH162" s="154"/>
      <c r="BI162" s="155"/>
      <c r="BJ162" s="154"/>
      <c r="BK162" s="154"/>
      <c r="BL162" s="154"/>
      <c r="BM162" s="154"/>
      <c r="BN162" s="130"/>
      <c r="BO162" s="154"/>
      <c r="BP162" s="154"/>
      <c r="BQ162" s="154"/>
      <c r="BR162" s="154"/>
      <c r="BS162" s="130"/>
      <c r="BT162" s="130"/>
      <c r="BU162" s="130"/>
      <c r="BV162" s="130"/>
      <c r="BW162" s="131"/>
    </row>
    <row r="163" spans="1:75" ht="15.75" customHeight="1" outlineLevel="2" x14ac:dyDescent="0.2">
      <c r="A163" s="124" t="s">
        <v>307</v>
      </c>
      <c r="B163" s="125"/>
      <c r="C163" s="126">
        <v>0</v>
      </c>
      <c r="D163" s="126">
        <v>0</v>
      </c>
      <c r="E163" s="126">
        <v>0</v>
      </c>
      <c r="F163" s="126">
        <v>0</v>
      </c>
      <c r="G163" s="127">
        <v>-3</v>
      </c>
      <c r="H163" s="127">
        <v>0</v>
      </c>
      <c r="I163" s="127">
        <v>0</v>
      </c>
      <c r="J163" s="127">
        <v>0</v>
      </c>
      <c r="K163" s="128">
        <f t="shared" si="497"/>
        <v>-3</v>
      </c>
      <c r="L163" s="127">
        <v>0</v>
      </c>
      <c r="M163" s="127">
        <v>0</v>
      </c>
      <c r="N163" s="127">
        <v>0</v>
      </c>
      <c r="O163" s="127">
        <v>0</v>
      </c>
      <c r="P163" s="128">
        <f>SUM(L163,M163,N163,O163)</f>
        <v>0</v>
      </c>
      <c r="Q163" s="127">
        <v>0</v>
      </c>
      <c r="R163" s="127">
        <v>0</v>
      </c>
      <c r="S163" s="127">
        <v>0</v>
      </c>
      <c r="T163" s="127">
        <v>0</v>
      </c>
      <c r="U163" s="128">
        <f t="shared" si="498"/>
        <v>0</v>
      </c>
      <c r="V163" s="127">
        <v>0</v>
      </c>
      <c r="W163" s="127">
        <v>0</v>
      </c>
      <c r="X163" s="127">
        <v>0</v>
      </c>
      <c r="Y163" s="127">
        <v>0</v>
      </c>
      <c r="Z163" s="128">
        <f t="shared" si="499"/>
        <v>0</v>
      </c>
      <c r="AA163" s="127">
        <v>0</v>
      </c>
      <c r="AB163" s="127">
        <v>0</v>
      </c>
      <c r="AC163" s="127">
        <v>0</v>
      </c>
      <c r="AD163" s="127">
        <v>0</v>
      </c>
      <c r="AE163" s="128">
        <f t="shared" si="500"/>
        <v>0</v>
      </c>
      <c r="AF163" s="127">
        <v>0</v>
      </c>
      <c r="AG163" s="127">
        <v>0</v>
      </c>
      <c r="AH163" s="127">
        <v>0</v>
      </c>
      <c r="AI163" s="131">
        <f>-(AI162-(AI164-AI161))</f>
        <v>0</v>
      </c>
      <c r="AJ163" s="128">
        <f t="shared" si="501"/>
        <v>0</v>
      </c>
      <c r="AK163" s="131">
        <f t="shared" ref="AK163:AL163" si="503">-(AK162-(AK164-AK161))</f>
        <v>0</v>
      </c>
      <c r="AL163" s="131">
        <f t="shared" si="503"/>
        <v>0</v>
      </c>
      <c r="AM163" s="127">
        <v>0</v>
      </c>
      <c r="AN163" s="131">
        <f>-(AN162-(AN164-AN161))</f>
        <v>-1</v>
      </c>
      <c r="AO163" s="128">
        <f t="shared" si="502"/>
        <v>-1</v>
      </c>
      <c r="AP163" s="131">
        <f>-(AP162-(AP164-AP161))</f>
        <v>0</v>
      </c>
      <c r="AQ163" s="154"/>
      <c r="AR163" s="154"/>
      <c r="AS163" s="154"/>
      <c r="AT163" s="130"/>
      <c r="AU163" s="154"/>
      <c r="AV163" s="154"/>
      <c r="AW163" s="154"/>
      <c r="AX163" s="154"/>
      <c r="AY163" s="130"/>
      <c r="AZ163" s="154"/>
      <c r="BA163" s="154"/>
      <c r="BB163" s="154"/>
      <c r="BC163" s="154"/>
      <c r="BD163" s="130"/>
      <c r="BE163" s="154"/>
      <c r="BF163" s="154"/>
      <c r="BG163" s="154"/>
      <c r="BH163" s="154"/>
      <c r="BI163" s="155"/>
      <c r="BJ163" s="154"/>
      <c r="BK163" s="154"/>
      <c r="BL163" s="154"/>
      <c r="BM163" s="154"/>
      <c r="BN163" s="130"/>
      <c r="BO163" s="154"/>
      <c r="BP163" s="154"/>
      <c r="BQ163" s="154"/>
      <c r="BR163" s="154"/>
      <c r="BS163" s="130"/>
      <c r="BT163" s="130"/>
      <c r="BU163" s="130"/>
      <c r="BV163" s="130"/>
      <c r="BW163" s="131"/>
    </row>
    <row r="164" spans="1:75" ht="15.75" customHeight="1" outlineLevel="2" x14ac:dyDescent="0.2">
      <c r="A164" s="140" t="s">
        <v>308</v>
      </c>
      <c r="B164" s="141"/>
      <c r="C164" s="205">
        <f t="shared" ref="C164:Y164" si="504">SUM(C161:C163)</f>
        <v>13</v>
      </c>
      <c r="D164" s="205">
        <f t="shared" si="504"/>
        <v>13</v>
      </c>
      <c r="E164" s="205">
        <f t="shared" si="504"/>
        <v>13</v>
      </c>
      <c r="F164" s="205">
        <f t="shared" si="504"/>
        <v>14</v>
      </c>
      <c r="G164" s="144">
        <f t="shared" si="504"/>
        <v>11</v>
      </c>
      <c r="H164" s="144">
        <f t="shared" si="504"/>
        <v>11</v>
      </c>
      <c r="I164" s="144">
        <f t="shared" si="504"/>
        <v>11</v>
      </c>
      <c r="J164" s="144">
        <f t="shared" si="504"/>
        <v>11</v>
      </c>
      <c r="K164" s="205">
        <f t="shared" si="504"/>
        <v>11</v>
      </c>
      <c r="L164" s="144">
        <f t="shared" si="504"/>
        <v>11</v>
      </c>
      <c r="M164" s="144">
        <f t="shared" si="504"/>
        <v>11</v>
      </c>
      <c r="N164" s="144">
        <f t="shared" si="504"/>
        <v>11</v>
      </c>
      <c r="O164" s="144">
        <f t="shared" si="504"/>
        <v>11</v>
      </c>
      <c r="P164" s="205">
        <f t="shared" si="504"/>
        <v>11</v>
      </c>
      <c r="Q164" s="144">
        <f t="shared" si="504"/>
        <v>11</v>
      </c>
      <c r="R164" s="144">
        <f t="shared" si="504"/>
        <v>12</v>
      </c>
      <c r="S164" s="144">
        <f t="shared" si="504"/>
        <v>12</v>
      </c>
      <c r="T164" s="144">
        <f t="shared" si="504"/>
        <v>12</v>
      </c>
      <c r="U164" s="205">
        <f t="shared" si="504"/>
        <v>12</v>
      </c>
      <c r="V164" s="144">
        <f t="shared" si="504"/>
        <v>12</v>
      </c>
      <c r="W164" s="144">
        <f t="shared" si="504"/>
        <v>12</v>
      </c>
      <c r="X164" s="144">
        <f t="shared" si="504"/>
        <v>12</v>
      </c>
      <c r="Y164" s="147">
        <f t="shared" si="504"/>
        <v>13</v>
      </c>
      <c r="Z164" s="142">
        <v>13</v>
      </c>
      <c r="AA164" s="144">
        <f t="shared" ref="AA164:AH164" si="505">SUM(AA161:AA163)</f>
        <v>13</v>
      </c>
      <c r="AB164" s="144">
        <f t="shared" si="505"/>
        <v>13</v>
      </c>
      <c r="AC164" s="144">
        <f t="shared" si="505"/>
        <v>13</v>
      </c>
      <c r="AD164" s="147">
        <f t="shared" si="505"/>
        <v>13</v>
      </c>
      <c r="AE164" s="145">
        <f t="shared" si="505"/>
        <v>13</v>
      </c>
      <c r="AF164" s="144">
        <f t="shared" si="505"/>
        <v>13</v>
      </c>
      <c r="AG164" s="144">
        <f t="shared" si="505"/>
        <v>13</v>
      </c>
      <c r="AH164" s="144">
        <f t="shared" si="505"/>
        <v>14</v>
      </c>
      <c r="AI164" s="143">
        <v>14</v>
      </c>
      <c r="AJ164" s="145">
        <f>SUM(AJ161:AJ163)</f>
        <v>14</v>
      </c>
      <c r="AK164" s="143">
        <v>14</v>
      </c>
      <c r="AL164" s="143">
        <v>14</v>
      </c>
      <c r="AM164" s="143">
        <v>14</v>
      </c>
      <c r="AN164" s="143">
        <v>13</v>
      </c>
      <c r="AO164" s="145">
        <f>SUM(AO161:AO163)</f>
        <v>13</v>
      </c>
      <c r="AP164" s="143">
        <v>13</v>
      </c>
      <c r="AQ164" s="147"/>
      <c r="AR164" s="147"/>
      <c r="AS164" s="147"/>
      <c r="AT164" s="145"/>
      <c r="AU164" s="147"/>
      <c r="AV164" s="147"/>
      <c r="AW164" s="147"/>
      <c r="AX164" s="147"/>
      <c r="AY164" s="145"/>
      <c r="AZ164" s="147"/>
      <c r="BA164" s="147"/>
      <c r="BB164" s="147"/>
      <c r="BC164" s="147"/>
      <c r="BD164" s="145"/>
      <c r="BE164" s="147"/>
      <c r="BF164" s="147"/>
      <c r="BG164" s="147"/>
      <c r="BH164" s="147"/>
      <c r="BI164" s="146"/>
      <c r="BJ164" s="147"/>
      <c r="BK164" s="147"/>
      <c r="BL164" s="147"/>
      <c r="BM164" s="147"/>
      <c r="BN164" s="145"/>
      <c r="BO164" s="147"/>
      <c r="BP164" s="147"/>
      <c r="BQ164" s="147"/>
      <c r="BR164" s="147"/>
      <c r="BS164" s="145"/>
      <c r="BT164" s="145"/>
      <c r="BU164" s="145"/>
      <c r="BV164" s="145"/>
      <c r="BW164" s="120"/>
    </row>
    <row r="165" spans="1:75" ht="15.75" customHeight="1" outlineLevel="2" x14ac:dyDescent="0.2">
      <c r="A165" s="117"/>
      <c r="B165" s="117"/>
      <c r="C165" s="122"/>
      <c r="D165" s="122"/>
      <c r="E165" s="122"/>
      <c r="F165" s="122"/>
      <c r="G165" s="121"/>
      <c r="H165" s="121"/>
      <c r="I165" s="121"/>
      <c r="J165" s="121"/>
      <c r="K165" s="122"/>
      <c r="L165" s="121"/>
      <c r="M165" s="121"/>
      <c r="N165" s="121"/>
      <c r="O165" s="121"/>
      <c r="P165" s="122"/>
      <c r="Q165" s="121"/>
      <c r="R165" s="121"/>
      <c r="S165" s="121"/>
      <c r="T165" s="121"/>
      <c r="U165" s="122"/>
      <c r="V165" s="121"/>
      <c r="W165" s="121"/>
      <c r="X165" s="121"/>
      <c r="Y165" s="121"/>
      <c r="Z165" s="122"/>
      <c r="AA165" s="121"/>
      <c r="AB165" s="121"/>
      <c r="AC165" s="121"/>
      <c r="AD165" s="121"/>
      <c r="AE165" s="122"/>
      <c r="AF165" s="121"/>
      <c r="AG165" s="121"/>
      <c r="AH165" s="121"/>
      <c r="AI165" s="121"/>
      <c r="AJ165" s="122"/>
      <c r="AK165" s="121"/>
      <c r="AL165" s="121"/>
      <c r="AM165" s="121"/>
      <c r="AN165" s="121"/>
      <c r="AO165" s="122"/>
      <c r="AP165" s="121"/>
      <c r="AQ165" s="121"/>
      <c r="AR165" s="121"/>
      <c r="AS165" s="121"/>
      <c r="AT165" s="122"/>
      <c r="AU165" s="121"/>
      <c r="AV165" s="121"/>
      <c r="AW165" s="121"/>
      <c r="AX165" s="121"/>
      <c r="AY165" s="122"/>
      <c r="AZ165" s="121"/>
      <c r="BA165" s="121"/>
      <c r="BB165" s="121"/>
      <c r="BC165" s="121"/>
      <c r="BD165" s="122"/>
      <c r="BE165" s="121"/>
      <c r="BF165" s="121"/>
      <c r="BG165" s="121"/>
      <c r="BH165" s="121"/>
      <c r="BI165" s="123"/>
      <c r="BJ165" s="121"/>
      <c r="BK165" s="121"/>
      <c r="BL165" s="121"/>
      <c r="BM165" s="121"/>
      <c r="BN165" s="122"/>
      <c r="BO165" s="121"/>
      <c r="BP165" s="121"/>
      <c r="BQ165" s="121"/>
      <c r="BR165" s="121"/>
      <c r="BS165" s="122"/>
      <c r="BT165" s="122"/>
      <c r="BU165" s="122"/>
      <c r="BV165" s="122"/>
      <c r="BW165" s="120"/>
    </row>
    <row r="166" spans="1:75" ht="15.75" customHeight="1" outlineLevel="2" x14ac:dyDescent="0.2">
      <c r="A166" s="116" t="s">
        <v>309</v>
      </c>
      <c r="B166" s="117"/>
      <c r="C166" s="118">
        <v>1</v>
      </c>
      <c r="D166" s="119">
        <f t="shared" ref="D166:J166" si="506">C169</f>
        <v>1</v>
      </c>
      <c r="E166" s="119">
        <f t="shared" si="506"/>
        <v>1</v>
      </c>
      <c r="F166" s="119">
        <f t="shared" si="506"/>
        <v>1</v>
      </c>
      <c r="G166" s="120">
        <f t="shared" si="506"/>
        <v>1</v>
      </c>
      <c r="H166" s="120">
        <f t="shared" si="506"/>
        <v>1</v>
      </c>
      <c r="I166" s="120">
        <f t="shared" si="506"/>
        <v>1</v>
      </c>
      <c r="J166" s="120">
        <f t="shared" si="506"/>
        <v>1</v>
      </c>
      <c r="K166" s="122">
        <f>F169</f>
        <v>1</v>
      </c>
      <c r="L166" s="120">
        <f>K169</f>
        <v>1</v>
      </c>
      <c r="M166" s="120">
        <f t="shared" ref="M166:O166" si="507">L169</f>
        <v>1</v>
      </c>
      <c r="N166" s="120">
        <f t="shared" si="507"/>
        <v>1</v>
      </c>
      <c r="O166" s="120">
        <f t="shared" si="507"/>
        <v>1</v>
      </c>
      <c r="P166" s="122">
        <f>K169</f>
        <v>1</v>
      </c>
      <c r="Q166" s="120">
        <f t="shared" ref="Q166:T166" si="508">P169</f>
        <v>1</v>
      </c>
      <c r="R166" s="120">
        <f t="shared" si="508"/>
        <v>1</v>
      </c>
      <c r="S166" s="120">
        <f t="shared" si="508"/>
        <v>1</v>
      </c>
      <c r="T166" s="120">
        <f t="shared" si="508"/>
        <v>1</v>
      </c>
      <c r="U166" s="122">
        <f>P169</f>
        <v>1</v>
      </c>
      <c r="V166" s="120">
        <f t="shared" ref="V166:Y166" si="509">U169</f>
        <v>1</v>
      </c>
      <c r="W166" s="120">
        <f t="shared" si="509"/>
        <v>1</v>
      </c>
      <c r="X166" s="120">
        <f t="shared" si="509"/>
        <v>1</v>
      </c>
      <c r="Y166" s="120">
        <f t="shared" si="509"/>
        <v>1</v>
      </c>
      <c r="Z166" s="122">
        <f>U169</f>
        <v>1</v>
      </c>
      <c r="AA166" s="120">
        <f t="shared" ref="AA166:AD166" si="510">Z169</f>
        <v>1</v>
      </c>
      <c r="AB166" s="120">
        <f t="shared" si="510"/>
        <v>1</v>
      </c>
      <c r="AC166" s="120">
        <f t="shared" si="510"/>
        <v>1</v>
      </c>
      <c r="AD166" s="120">
        <f t="shared" si="510"/>
        <v>1</v>
      </c>
      <c r="AE166" s="122">
        <f>Z169</f>
        <v>1</v>
      </c>
      <c r="AF166" s="120">
        <f t="shared" ref="AF166:AI166" si="511">AE169</f>
        <v>2</v>
      </c>
      <c r="AG166" s="120">
        <f t="shared" si="511"/>
        <v>2</v>
      </c>
      <c r="AH166" s="120">
        <f t="shared" si="511"/>
        <v>2</v>
      </c>
      <c r="AI166" s="120">
        <f t="shared" si="511"/>
        <v>2</v>
      </c>
      <c r="AJ166" s="122">
        <f>AE169</f>
        <v>2</v>
      </c>
      <c r="AK166" s="120">
        <f t="shared" ref="AK166:AN166" si="512">AJ169</f>
        <v>2</v>
      </c>
      <c r="AL166" s="120">
        <f t="shared" si="512"/>
        <v>2</v>
      </c>
      <c r="AM166" s="120">
        <f t="shared" si="512"/>
        <v>2</v>
      </c>
      <c r="AN166" s="120">
        <f t="shared" si="512"/>
        <v>2</v>
      </c>
      <c r="AO166" s="122">
        <f>AJ169</f>
        <v>2</v>
      </c>
      <c r="AP166" s="120">
        <f>AO169</f>
        <v>1</v>
      </c>
      <c r="AQ166" s="121"/>
      <c r="AR166" s="121"/>
      <c r="AS166" s="121"/>
      <c r="AT166" s="122"/>
      <c r="AU166" s="121"/>
      <c r="AV166" s="121"/>
      <c r="AW166" s="121"/>
      <c r="AX166" s="121"/>
      <c r="AY166" s="122"/>
      <c r="AZ166" s="121"/>
      <c r="BA166" s="121"/>
      <c r="BB166" s="121"/>
      <c r="BC166" s="121"/>
      <c r="BD166" s="122"/>
      <c r="BE166" s="121"/>
      <c r="BF166" s="121"/>
      <c r="BG166" s="121"/>
      <c r="BH166" s="121"/>
      <c r="BI166" s="123"/>
      <c r="BJ166" s="121"/>
      <c r="BK166" s="121"/>
      <c r="BL166" s="121"/>
      <c r="BM166" s="121"/>
      <c r="BN166" s="122"/>
      <c r="BO166" s="121"/>
      <c r="BP166" s="121"/>
      <c r="BQ166" s="121"/>
      <c r="BR166" s="121"/>
      <c r="BS166" s="122"/>
      <c r="BT166" s="122"/>
      <c r="BU166" s="122"/>
      <c r="BV166" s="122"/>
      <c r="BW166" s="120"/>
    </row>
    <row r="167" spans="1:75" ht="15.75" customHeight="1" outlineLevel="2" x14ac:dyDescent="0.2">
      <c r="A167" s="124" t="s">
        <v>310</v>
      </c>
      <c r="B167" s="125"/>
      <c r="C167" s="126">
        <v>0</v>
      </c>
      <c r="D167" s="126">
        <v>0</v>
      </c>
      <c r="E167" s="126">
        <v>0</v>
      </c>
      <c r="F167" s="126">
        <v>0</v>
      </c>
      <c r="G167" s="127">
        <v>0</v>
      </c>
      <c r="H167" s="127">
        <v>0</v>
      </c>
      <c r="I167" s="127">
        <v>0</v>
      </c>
      <c r="J167" s="127">
        <v>0</v>
      </c>
      <c r="K167" s="128">
        <f t="shared" ref="K167:K168" si="513">SUM(G167,H167,I167,J167)</f>
        <v>0</v>
      </c>
      <c r="L167" s="127">
        <v>0</v>
      </c>
      <c r="M167" s="127">
        <v>0</v>
      </c>
      <c r="N167" s="127">
        <v>0</v>
      </c>
      <c r="O167" s="127">
        <v>0</v>
      </c>
      <c r="P167" s="128">
        <f>SUM(L167,M167,N167,O167)</f>
        <v>0</v>
      </c>
      <c r="Q167" s="127">
        <v>0</v>
      </c>
      <c r="R167" s="127">
        <v>0</v>
      </c>
      <c r="S167" s="127">
        <v>0</v>
      </c>
      <c r="T167" s="127">
        <v>0</v>
      </c>
      <c r="U167" s="128">
        <f t="shared" ref="U167:U168" si="514">SUM(Q167,R167,S167,T167)</f>
        <v>0</v>
      </c>
      <c r="V167" s="127">
        <v>0</v>
      </c>
      <c r="W167" s="127">
        <v>0</v>
      </c>
      <c r="X167" s="127">
        <v>0</v>
      </c>
      <c r="Y167" s="127">
        <v>0</v>
      </c>
      <c r="Z167" s="128">
        <f t="shared" ref="Z167:Z168" si="515">SUM(V167,W167,X167,Y167)</f>
        <v>0</v>
      </c>
      <c r="AA167" s="127">
        <v>0</v>
      </c>
      <c r="AB167" s="127">
        <v>0</v>
      </c>
      <c r="AC167" s="127">
        <v>0</v>
      </c>
      <c r="AD167" s="127">
        <v>1</v>
      </c>
      <c r="AE167" s="128">
        <f t="shared" ref="AE167:AE168" si="516">SUM(AA167,AB167,AC167,AD167)</f>
        <v>1</v>
      </c>
      <c r="AF167" s="127">
        <v>0</v>
      </c>
      <c r="AG167" s="127">
        <v>0</v>
      </c>
      <c r="AH167" s="127">
        <v>0</v>
      </c>
      <c r="AI167" s="127">
        <v>0</v>
      </c>
      <c r="AJ167" s="128">
        <f t="shared" ref="AJ167:AJ168" si="517">SUM(AF167,AG167,AH167,AI167)</f>
        <v>0</v>
      </c>
      <c r="AK167" s="127">
        <v>0</v>
      </c>
      <c r="AL167" s="127">
        <v>0</v>
      </c>
      <c r="AM167" s="127">
        <v>0</v>
      </c>
      <c r="AN167" s="154"/>
      <c r="AO167" s="128">
        <f t="shared" ref="AO167:AO168" si="518">SUM(AK167,AL167,AM167,AN167)</f>
        <v>0</v>
      </c>
      <c r="AP167" s="127">
        <v>0</v>
      </c>
      <c r="AQ167" s="154"/>
      <c r="AR167" s="154"/>
      <c r="AS167" s="154"/>
      <c r="AT167" s="130"/>
      <c r="AU167" s="154"/>
      <c r="AV167" s="154"/>
      <c r="AW167" s="154"/>
      <c r="AX167" s="154"/>
      <c r="AY167" s="130"/>
      <c r="AZ167" s="154"/>
      <c r="BA167" s="154"/>
      <c r="BB167" s="154"/>
      <c r="BC167" s="154"/>
      <c r="BD167" s="130"/>
      <c r="BE167" s="154"/>
      <c r="BF167" s="154"/>
      <c r="BG167" s="154"/>
      <c r="BH167" s="154"/>
      <c r="BI167" s="155"/>
      <c r="BJ167" s="154"/>
      <c r="BK167" s="154"/>
      <c r="BL167" s="154"/>
      <c r="BM167" s="154"/>
      <c r="BN167" s="130"/>
      <c r="BO167" s="154"/>
      <c r="BP167" s="154"/>
      <c r="BQ167" s="154"/>
      <c r="BR167" s="154"/>
      <c r="BS167" s="130"/>
      <c r="BT167" s="130"/>
      <c r="BU167" s="130"/>
      <c r="BV167" s="130"/>
      <c r="BW167" s="131"/>
    </row>
    <row r="168" spans="1:75" ht="15.75" customHeight="1" outlineLevel="2" x14ac:dyDescent="0.2">
      <c r="A168" s="124" t="s">
        <v>311</v>
      </c>
      <c r="B168" s="125"/>
      <c r="C168" s="126">
        <v>0</v>
      </c>
      <c r="D168" s="126">
        <v>0</v>
      </c>
      <c r="E168" s="126">
        <v>0</v>
      </c>
      <c r="F168" s="126">
        <v>0</v>
      </c>
      <c r="G168" s="127">
        <v>0</v>
      </c>
      <c r="H168" s="127">
        <v>0</v>
      </c>
      <c r="I168" s="127">
        <v>0</v>
      </c>
      <c r="J168" s="127">
        <v>0</v>
      </c>
      <c r="K168" s="128">
        <f t="shared" si="513"/>
        <v>0</v>
      </c>
      <c r="L168" s="127">
        <v>0</v>
      </c>
      <c r="M168" s="127">
        <v>0</v>
      </c>
      <c r="N168" s="127">
        <v>0</v>
      </c>
      <c r="O168" s="127">
        <v>0</v>
      </c>
      <c r="P168" s="128">
        <f>SUM(L168,M168,N168,O168)</f>
        <v>0</v>
      </c>
      <c r="Q168" s="127">
        <v>0</v>
      </c>
      <c r="R168" s="127">
        <v>0</v>
      </c>
      <c r="S168" s="127">
        <v>0</v>
      </c>
      <c r="T168" s="127">
        <v>0</v>
      </c>
      <c r="U168" s="128">
        <f t="shared" si="514"/>
        <v>0</v>
      </c>
      <c r="V168" s="127">
        <v>0</v>
      </c>
      <c r="W168" s="127">
        <v>0</v>
      </c>
      <c r="X168" s="127">
        <v>0</v>
      </c>
      <c r="Y168" s="127">
        <v>0</v>
      </c>
      <c r="Z168" s="128">
        <f t="shared" si="515"/>
        <v>0</v>
      </c>
      <c r="AA168" s="127">
        <v>0</v>
      </c>
      <c r="AB168" s="127">
        <v>0</v>
      </c>
      <c r="AC168" s="127">
        <v>0</v>
      </c>
      <c r="AD168" s="127">
        <v>0</v>
      </c>
      <c r="AE168" s="128">
        <f t="shared" si="516"/>
        <v>0</v>
      </c>
      <c r="AF168" s="127">
        <v>0</v>
      </c>
      <c r="AG168" s="127">
        <v>0</v>
      </c>
      <c r="AH168" s="127">
        <v>0</v>
      </c>
      <c r="AI168" s="131">
        <f>-(AI167-(AI169-AI166))</f>
        <v>0</v>
      </c>
      <c r="AJ168" s="128">
        <f t="shared" si="517"/>
        <v>0</v>
      </c>
      <c r="AK168" s="131">
        <f t="shared" ref="AK168:AL168" si="519">-(AK167-(AK169-AK166))</f>
        <v>0</v>
      </c>
      <c r="AL168" s="131">
        <f t="shared" si="519"/>
        <v>0</v>
      </c>
      <c r="AM168" s="127">
        <v>0</v>
      </c>
      <c r="AN168" s="131">
        <f>-(AN167-(AN169-AN166))</f>
        <v>-1</v>
      </c>
      <c r="AO168" s="128">
        <f t="shared" si="518"/>
        <v>-1</v>
      </c>
      <c r="AP168" s="131">
        <f>-(AP167-(AP169-AP166))</f>
        <v>0</v>
      </c>
      <c r="AQ168" s="154"/>
      <c r="AR168" s="154"/>
      <c r="AS168" s="154"/>
      <c r="AT168" s="130"/>
      <c r="AU168" s="154"/>
      <c r="AV168" s="154"/>
      <c r="AW168" s="154"/>
      <c r="AX168" s="154"/>
      <c r="AY168" s="130"/>
      <c r="AZ168" s="154"/>
      <c r="BA168" s="154"/>
      <c r="BB168" s="154"/>
      <c r="BC168" s="154"/>
      <c r="BD168" s="130"/>
      <c r="BE168" s="154"/>
      <c r="BF168" s="154"/>
      <c r="BG168" s="154"/>
      <c r="BH168" s="154"/>
      <c r="BI168" s="155"/>
      <c r="BJ168" s="154"/>
      <c r="BK168" s="154"/>
      <c r="BL168" s="154"/>
      <c r="BM168" s="154"/>
      <c r="BN168" s="130"/>
      <c r="BO168" s="154"/>
      <c r="BP168" s="154"/>
      <c r="BQ168" s="154"/>
      <c r="BR168" s="154"/>
      <c r="BS168" s="130"/>
      <c r="BT168" s="130"/>
      <c r="BU168" s="130"/>
      <c r="BV168" s="130"/>
      <c r="BW168" s="131"/>
    </row>
    <row r="169" spans="1:75" ht="15.75" customHeight="1" outlineLevel="2" x14ac:dyDescent="0.2">
      <c r="A169" s="140" t="s">
        <v>312</v>
      </c>
      <c r="B169" s="141"/>
      <c r="C169" s="205">
        <f t="shared" ref="C169:AH169" si="520">SUM(C166:C168)</f>
        <v>1</v>
      </c>
      <c r="D169" s="205">
        <f t="shared" si="520"/>
        <v>1</v>
      </c>
      <c r="E169" s="205">
        <f t="shared" si="520"/>
        <v>1</v>
      </c>
      <c r="F169" s="205">
        <f t="shared" si="520"/>
        <v>1</v>
      </c>
      <c r="G169" s="144">
        <f t="shared" si="520"/>
        <v>1</v>
      </c>
      <c r="H169" s="144">
        <f t="shared" si="520"/>
        <v>1</v>
      </c>
      <c r="I169" s="144">
        <f t="shared" si="520"/>
        <v>1</v>
      </c>
      <c r="J169" s="144">
        <f t="shared" si="520"/>
        <v>1</v>
      </c>
      <c r="K169" s="145">
        <f t="shared" si="520"/>
        <v>1</v>
      </c>
      <c r="L169" s="144">
        <f t="shared" si="520"/>
        <v>1</v>
      </c>
      <c r="M169" s="144">
        <f t="shared" si="520"/>
        <v>1</v>
      </c>
      <c r="N169" s="144">
        <f t="shared" si="520"/>
        <v>1</v>
      </c>
      <c r="O169" s="144">
        <f t="shared" si="520"/>
        <v>1</v>
      </c>
      <c r="P169" s="145">
        <f t="shared" si="520"/>
        <v>1</v>
      </c>
      <c r="Q169" s="144">
        <f t="shared" si="520"/>
        <v>1</v>
      </c>
      <c r="R169" s="144">
        <f t="shared" si="520"/>
        <v>1</v>
      </c>
      <c r="S169" s="144">
        <f t="shared" si="520"/>
        <v>1</v>
      </c>
      <c r="T169" s="144">
        <f t="shared" si="520"/>
        <v>1</v>
      </c>
      <c r="U169" s="145">
        <f t="shared" si="520"/>
        <v>1</v>
      </c>
      <c r="V169" s="144">
        <f t="shared" si="520"/>
        <v>1</v>
      </c>
      <c r="W169" s="144">
        <f t="shared" si="520"/>
        <v>1</v>
      </c>
      <c r="X169" s="144">
        <f t="shared" si="520"/>
        <v>1</v>
      </c>
      <c r="Y169" s="144">
        <f t="shared" si="520"/>
        <v>1</v>
      </c>
      <c r="Z169" s="145">
        <f t="shared" si="520"/>
        <v>1</v>
      </c>
      <c r="AA169" s="144">
        <f t="shared" si="520"/>
        <v>1</v>
      </c>
      <c r="AB169" s="144">
        <f t="shared" si="520"/>
        <v>1</v>
      </c>
      <c r="AC169" s="144">
        <f t="shared" si="520"/>
        <v>1</v>
      </c>
      <c r="AD169" s="144">
        <f t="shared" si="520"/>
        <v>2</v>
      </c>
      <c r="AE169" s="145">
        <f t="shared" si="520"/>
        <v>2</v>
      </c>
      <c r="AF169" s="144">
        <f t="shared" si="520"/>
        <v>2</v>
      </c>
      <c r="AG169" s="144">
        <f t="shared" si="520"/>
        <v>2</v>
      </c>
      <c r="AH169" s="144">
        <f t="shared" si="520"/>
        <v>2</v>
      </c>
      <c r="AI169" s="143">
        <v>2</v>
      </c>
      <c r="AJ169" s="145">
        <f>SUM(AJ166:AJ168)</f>
        <v>2</v>
      </c>
      <c r="AK169" s="143">
        <v>2</v>
      </c>
      <c r="AL169" s="143">
        <v>2</v>
      </c>
      <c r="AM169" s="143">
        <v>2</v>
      </c>
      <c r="AN169" s="143">
        <v>1</v>
      </c>
      <c r="AO169" s="145">
        <f>SUM(AO166:AO168)</f>
        <v>1</v>
      </c>
      <c r="AP169" s="143">
        <v>1</v>
      </c>
      <c r="AQ169" s="147"/>
      <c r="AR169" s="147"/>
      <c r="AS169" s="147"/>
      <c r="AT169" s="145"/>
      <c r="AU169" s="147"/>
      <c r="AV169" s="147"/>
      <c r="AW169" s="147"/>
      <c r="AX169" s="147"/>
      <c r="AY169" s="145"/>
      <c r="AZ169" s="147"/>
      <c r="BA169" s="147"/>
      <c r="BB169" s="147"/>
      <c r="BC169" s="147"/>
      <c r="BD169" s="145"/>
      <c r="BE169" s="147"/>
      <c r="BF169" s="147"/>
      <c r="BG169" s="147"/>
      <c r="BH169" s="147"/>
      <c r="BI169" s="146"/>
      <c r="BJ169" s="147"/>
      <c r="BK169" s="147"/>
      <c r="BL169" s="147"/>
      <c r="BM169" s="147"/>
      <c r="BN169" s="145"/>
      <c r="BO169" s="147"/>
      <c r="BP169" s="147"/>
      <c r="BQ169" s="147"/>
      <c r="BR169" s="147"/>
      <c r="BS169" s="145"/>
      <c r="BT169" s="145"/>
      <c r="BU169" s="145"/>
      <c r="BV169" s="145"/>
      <c r="BW169" s="120"/>
    </row>
    <row r="170" spans="1:75" ht="15.75" customHeight="1" outlineLevel="2" x14ac:dyDescent="0.2">
      <c r="A170" s="117"/>
      <c r="B170" s="117"/>
      <c r="C170" s="122"/>
      <c r="D170" s="122"/>
      <c r="E170" s="122"/>
      <c r="F170" s="122"/>
      <c r="G170" s="121"/>
      <c r="H170" s="121"/>
      <c r="I170" s="121"/>
      <c r="J170" s="121"/>
      <c r="K170" s="122"/>
      <c r="L170" s="121"/>
      <c r="M170" s="121"/>
      <c r="N170" s="121"/>
      <c r="O170" s="121"/>
      <c r="P170" s="122"/>
      <c r="Q170" s="121"/>
      <c r="R170" s="121"/>
      <c r="S170" s="121"/>
      <c r="T170" s="121"/>
      <c r="U170" s="122"/>
      <c r="V170" s="121"/>
      <c r="W170" s="121"/>
      <c r="X170" s="121"/>
      <c r="Y170" s="121"/>
      <c r="Z170" s="122"/>
      <c r="AA170" s="121"/>
      <c r="AB170" s="121"/>
      <c r="AC170" s="121"/>
      <c r="AD170" s="121"/>
      <c r="AE170" s="122"/>
      <c r="AF170" s="121"/>
      <c r="AG170" s="121"/>
      <c r="AH170" s="121"/>
      <c r="AI170" s="121"/>
      <c r="AJ170" s="122"/>
      <c r="AK170" s="121"/>
      <c r="AL170" s="121"/>
      <c r="AM170" s="121"/>
      <c r="AN170" s="121"/>
      <c r="AO170" s="122"/>
      <c r="AP170" s="121"/>
      <c r="AQ170" s="121"/>
      <c r="AR170" s="121"/>
      <c r="AS170" s="121"/>
      <c r="AT170" s="122"/>
      <c r="AU170" s="121"/>
      <c r="AV170" s="121"/>
      <c r="AW170" s="121"/>
      <c r="AX170" s="121"/>
      <c r="AY170" s="122"/>
      <c r="AZ170" s="121"/>
      <c r="BA170" s="121"/>
      <c r="BB170" s="121"/>
      <c r="BC170" s="121"/>
      <c r="BD170" s="122"/>
      <c r="BE170" s="121"/>
      <c r="BF170" s="121"/>
      <c r="BG170" s="121"/>
      <c r="BH170" s="121"/>
      <c r="BI170" s="123"/>
      <c r="BJ170" s="121"/>
      <c r="BK170" s="121"/>
      <c r="BL170" s="121"/>
      <c r="BM170" s="121"/>
      <c r="BN170" s="122"/>
      <c r="BO170" s="121"/>
      <c r="BP170" s="121"/>
      <c r="BQ170" s="121"/>
      <c r="BR170" s="121"/>
      <c r="BS170" s="122"/>
      <c r="BT170" s="122"/>
      <c r="BU170" s="122"/>
      <c r="BV170" s="122"/>
      <c r="BW170" s="120"/>
    </row>
    <row r="171" spans="1:75" ht="15.75" customHeight="1" outlineLevel="2" x14ac:dyDescent="0.2">
      <c r="A171" s="116" t="s">
        <v>313</v>
      </c>
      <c r="B171" s="117"/>
      <c r="C171" s="122"/>
      <c r="D171" s="122"/>
      <c r="E171" s="122"/>
      <c r="F171" s="122"/>
      <c r="G171" s="121"/>
      <c r="H171" s="121"/>
      <c r="I171" s="121"/>
      <c r="J171" s="121"/>
      <c r="K171" s="122"/>
      <c r="L171" s="121"/>
      <c r="M171" s="121"/>
      <c r="N171" s="121"/>
      <c r="O171" s="121"/>
      <c r="P171" s="122"/>
      <c r="Q171" s="121"/>
      <c r="R171" s="121"/>
      <c r="S171" s="121"/>
      <c r="T171" s="121"/>
      <c r="U171" s="122"/>
      <c r="V171" s="121"/>
      <c r="W171" s="121"/>
      <c r="X171" s="121"/>
      <c r="Y171" s="121"/>
      <c r="Z171" s="122"/>
      <c r="AA171" s="121"/>
      <c r="AB171" s="121"/>
      <c r="AC171" s="121"/>
      <c r="AD171" s="121"/>
      <c r="AE171" s="122"/>
      <c r="AF171" s="121"/>
      <c r="AG171" s="121"/>
      <c r="AH171" s="121"/>
      <c r="AI171" s="215">
        <v>0</v>
      </c>
      <c r="AJ171" s="118">
        <v>0</v>
      </c>
      <c r="AK171" s="120">
        <f t="shared" ref="AK171:AN171" si="521">AJ174</f>
        <v>1</v>
      </c>
      <c r="AL171" s="120">
        <f t="shared" si="521"/>
        <v>1</v>
      </c>
      <c r="AM171" s="120">
        <f t="shared" si="521"/>
        <v>1</v>
      </c>
      <c r="AN171" s="120">
        <f t="shared" si="521"/>
        <v>1</v>
      </c>
      <c r="AO171" s="122">
        <f>AJ174</f>
        <v>1</v>
      </c>
      <c r="AP171" s="120">
        <f>AO174</f>
        <v>1</v>
      </c>
      <c r="AQ171" s="121"/>
      <c r="AR171" s="121"/>
      <c r="AS171" s="121"/>
      <c r="AT171" s="122"/>
      <c r="AU171" s="121"/>
      <c r="AV171" s="121"/>
      <c r="AW171" s="121"/>
      <c r="AX171" s="121"/>
      <c r="AY171" s="122"/>
      <c r="AZ171" s="121"/>
      <c r="BA171" s="121"/>
      <c r="BB171" s="121"/>
      <c r="BC171" s="121"/>
      <c r="BD171" s="122"/>
      <c r="BE171" s="121"/>
      <c r="BF171" s="121"/>
      <c r="BG171" s="121"/>
      <c r="BH171" s="121"/>
      <c r="BI171" s="123"/>
      <c r="BJ171" s="121"/>
      <c r="BK171" s="121"/>
      <c r="BL171" s="121"/>
      <c r="BM171" s="121"/>
      <c r="BN171" s="122"/>
      <c r="BO171" s="121"/>
      <c r="BP171" s="121"/>
      <c r="BQ171" s="121"/>
      <c r="BR171" s="121"/>
      <c r="BS171" s="122"/>
      <c r="BT171" s="122"/>
      <c r="BU171" s="122"/>
      <c r="BV171" s="122"/>
      <c r="BW171" s="120"/>
    </row>
    <row r="172" spans="1:75" ht="15.75" customHeight="1" outlineLevel="2" x14ac:dyDescent="0.2">
      <c r="A172" s="124" t="s">
        <v>314</v>
      </c>
      <c r="B172" s="125"/>
      <c r="C172" s="130"/>
      <c r="D172" s="130"/>
      <c r="E172" s="130"/>
      <c r="F172" s="130"/>
      <c r="G172" s="154"/>
      <c r="H172" s="154"/>
      <c r="I172" s="154"/>
      <c r="J172" s="154"/>
      <c r="K172" s="130"/>
      <c r="L172" s="154"/>
      <c r="M172" s="154"/>
      <c r="N172" s="154"/>
      <c r="O172" s="154"/>
      <c r="P172" s="130"/>
      <c r="Q172" s="154"/>
      <c r="R172" s="154"/>
      <c r="S172" s="154"/>
      <c r="T172" s="154"/>
      <c r="U172" s="130"/>
      <c r="V172" s="154"/>
      <c r="W172" s="154"/>
      <c r="X172" s="154"/>
      <c r="Y172" s="154"/>
      <c r="Z172" s="130"/>
      <c r="AA172" s="154"/>
      <c r="AB172" s="154"/>
      <c r="AC172" s="154"/>
      <c r="AD172" s="154"/>
      <c r="AE172" s="130"/>
      <c r="AF172" s="154"/>
      <c r="AG172" s="154"/>
      <c r="AH172" s="154"/>
      <c r="AI172" s="127">
        <v>1</v>
      </c>
      <c r="AJ172" s="126">
        <v>1</v>
      </c>
      <c r="AK172" s="127">
        <v>0</v>
      </c>
      <c r="AL172" s="127">
        <v>0</v>
      </c>
      <c r="AM172" s="127">
        <v>0</v>
      </c>
      <c r="AN172" s="154"/>
      <c r="AO172" s="130"/>
      <c r="AP172" s="127">
        <v>0</v>
      </c>
      <c r="AQ172" s="154"/>
      <c r="AR172" s="154"/>
      <c r="AS172" s="154"/>
      <c r="AT172" s="130"/>
      <c r="AU172" s="154"/>
      <c r="AV172" s="154"/>
      <c r="AW172" s="154"/>
      <c r="AX172" s="154"/>
      <c r="AY172" s="130"/>
      <c r="AZ172" s="154"/>
      <c r="BA172" s="154"/>
      <c r="BB172" s="154"/>
      <c r="BC172" s="154"/>
      <c r="BD172" s="130"/>
      <c r="BE172" s="154"/>
      <c r="BF172" s="154"/>
      <c r="BG172" s="154"/>
      <c r="BH172" s="154"/>
      <c r="BI172" s="155"/>
      <c r="BJ172" s="154"/>
      <c r="BK172" s="154"/>
      <c r="BL172" s="154"/>
      <c r="BM172" s="154"/>
      <c r="BN172" s="130"/>
      <c r="BO172" s="154"/>
      <c r="BP172" s="154"/>
      <c r="BQ172" s="154"/>
      <c r="BR172" s="154"/>
      <c r="BS172" s="130"/>
      <c r="BT172" s="130"/>
      <c r="BU172" s="130"/>
      <c r="BV172" s="130"/>
      <c r="BW172" s="131"/>
    </row>
    <row r="173" spans="1:75" ht="15.75" customHeight="1" outlineLevel="2" x14ac:dyDescent="0.2">
      <c r="A173" s="124" t="s">
        <v>315</v>
      </c>
      <c r="B173" s="125"/>
      <c r="C173" s="130"/>
      <c r="D173" s="130"/>
      <c r="E173" s="130"/>
      <c r="F173" s="130"/>
      <c r="G173" s="154"/>
      <c r="H173" s="154"/>
      <c r="I173" s="154"/>
      <c r="J173" s="154"/>
      <c r="K173" s="130"/>
      <c r="L173" s="154"/>
      <c r="M173" s="154"/>
      <c r="N173" s="154"/>
      <c r="O173" s="154"/>
      <c r="P173" s="130"/>
      <c r="Q173" s="154"/>
      <c r="R173" s="154"/>
      <c r="S173" s="154"/>
      <c r="T173" s="154"/>
      <c r="U173" s="130"/>
      <c r="V173" s="154"/>
      <c r="W173" s="154"/>
      <c r="X173" s="154"/>
      <c r="Y173" s="154"/>
      <c r="Z173" s="130"/>
      <c r="AA173" s="154"/>
      <c r="AB173" s="154"/>
      <c r="AC173" s="154"/>
      <c r="AD173" s="154"/>
      <c r="AE173" s="130"/>
      <c r="AF173" s="154"/>
      <c r="AG173" s="154"/>
      <c r="AH173" s="154"/>
      <c r="AI173" s="131">
        <f t="shared" ref="AI173:AL173" si="522">-(AI172-(AI174-AI171))</f>
        <v>0</v>
      </c>
      <c r="AJ173" s="128">
        <f t="shared" si="522"/>
        <v>0</v>
      </c>
      <c r="AK173" s="131">
        <f t="shared" si="522"/>
        <v>0</v>
      </c>
      <c r="AL173" s="131">
        <f t="shared" si="522"/>
        <v>0</v>
      </c>
      <c r="AM173" s="127">
        <v>0</v>
      </c>
      <c r="AN173" s="131">
        <f t="shared" ref="AN173:AP173" si="523">-(AN172-(AN174-AN171))</f>
        <v>0</v>
      </c>
      <c r="AO173" s="128">
        <f t="shared" si="523"/>
        <v>0</v>
      </c>
      <c r="AP173" s="131">
        <f t="shared" si="523"/>
        <v>0</v>
      </c>
      <c r="AQ173" s="154"/>
      <c r="AR173" s="154"/>
      <c r="AS173" s="154"/>
      <c r="AT173" s="130"/>
      <c r="AU173" s="154"/>
      <c r="AV173" s="154"/>
      <c r="AW173" s="154"/>
      <c r="AX173" s="154"/>
      <c r="AY173" s="130"/>
      <c r="AZ173" s="154"/>
      <c r="BA173" s="154"/>
      <c r="BB173" s="154"/>
      <c r="BC173" s="154"/>
      <c r="BD173" s="130"/>
      <c r="BE173" s="154"/>
      <c r="BF173" s="154"/>
      <c r="BG173" s="154"/>
      <c r="BH173" s="154"/>
      <c r="BI173" s="155"/>
      <c r="BJ173" s="154"/>
      <c r="BK173" s="154"/>
      <c r="BL173" s="154"/>
      <c r="BM173" s="154"/>
      <c r="BN173" s="130"/>
      <c r="BO173" s="154"/>
      <c r="BP173" s="154"/>
      <c r="BQ173" s="154"/>
      <c r="BR173" s="154"/>
      <c r="BS173" s="130"/>
      <c r="BT173" s="130"/>
      <c r="BU173" s="130"/>
      <c r="BV173" s="130"/>
      <c r="BW173" s="131"/>
    </row>
    <row r="174" spans="1:75" ht="15.75" customHeight="1" outlineLevel="2" x14ac:dyDescent="0.2">
      <c r="A174" s="140" t="s">
        <v>316</v>
      </c>
      <c r="B174" s="141"/>
      <c r="C174" s="145"/>
      <c r="D174" s="145"/>
      <c r="E174" s="145"/>
      <c r="F174" s="145"/>
      <c r="G174" s="147"/>
      <c r="H174" s="147"/>
      <c r="I174" s="147"/>
      <c r="J174" s="147"/>
      <c r="K174" s="145"/>
      <c r="L174" s="147"/>
      <c r="M174" s="147"/>
      <c r="N174" s="147"/>
      <c r="O174" s="147"/>
      <c r="P174" s="145"/>
      <c r="Q174" s="147"/>
      <c r="R174" s="147"/>
      <c r="S174" s="147"/>
      <c r="T174" s="147"/>
      <c r="U174" s="145"/>
      <c r="V174" s="147"/>
      <c r="W174" s="147"/>
      <c r="X174" s="147"/>
      <c r="Y174" s="147"/>
      <c r="Z174" s="145"/>
      <c r="AA174" s="147"/>
      <c r="AB174" s="147"/>
      <c r="AC174" s="147"/>
      <c r="AD174" s="147"/>
      <c r="AE174" s="145"/>
      <c r="AF174" s="147"/>
      <c r="AG174" s="147"/>
      <c r="AH174" s="147"/>
      <c r="AI174" s="143">
        <v>1</v>
      </c>
      <c r="AJ174" s="142">
        <v>1</v>
      </c>
      <c r="AK174" s="143">
        <v>1</v>
      </c>
      <c r="AL174" s="143">
        <v>1</v>
      </c>
      <c r="AM174" s="143">
        <v>1</v>
      </c>
      <c r="AN174" s="143">
        <v>1</v>
      </c>
      <c r="AO174" s="145">
        <f>AN174</f>
        <v>1</v>
      </c>
      <c r="AP174" s="143">
        <v>1</v>
      </c>
      <c r="AQ174" s="147"/>
      <c r="AR174" s="147"/>
      <c r="AS174" s="147"/>
      <c r="AT174" s="145"/>
      <c r="AU174" s="147"/>
      <c r="AV174" s="147"/>
      <c r="AW174" s="147"/>
      <c r="AX174" s="147"/>
      <c r="AY174" s="145"/>
      <c r="AZ174" s="147"/>
      <c r="BA174" s="147"/>
      <c r="BB174" s="147"/>
      <c r="BC174" s="147"/>
      <c r="BD174" s="145"/>
      <c r="BE174" s="147"/>
      <c r="BF174" s="147"/>
      <c r="BG174" s="147"/>
      <c r="BH174" s="147"/>
      <c r="BI174" s="146"/>
      <c r="BJ174" s="147"/>
      <c r="BK174" s="147"/>
      <c r="BL174" s="147"/>
      <c r="BM174" s="147"/>
      <c r="BN174" s="145"/>
      <c r="BO174" s="147"/>
      <c r="BP174" s="147"/>
      <c r="BQ174" s="147"/>
      <c r="BR174" s="147"/>
      <c r="BS174" s="145"/>
      <c r="BT174" s="145"/>
      <c r="BU174" s="145"/>
      <c r="BV174" s="145"/>
      <c r="BW174" s="120"/>
    </row>
    <row r="175" spans="1:75" ht="15.75" customHeight="1" outlineLevel="2" x14ac:dyDescent="0.2">
      <c r="A175" s="117"/>
      <c r="B175" s="117"/>
      <c r="C175" s="122"/>
      <c r="D175" s="122"/>
      <c r="E175" s="122"/>
      <c r="F175" s="122"/>
      <c r="G175" s="121"/>
      <c r="H175" s="121"/>
      <c r="I175" s="121"/>
      <c r="J175" s="121"/>
      <c r="K175" s="122"/>
      <c r="L175" s="121"/>
      <c r="M175" s="121"/>
      <c r="N175" s="121"/>
      <c r="O175" s="121"/>
      <c r="P175" s="122"/>
      <c r="Q175" s="121"/>
      <c r="R175" s="121"/>
      <c r="S175" s="121"/>
      <c r="T175" s="121"/>
      <c r="U175" s="122"/>
      <c r="V175" s="121"/>
      <c r="W175" s="121"/>
      <c r="X175" s="121"/>
      <c r="Y175" s="121"/>
      <c r="Z175" s="122"/>
      <c r="AA175" s="121"/>
      <c r="AB175" s="121"/>
      <c r="AC175" s="121"/>
      <c r="AD175" s="121"/>
      <c r="AE175" s="122"/>
      <c r="AF175" s="121"/>
      <c r="AG175" s="121"/>
      <c r="AH175" s="121"/>
      <c r="AI175" s="121"/>
      <c r="AJ175" s="122"/>
      <c r="AK175" s="121"/>
      <c r="AL175" s="121"/>
      <c r="AM175" s="121"/>
      <c r="AN175" s="121"/>
      <c r="AO175" s="122"/>
      <c r="AP175" s="121"/>
      <c r="AQ175" s="121"/>
      <c r="AR175" s="121"/>
      <c r="AS175" s="121"/>
      <c r="AT175" s="122"/>
      <c r="AU175" s="121"/>
      <c r="AV175" s="121"/>
      <c r="AW175" s="121"/>
      <c r="AX175" s="121"/>
      <c r="AY175" s="122"/>
      <c r="AZ175" s="121"/>
      <c r="BA175" s="121"/>
      <c r="BB175" s="121"/>
      <c r="BC175" s="121"/>
      <c r="BD175" s="122"/>
      <c r="BE175" s="121"/>
      <c r="BF175" s="121"/>
      <c r="BG175" s="121"/>
      <c r="BH175" s="121"/>
      <c r="BI175" s="123"/>
      <c r="BJ175" s="121"/>
      <c r="BK175" s="121"/>
      <c r="BL175" s="121"/>
      <c r="BM175" s="121"/>
      <c r="BN175" s="122"/>
      <c r="BO175" s="121"/>
      <c r="BP175" s="121"/>
      <c r="BQ175" s="121"/>
      <c r="BR175" s="121"/>
      <c r="BS175" s="122"/>
      <c r="BT175" s="122"/>
      <c r="BU175" s="122"/>
      <c r="BV175" s="122"/>
      <c r="BW175" s="120"/>
    </row>
    <row r="176" spans="1:75" ht="15.75" customHeight="1" outlineLevel="2" x14ac:dyDescent="0.2">
      <c r="A176" s="116" t="s">
        <v>317</v>
      </c>
      <c r="B176" s="117"/>
      <c r="C176" s="122"/>
      <c r="D176" s="122"/>
      <c r="E176" s="122"/>
      <c r="F176" s="122"/>
      <c r="G176" s="121"/>
      <c r="H176" s="121"/>
      <c r="I176" s="121"/>
      <c r="J176" s="121"/>
      <c r="K176" s="122"/>
      <c r="L176" s="121"/>
      <c r="M176" s="121"/>
      <c r="N176" s="121"/>
      <c r="O176" s="121"/>
      <c r="P176" s="122"/>
      <c r="Q176" s="121"/>
      <c r="R176" s="121"/>
      <c r="S176" s="121"/>
      <c r="T176" s="121"/>
      <c r="U176" s="122"/>
      <c r="V176" s="121"/>
      <c r="W176" s="121"/>
      <c r="X176" s="121"/>
      <c r="Y176" s="121"/>
      <c r="Z176" s="122"/>
      <c r="AA176" s="121"/>
      <c r="AB176" s="121"/>
      <c r="AC176" s="121"/>
      <c r="AD176" s="121"/>
      <c r="AE176" s="122"/>
      <c r="AF176" s="121"/>
      <c r="AG176" s="121"/>
      <c r="AH176" s="121"/>
      <c r="AI176" s="121"/>
      <c r="AJ176" s="122"/>
      <c r="AK176" s="121"/>
      <c r="AL176" s="121"/>
      <c r="AM176" s="121"/>
      <c r="AN176" s="120">
        <f>AM179</f>
        <v>22</v>
      </c>
      <c r="AO176" s="122"/>
      <c r="AP176" s="120">
        <f>AO179</f>
        <v>24</v>
      </c>
      <c r="AQ176" s="121"/>
      <c r="AR176" s="121"/>
      <c r="AS176" s="121"/>
      <c r="AT176" s="122"/>
      <c r="AU176" s="121"/>
      <c r="AV176" s="121"/>
      <c r="AW176" s="121"/>
      <c r="AX176" s="121"/>
      <c r="AY176" s="122"/>
      <c r="AZ176" s="121"/>
      <c r="BA176" s="121"/>
      <c r="BB176" s="121"/>
      <c r="BC176" s="121"/>
      <c r="BD176" s="122"/>
      <c r="BE176" s="121"/>
      <c r="BF176" s="121"/>
      <c r="BG176" s="121"/>
      <c r="BH176" s="121"/>
      <c r="BI176" s="123"/>
      <c r="BJ176" s="121"/>
      <c r="BK176" s="121"/>
      <c r="BL176" s="121"/>
      <c r="BM176" s="121"/>
      <c r="BN176" s="122"/>
      <c r="BO176" s="121"/>
      <c r="BP176" s="121"/>
      <c r="BQ176" s="121"/>
      <c r="BR176" s="121"/>
      <c r="BS176" s="122"/>
      <c r="BT176" s="122"/>
      <c r="BU176" s="122"/>
      <c r="BV176" s="122"/>
      <c r="BW176" s="120"/>
    </row>
    <row r="177" spans="1:75" ht="15.75" customHeight="1" outlineLevel="2" x14ac:dyDescent="0.2">
      <c r="A177" s="124" t="s">
        <v>318</v>
      </c>
      <c r="B177" s="125"/>
      <c r="C177" s="130"/>
      <c r="D177" s="130"/>
      <c r="E177" s="130"/>
      <c r="F177" s="130"/>
      <c r="G177" s="154"/>
      <c r="H177" s="154"/>
      <c r="I177" s="154"/>
      <c r="J177" s="154"/>
      <c r="K177" s="130"/>
      <c r="L177" s="154"/>
      <c r="M177" s="154"/>
      <c r="N177" s="154"/>
      <c r="O177" s="154"/>
      <c r="P177" s="130"/>
      <c r="Q177" s="154"/>
      <c r="R177" s="154"/>
      <c r="S177" s="154"/>
      <c r="T177" s="154"/>
      <c r="U177" s="130"/>
      <c r="V177" s="154"/>
      <c r="W177" s="154"/>
      <c r="X177" s="154"/>
      <c r="Y177" s="154"/>
      <c r="Z177" s="130"/>
      <c r="AA177" s="154"/>
      <c r="AB177" s="154"/>
      <c r="AC177" s="154"/>
      <c r="AD177" s="154"/>
      <c r="AE177" s="130"/>
      <c r="AF177" s="154"/>
      <c r="AG177" s="154"/>
      <c r="AH177" s="154"/>
      <c r="AI177" s="154"/>
      <c r="AJ177" s="130"/>
      <c r="AK177" s="154"/>
      <c r="AL177" s="154"/>
      <c r="AM177" s="154"/>
      <c r="AN177" s="127">
        <v>2</v>
      </c>
      <c r="AO177" s="128">
        <f>AM179+AN177</f>
        <v>24</v>
      </c>
      <c r="AP177" s="127">
        <v>1</v>
      </c>
      <c r="AQ177" s="154"/>
      <c r="AR177" s="154"/>
      <c r="AS177" s="154"/>
      <c r="AT177" s="130"/>
      <c r="AU177" s="154"/>
      <c r="AV177" s="154"/>
      <c r="AW177" s="154"/>
      <c r="AX177" s="154"/>
      <c r="AY177" s="130"/>
      <c r="AZ177" s="154"/>
      <c r="BA177" s="154"/>
      <c r="BB177" s="154"/>
      <c r="BC177" s="154"/>
      <c r="BD177" s="130"/>
      <c r="BE177" s="154"/>
      <c r="BF177" s="154"/>
      <c r="BG177" s="154"/>
      <c r="BH177" s="154"/>
      <c r="BI177" s="155"/>
      <c r="BJ177" s="154"/>
      <c r="BK177" s="154"/>
      <c r="BL177" s="154"/>
      <c r="BM177" s="154"/>
      <c r="BN177" s="130"/>
      <c r="BO177" s="154"/>
      <c r="BP177" s="154"/>
      <c r="BQ177" s="154"/>
      <c r="BR177" s="154"/>
      <c r="BS177" s="130"/>
      <c r="BT177" s="130"/>
      <c r="BU177" s="130"/>
      <c r="BV177" s="130"/>
      <c r="BW177" s="131"/>
    </row>
    <row r="178" spans="1:75" ht="15.75" customHeight="1" outlineLevel="2" x14ac:dyDescent="0.2">
      <c r="A178" s="124" t="s">
        <v>319</v>
      </c>
      <c r="B178" s="125"/>
      <c r="C178" s="130"/>
      <c r="D178" s="130"/>
      <c r="E178" s="130"/>
      <c r="F178" s="130"/>
      <c r="G178" s="154"/>
      <c r="H178" s="154"/>
      <c r="I178" s="154"/>
      <c r="J178" s="154"/>
      <c r="K178" s="130"/>
      <c r="L178" s="154"/>
      <c r="M178" s="154"/>
      <c r="N178" s="154"/>
      <c r="O178" s="154"/>
      <c r="P178" s="130"/>
      <c r="Q178" s="154"/>
      <c r="R178" s="154"/>
      <c r="S178" s="154"/>
      <c r="T178" s="154"/>
      <c r="U178" s="130"/>
      <c r="V178" s="154"/>
      <c r="W178" s="154"/>
      <c r="X178" s="154"/>
      <c r="Y178" s="154"/>
      <c r="Z178" s="130"/>
      <c r="AA178" s="154"/>
      <c r="AB178" s="154"/>
      <c r="AC178" s="154"/>
      <c r="AD178" s="154"/>
      <c r="AE178" s="130"/>
      <c r="AF178" s="154"/>
      <c r="AG178" s="154"/>
      <c r="AH178" s="154"/>
      <c r="AI178" s="154"/>
      <c r="AJ178" s="130"/>
      <c r="AK178" s="154"/>
      <c r="AL178" s="154"/>
      <c r="AM178" s="154"/>
      <c r="AN178" s="127">
        <v>0</v>
      </c>
      <c r="AO178" s="130"/>
      <c r="AP178" s="127">
        <v>0</v>
      </c>
      <c r="AQ178" s="154"/>
      <c r="AR178" s="154"/>
      <c r="AS178" s="154"/>
      <c r="AT178" s="130"/>
      <c r="AU178" s="154"/>
      <c r="AV178" s="154"/>
      <c r="AW178" s="154"/>
      <c r="AX178" s="154"/>
      <c r="AY178" s="130"/>
      <c r="AZ178" s="154"/>
      <c r="BA178" s="154"/>
      <c r="BB178" s="154"/>
      <c r="BC178" s="154"/>
      <c r="BD178" s="130"/>
      <c r="BE178" s="154"/>
      <c r="BF178" s="154"/>
      <c r="BG178" s="154"/>
      <c r="BH178" s="154"/>
      <c r="BI178" s="155"/>
      <c r="BJ178" s="154"/>
      <c r="BK178" s="154"/>
      <c r="BL178" s="154"/>
      <c r="BM178" s="154"/>
      <c r="BN178" s="130"/>
      <c r="BO178" s="154"/>
      <c r="BP178" s="154"/>
      <c r="BQ178" s="154"/>
      <c r="BR178" s="154"/>
      <c r="BS178" s="130"/>
      <c r="BT178" s="130"/>
      <c r="BU178" s="130"/>
      <c r="BV178" s="130"/>
      <c r="BW178" s="131"/>
    </row>
    <row r="179" spans="1:75" ht="15.75" customHeight="1" outlineLevel="2" x14ac:dyDescent="0.2">
      <c r="A179" s="140" t="s">
        <v>320</v>
      </c>
      <c r="B179" s="141"/>
      <c r="C179" s="145"/>
      <c r="D179" s="145"/>
      <c r="E179" s="145"/>
      <c r="F179" s="145"/>
      <c r="G179" s="147"/>
      <c r="H179" s="147"/>
      <c r="I179" s="147"/>
      <c r="J179" s="147"/>
      <c r="K179" s="145"/>
      <c r="L179" s="147"/>
      <c r="M179" s="147"/>
      <c r="N179" s="147"/>
      <c r="O179" s="147"/>
      <c r="P179" s="145"/>
      <c r="Q179" s="147"/>
      <c r="R179" s="147"/>
      <c r="S179" s="147"/>
      <c r="T179" s="147"/>
      <c r="U179" s="145"/>
      <c r="V179" s="147"/>
      <c r="W179" s="147"/>
      <c r="X179" s="147"/>
      <c r="Y179" s="147"/>
      <c r="Z179" s="145"/>
      <c r="AA179" s="147"/>
      <c r="AB179" s="147"/>
      <c r="AC179" s="147"/>
      <c r="AD179" s="147"/>
      <c r="AE179" s="145"/>
      <c r="AF179" s="147"/>
      <c r="AG179" s="147"/>
      <c r="AH179" s="147"/>
      <c r="AI179" s="147"/>
      <c r="AJ179" s="145"/>
      <c r="AK179" s="147"/>
      <c r="AL179" s="147"/>
      <c r="AM179" s="143">
        <v>22</v>
      </c>
      <c r="AN179" s="143">
        <v>24</v>
      </c>
      <c r="AO179" s="145">
        <f>AN179</f>
        <v>24</v>
      </c>
      <c r="AP179" s="143">
        <v>25</v>
      </c>
      <c r="AQ179" s="147"/>
      <c r="AR179" s="147"/>
      <c r="AS179" s="147"/>
      <c r="AT179" s="145"/>
      <c r="AU179" s="147"/>
      <c r="AV179" s="147"/>
      <c r="AW179" s="147"/>
      <c r="AX179" s="147"/>
      <c r="AY179" s="145"/>
      <c r="AZ179" s="147"/>
      <c r="BA179" s="147"/>
      <c r="BB179" s="147"/>
      <c r="BC179" s="147"/>
      <c r="BD179" s="145"/>
      <c r="BE179" s="147"/>
      <c r="BF179" s="147"/>
      <c r="BG179" s="147"/>
      <c r="BH179" s="147"/>
      <c r="BI179" s="146"/>
      <c r="BJ179" s="147"/>
      <c r="BK179" s="147"/>
      <c r="BL179" s="147"/>
      <c r="BM179" s="147"/>
      <c r="BN179" s="145"/>
      <c r="BO179" s="147"/>
      <c r="BP179" s="147"/>
      <c r="BQ179" s="147"/>
      <c r="BR179" s="147"/>
      <c r="BS179" s="145"/>
      <c r="BT179" s="145"/>
      <c r="BU179" s="145"/>
      <c r="BV179" s="145"/>
      <c r="BW179" s="120"/>
    </row>
    <row r="180" spans="1:75" ht="15.75" customHeight="1" outlineLevel="2" x14ac:dyDescent="0.2">
      <c r="A180" s="117"/>
      <c r="B180" s="117"/>
      <c r="C180" s="122"/>
      <c r="D180" s="122"/>
      <c r="E180" s="122"/>
      <c r="F180" s="122"/>
      <c r="G180" s="121"/>
      <c r="H180" s="121"/>
      <c r="I180" s="121"/>
      <c r="J180" s="121"/>
      <c r="K180" s="122"/>
      <c r="L180" s="121"/>
      <c r="M180" s="121"/>
      <c r="N180" s="121"/>
      <c r="O180" s="121"/>
      <c r="P180" s="122"/>
      <c r="Q180" s="121"/>
      <c r="R180" s="121"/>
      <c r="S180" s="121"/>
      <c r="T180" s="121"/>
      <c r="U180" s="122"/>
      <c r="V180" s="121"/>
      <c r="W180" s="121"/>
      <c r="X180" s="121"/>
      <c r="Y180" s="121"/>
      <c r="Z180" s="122"/>
      <c r="AA180" s="121"/>
      <c r="AB180" s="121"/>
      <c r="AC180" s="121"/>
      <c r="AD180" s="121"/>
      <c r="AE180" s="122"/>
      <c r="AF180" s="121"/>
      <c r="AG180" s="121"/>
      <c r="AH180" s="121"/>
      <c r="AI180" s="121"/>
      <c r="AJ180" s="122"/>
      <c r="AK180" s="121"/>
      <c r="AL180" s="121"/>
      <c r="AM180" s="121"/>
      <c r="AN180" s="121"/>
      <c r="AO180" s="122"/>
      <c r="AP180" s="121"/>
      <c r="AQ180" s="121"/>
      <c r="AR180" s="121"/>
      <c r="AS180" s="121"/>
      <c r="AT180" s="122"/>
      <c r="AU180" s="121"/>
      <c r="AV180" s="121"/>
      <c r="AW180" s="121"/>
      <c r="AX180" s="121"/>
      <c r="AY180" s="122"/>
      <c r="AZ180" s="121"/>
      <c r="BA180" s="121"/>
      <c r="BB180" s="121"/>
      <c r="BC180" s="121"/>
      <c r="BD180" s="122"/>
      <c r="BE180" s="121"/>
      <c r="BF180" s="121"/>
      <c r="BG180" s="121"/>
      <c r="BH180" s="121"/>
      <c r="BI180" s="123"/>
      <c r="BJ180" s="121"/>
      <c r="BK180" s="121"/>
      <c r="BL180" s="121"/>
      <c r="BM180" s="121"/>
      <c r="BN180" s="122"/>
      <c r="BO180" s="121"/>
      <c r="BP180" s="121"/>
      <c r="BQ180" s="121"/>
      <c r="BR180" s="121"/>
      <c r="BS180" s="122"/>
      <c r="BT180" s="122"/>
      <c r="BU180" s="122"/>
      <c r="BV180" s="122"/>
      <c r="BW180" s="120"/>
    </row>
    <row r="181" spans="1:75" ht="15.75" customHeight="1" outlineLevel="1" x14ac:dyDescent="0.2">
      <c r="A181" s="116" t="s">
        <v>321</v>
      </c>
      <c r="B181" s="117"/>
      <c r="C181" s="119">
        <f t="shared" ref="C181:AL183" si="524">C161+C166+C171</f>
        <v>14</v>
      </c>
      <c r="D181" s="119">
        <f t="shared" si="524"/>
        <v>14</v>
      </c>
      <c r="E181" s="119">
        <f t="shared" si="524"/>
        <v>14</v>
      </c>
      <c r="F181" s="119">
        <f t="shared" si="524"/>
        <v>14</v>
      </c>
      <c r="G181" s="120">
        <f t="shared" si="524"/>
        <v>15</v>
      </c>
      <c r="H181" s="120">
        <f t="shared" si="524"/>
        <v>12</v>
      </c>
      <c r="I181" s="120">
        <f t="shared" si="524"/>
        <v>12</v>
      </c>
      <c r="J181" s="120">
        <f t="shared" si="524"/>
        <v>12</v>
      </c>
      <c r="K181" s="119">
        <f t="shared" si="524"/>
        <v>15</v>
      </c>
      <c r="L181" s="120">
        <f t="shared" si="524"/>
        <v>12</v>
      </c>
      <c r="M181" s="120">
        <f t="shared" si="524"/>
        <v>12</v>
      </c>
      <c r="N181" s="120">
        <f t="shared" si="524"/>
        <v>12</v>
      </c>
      <c r="O181" s="120">
        <f t="shared" si="524"/>
        <v>12</v>
      </c>
      <c r="P181" s="119">
        <f t="shared" si="524"/>
        <v>12</v>
      </c>
      <c r="Q181" s="120">
        <f t="shared" si="524"/>
        <v>12</v>
      </c>
      <c r="R181" s="120">
        <f t="shared" si="524"/>
        <v>12</v>
      </c>
      <c r="S181" s="120">
        <f t="shared" si="524"/>
        <v>13</v>
      </c>
      <c r="T181" s="120">
        <f t="shared" si="524"/>
        <v>13</v>
      </c>
      <c r="U181" s="119">
        <f t="shared" si="524"/>
        <v>12</v>
      </c>
      <c r="V181" s="120">
        <f t="shared" si="524"/>
        <v>13</v>
      </c>
      <c r="W181" s="120">
        <f t="shared" si="524"/>
        <v>13</v>
      </c>
      <c r="X181" s="120">
        <f t="shared" si="524"/>
        <v>13</v>
      </c>
      <c r="Y181" s="120">
        <f t="shared" si="524"/>
        <v>13</v>
      </c>
      <c r="Z181" s="119">
        <f t="shared" si="524"/>
        <v>13</v>
      </c>
      <c r="AA181" s="120">
        <f t="shared" si="524"/>
        <v>14</v>
      </c>
      <c r="AB181" s="120">
        <f t="shared" si="524"/>
        <v>14</v>
      </c>
      <c r="AC181" s="120">
        <f t="shared" si="524"/>
        <v>14</v>
      </c>
      <c r="AD181" s="120">
        <f t="shared" si="524"/>
        <v>14</v>
      </c>
      <c r="AE181" s="119">
        <f t="shared" si="524"/>
        <v>14</v>
      </c>
      <c r="AF181" s="120">
        <f t="shared" si="524"/>
        <v>15</v>
      </c>
      <c r="AG181" s="120">
        <f t="shared" si="524"/>
        <v>15</v>
      </c>
      <c r="AH181" s="120">
        <f t="shared" si="524"/>
        <v>15</v>
      </c>
      <c r="AI181" s="120">
        <f t="shared" si="524"/>
        <v>16</v>
      </c>
      <c r="AJ181" s="119">
        <f t="shared" si="524"/>
        <v>15</v>
      </c>
      <c r="AK181" s="120">
        <f t="shared" si="524"/>
        <v>17</v>
      </c>
      <c r="AL181" s="120">
        <f t="shared" si="524"/>
        <v>17</v>
      </c>
      <c r="AM181" s="120">
        <f t="shared" ref="AM181:AQ183" si="525">AM161+AM166+AM171+AM176</f>
        <v>17</v>
      </c>
      <c r="AN181" s="120">
        <f t="shared" si="525"/>
        <v>39</v>
      </c>
      <c r="AO181" s="119">
        <f t="shared" si="525"/>
        <v>17</v>
      </c>
      <c r="AP181" s="120">
        <f t="shared" ref="AP181:AS181" si="526">AO184</f>
        <v>39</v>
      </c>
      <c r="AQ181" s="120">
        <f t="shared" si="526"/>
        <v>40</v>
      </c>
      <c r="AR181" s="120">
        <f t="shared" si="526"/>
        <v>40</v>
      </c>
      <c r="AS181" s="120">
        <f t="shared" si="526"/>
        <v>41</v>
      </c>
      <c r="AT181" s="119">
        <f>AO184</f>
        <v>39</v>
      </c>
      <c r="AU181" s="120">
        <f t="shared" ref="AU181:AX181" si="527">AT184</f>
        <v>39</v>
      </c>
      <c r="AV181" s="120">
        <f t="shared" si="527"/>
        <v>38</v>
      </c>
      <c r="AW181" s="120">
        <f t="shared" si="527"/>
        <v>39</v>
      </c>
      <c r="AX181" s="120">
        <f t="shared" si="527"/>
        <v>40</v>
      </c>
      <c r="AY181" s="119">
        <f>AT184</f>
        <v>39</v>
      </c>
      <c r="AZ181" s="120">
        <f t="shared" ref="AZ181:BC181" si="528">AY184</f>
        <v>40</v>
      </c>
      <c r="BA181" s="120">
        <f t="shared" si="528"/>
        <v>38</v>
      </c>
      <c r="BB181" s="120">
        <f t="shared" si="528"/>
        <v>39</v>
      </c>
      <c r="BC181" s="120">
        <f t="shared" si="528"/>
        <v>39</v>
      </c>
      <c r="BD181" s="119">
        <f>AY184</f>
        <v>40</v>
      </c>
      <c r="BE181" s="120">
        <f t="shared" ref="BE181:BH181" si="529">BD184</f>
        <v>40</v>
      </c>
      <c r="BF181" s="120">
        <f t="shared" si="529"/>
        <v>40</v>
      </c>
      <c r="BG181" s="120">
        <f t="shared" si="529"/>
        <v>40</v>
      </c>
      <c r="BH181" s="120">
        <f t="shared" si="529"/>
        <v>40</v>
      </c>
      <c r="BI181" s="208">
        <f>BD184</f>
        <v>40</v>
      </c>
      <c r="BJ181" s="121">
        <f t="shared" ref="BJ181:BM181" si="530">BI184</f>
        <v>39</v>
      </c>
      <c r="BK181" s="121">
        <f t="shared" si="530"/>
        <v>41</v>
      </c>
      <c r="BL181" s="121">
        <f t="shared" si="530"/>
        <v>43</v>
      </c>
      <c r="BM181" s="121">
        <f t="shared" si="530"/>
        <v>44</v>
      </c>
      <c r="BN181" s="122">
        <f>BI186</f>
        <v>39.875</v>
      </c>
      <c r="BO181" s="121">
        <f t="shared" ref="BO181:BR181" si="531">BN184</f>
        <v>45.875</v>
      </c>
      <c r="BP181" s="121">
        <f t="shared" si="531"/>
        <v>45.875</v>
      </c>
      <c r="BQ181" s="121">
        <f t="shared" si="531"/>
        <v>45.875</v>
      </c>
      <c r="BR181" s="121">
        <f t="shared" si="531"/>
        <v>45.875</v>
      </c>
      <c r="BS181" s="122">
        <f>BN186</f>
        <v>42.5</v>
      </c>
      <c r="BT181" s="122">
        <f t="shared" ref="BT181:BV181" si="532">BS184</f>
        <v>42.5</v>
      </c>
      <c r="BU181" s="122">
        <f t="shared" si="532"/>
        <v>42.5</v>
      </c>
      <c r="BV181" s="122">
        <f t="shared" si="532"/>
        <v>42.5</v>
      </c>
      <c r="BW181" s="120"/>
    </row>
    <row r="182" spans="1:75" ht="15.75" customHeight="1" outlineLevel="1" x14ac:dyDescent="0.2">
      <c r="A182" s="125" t="s">
        <v>322</v>
      </c>
      <c r="B182" s="125"/>
      <c r="C182" s="130">
        <f t="shared" si="524"/>
        <v>0</v>
      </c>
      <c r="D182" s="130">
        <f t="shared" si="524"/>
        <v>0</v>
      </c>
      <c r="E182" s="130">
        <f t="shared" si="524"/>
        <v>0</v>
      </c>
      <c r="F182" s="130">
        <f t="shared" si="524"/>
        <v>1</v>
      </c>
      <c r="G182" s="154">
        <f t="shared" si="524"/>
        <v>0</v>
      </c>
      <c r="H182" s="154">
        <f t="shared" si="524"/>
        <v>0</v>
      </c>
      <c r="I182" s="154">
        <f t="shared" si="524"/>
        <v>0</v>
      </c>
      <c r="J182" s="154">
        <f t="shared" si="524"/>
        <v>0</v>
      </c>
      <c r="K182" s="130">
        <f t="shared" si="524"/>
        <v>0</v>
      </c>
      <c r="L182" s="154">
        <f t="shared" si="524"/>
        <v>0</v>
      </c>
      <c r="M182" s="154">
        <f t="shared" si="524"/>
        <v>0</v>
      </c>
      <c r="N182" s="154">
        <f t="shared" si="524"/>
        <v>0</v>
      </c>
      <c r="O182" s="154">
        <f t="shared" si="524"/>
        <v>0</v>
      </c>
      <c r="P182" s="130">
        <f t="shared" si="524"/>
        <v>0</v>
      </c>
      <c r="Q182" s="154">
        <f t="shared" si="524"/>
        <v>0</v>
      </c>
      <c r="R182" s="154">
        <f t="shared" si="524"/>
        <v>1</v>
      </c>
      <c r="S182" s="154">
        <f t="shared" si="524"/>
        <v>0</v>
      </c>
      <c r="T182" s="154">
        <f t="shared" si="524"/>
        <v>0</v>
      </c>
      <c r="U182" s="130">
        <f t="shared" si="524"/>
        <v>1</v>
      </c>
      <c r="V182" s="154">
        <f t="shared" si="524"/>
        <v>0</v>
      </c>
      <c r="W182" s="154">
        <f t="shared" si="524"/>
        <v>0</v>
      </c>
      <c r="X182" s="154">
        <f t="shared" si="524"/>
        <v>0</v>
      </c>
      <c r="Y182" s="154">
        <f t="shared" si="524"/>
        <v>1</v>
      </c>
      <c r="Z182" s="130">
        <f t="shared" si="524"/>
        <v>1</v>
      </c>
      <c r="AA182" s="154">
        <f t="shared" si="524"/>
        <v>0</v>
      </c>
      <c r="AB182" s="154">
        <f t="shared" si="524"/>
        <v>0</v>
      </c>
      <c r="AC182" s="154">
        <f t="shared" si="524"/>
        <v>0</v>
      </c>
      <c r="AD182" s="154">
        <f t="shared" si="524"/>
        <v>1</v>
      </c>
      <c r="AE182" s="130">
        <f t="shared" si="524"/>
        <v>1</v>
      </c>
      <c r="AF182" s="154">
        <f t="shared" si="524"/>
        <v>0</v>
      </c>
      <c r="AG182" s="154">
        <f t="shared" si="524"/>
        <v>0</v>
      </c>
      <c r="AH182" s="154">
        <f t="shared" si="524"/>
        <v>1</v>
      </c>
      <c r="AI182" s="154">
        <f t="shared" si="524"/>
        <v>1</v>
      </c>
      <c r="AJ182" s="130">
        <f t="shared" si="524"/>
        <v>2</v>
      </c>
      <c r="AK182" s="154">
        <f t="shared" si="524"/>
        <v>0</v>
      </c>
      <c r="AL182" s="154">
        <f t="shared" si="524"/>
        <v>0</v>
      </c>
      <c r="AM182" s="154">
        <f t="shared" si="525"/>
        <v>0</v>
      </c>
      <c r="AN182" s="154">
        <f t="shared" si="525"/>
        <v>2</v>
      </c>
      <c r="AO182" s="130">
        <f t="shared" si="525"/>
        <v>24</v>
      </c>
      <c r="AP182" s="131">
        <f t="shared" si="525"/>
        <v>1</v>
      </c>
      <c r="AQ182" s="154">
        <f t="shared" si="525"/>
        <v>0</v>
      </c>
      <c r="AR182" s="127">
        <v>2</v>
      </c>
      <c r="AS182" s="127">
        <v>0</v>
      </c>
      <c r="AT182" s="130">
        <f t="shared" ref="AT182:AT183" si="533">SUM(AP182,AQ182,AR182,AS182)</f>
        <v>3</v>
      </c>
      <c r="AU182" s="127">
        <v>0</v>
      </c>
      <c r="AV182" s="127">
        <v>1</v>
      </c>
      <c r="AW182" s="127">
        <v>1</v>
      </c>
      <c r="AX182" s="127">
        <v>0</v>
      </c>
      <c r="AY182" s="130">
        <f t="shared" ref="AY182:AY183" si="534">SUM(AU182,AV182,AW182,AX182)</f>
        <v>2</v>
      </c>
      <c r="AZ182" s="127">
        <v>0</v>
      </c>
      <c r="BA182" s="127">
        <v>1</v>
      </c>
      <c r="BB182" s="127">
        <v>0</v>
      </c>
      <c r="BC182" s="127">
        <v>2</v>
      </c>
      <c r="BD182" s="130">
        <f t="shared" ref="BD182:BD183" si="535">SUM(AZ182,BA182,BB182,BC182)</f>
        <v>3</v>
      </c>
      <c r="BE182" s="127">
        <v>1</v>
      </c>
      <c r="BF182" s="127">
        <v>0</v>
      </c>
      <c r="BG182" s="127">
        <v>0</v>
      </c>
      <c r="BH182" s="127">
        <v>0</v>
      </c>
      <c r="BI182" s="155">
        <f t="shared" ref="BI182:BI183" si="536">SUM(BE182,BF182,BG182,BH182)</f>
        <v>1</v>
      </c>
      <c r="BJ182" s="127">
        <v>2</v>
      </c>
      <c r="BK182" s="127">
        <v>2</v>
      </c>
      <c r="BL182" s="127">
        <v>1</v>
      </c>
      <c r="BM182" s="127">
        <v>1</v>
      </c>
      <c r="BN182" s="130">
        <f t="shared" ref="BN182:BN183" si="537">SUM(BJ182,BK182,BL182,BM182)</f>
        <v>6</v>
      </c>
      <c r="BO182" s="127">
        <v>0</v>
      </c>
      <c r="BP182" s="127">
        <v>0</v>
      </c>
      <c r="BQ182" s="127">
        <v>0</v>
      </c>
      <c r="BR182" s="127">
        <v>0</v>
      </c>
      <c r="BS182" s="130">
        <f t="shared" ref="BS182:BS183" si="538">SUM(BO182,BP182,BQ182,BR182)</f>
        <v>0</v>
      </c>
      <c r="BT182" s="126">
        <v>0</v>
      </c>
      <c r="BU182" s="126">
        <v>0</v>
      </c>
      <c r="BV182" s="126">
        <v>0</v>
      </c>
      <c r="BW182" s="131"/>
    </row>
    <row r="183" spans="1:75" ht="15.75" customHeight="1" outlineLevel="1" x14ac:dyDescent="0.2">
      <c r="A183" s="125" t="s">
        <v>323</v>
      </c>
      <c r="B183" s="125"/>
      <c r="C183" s="130">
        <f t="shared" si="524"/>
        <v>0</v>
      </c>
      <c r="D183" s="130">
        <f t="shared" si="524"/>
        <v>0</v>
      </c>
      <c r="E183" s="130">
        <f t="shared" si="524"/>
        <v>0</v>
      </c>
      <c r="F183" s="130">
        <f t="shared" si="524"/>
        <v>0</v>
      </c>
      <c r="G183" s="154">
        <f t="shared" si="524"/>
        <v>-3</v>
      </c>
      <c r="H183" s="154">
        <f t="shared" si="524"/>
        <v>0</v>
      </c>
      <c r="I183" s="154">
        <f t="shared" si="524"/>
        <v>0</v>
      </c>
      <c r="J183" s="154">
        <f t="shared" si="524"/>
        <v>0</v>
      </c>
      <c r="K183" s="130">
        <f t="shared" si="524"/>
        <v>-3</v>
      </c>
      <c r="L183" s="154">
        <f t="shared" si="524"/>
        <v>0</v>
      </c>
      <c r="M183" s="154">
        <f t="shared" si="524"/>
        <v>0</v>
      </c>
      <c r="N183" s="154">
        <f t="shared" si="524"/>
        <v>0</v>
      </c>
      <c r="O183" s="154">
        <f t="shared" si="524"/>
        <v>0</v>
      </c>
      <c r="P183" s="130">
        <f t="shared" si="524"/>
        <v>0</v>
      </c>
      <c r="Q183" s="154">
        <f t="shared" si="524"/>
        <v>0</v>
      </c>
      <c r="R183" s="154">
        <f t="shared" si="524"/>
        <v>0</v>
      </c>
      <c r="S183" s="154">
        <f t="shared" si="524"/>
        <v>0</v>
      </c>
      <c r="T183" s="154">
        <f t="shared" si="524"/>
        <v>0</v>
      </c>
      <c r="U183" s="130">
        <f t="shared" si="524"/>
        <v>0</v>
      </c>
      <c r="V183" s="154">
        <f t="shared" si="524"/>
        <v>0</v>
      </c>
      <c r="W183" s="154">
        <f t="shared" si="524"/>
        <v>0</v>
      </c>
      <c r="X183" s="154">
        <f t="shared" si="524"/>
        <v>0</v>
      </c>
      <c r="Y183" s="154">
        <f t="shared" si="524"/>
        <v>0</v>
      </c>
      <c r="Z183" s="130">
        <f t="shared" si="524"/>
        <v>0</v>
      </c>
      <c r="AA183" s="154">
        <f t="shared" si="524"/>
        <v>0</v>
      </c>
      <c r="AB183" s="154">
        <f t="shared" si="524"/>
        <v>0</v>
      </c>
      <c r="AC183" s="154">
        <f t="shared" si="524"/>
        <v>0</v>
      </c>
      <c r="AD183" s="154">
        <f t="shared" si="524"/>
        <v>0</v>
      </c>
      <c r="AE183" s="130">
        <f t="shared" si="524"/>
        <v>0</v>
      </c>
      <c r="AF183" s="154">
        <f t="shared" si="524"/>
        <v>0</v>
      </c>
      <c r="AG183" s="154">
        <f t="shared" si="524"/>
        <v>0</v>
      </c>
      <c r="AH183" s="154">
        <f t="shared" si="524"/>
        <v>0</v>
      </c>
      <c r="AI183" s="154">
        <f t="shared" si="524"/>
        <v>0</v>
      </c>
      <c r="AJ183" s="130">
        <f t="shared" si="524"/>
        <v>0</v>
      </c>
      <c r="AK183" s="154">
        <f t="shared" si="524"/>
        <v>0</v>
      </c>
      <c r="AL183" s="154">
        <f t="shared" si="524"/>
        <v>0</v>
      </c>
      <c r="AM183" s="154">
        <f t="shared" si="525"/>
        <v>0</v>
      </c>
      <c r="AN183" s="154">
        <f t="shared" si="525"/>
        <v>-2</v>
      </c>
      <c r="AO183" s="130">
        <f t="shared" si="525"/>
        <v>-2</v>
      </c>
      <c r="AP183" s="131">
        <f t="shared" si="525"/>
        <v>0</v>
      </c>
      <c r="AQ183" s="154">
        <f t="shared" ref="AQ183:AR183" si="539">AQ184-AQ182-AQ181</f>
        <v>0</v>
      </c>
      <c r="AR183" s="154">
        <f t="shared" si="539"/>
        <v>-1</v>
      </c>
      <c r="AS183" s="127">
        <v>-2</v>
      </c>
      <c r="AT183" s="130">
        <f t="shared" si="533"/>
        <v>-3</v>
      </c>
      <c r="AU183" s="131">
        <f>AU184-AU181-AU182</f>
        <v>-1</v>
      </c>
      <c r="AV183" s="154">
        <f t="shared" ref="AV183:AX183" si="540">AV184-AV182-AV181</f>
        <v>0</v>
      </c>
      <c r="AW183" s="154">
        <f t="shared" si="540"/>
        <v>0</v>
      </c>
      <c r="AX183" s="154">
        <f t="shared" si="540"/>
        <v>0</v>
      </c>
      <c r="AY183" s="130">
        <f t="shared" si="534"/>
        <v>-1</v>
      </c>
      <c r="AZ183" s="131">
        <f>AZ184-AZ181-AZ182</f>
        <v>-2</v>
      </c>
      <c r="BA183" s="154">
        <f t="shared" ref="BA183:BC183" si="541">BA184-BA182-BA181</f>
        <v>0</v>
      </c>
      <c r="BB183" s="154">
        <f t="shared" si="541"/>
        <v>0</v>
      </c>
      <c r="BC183" s="154">
        <f t="shared" si="541"/>
        <v>-1</v>
      </c>
      <c r="BD183" s="130">
        <f t="shared" si="535"/>
        <v>-3</v>
      </c>
      <c r="BE183" s="131">
        <f>BE184-BE181-BE182</f>
        <v>-1</v>
      </c>
      <c r="BF183" s="154">
        <f t="shared" ref="BF183:BH183" si="542">BF184-BF182-BF181</f>
        <v>0</v>
      </c>
      <c r="BG183" s="154">
        <f t="shared" si="542"/>
        <v>0</v>
      </c>
      <c r="BH183" s="154">
        <f t="shared" si="542"/>
        <v>-1</v>
      </c>
      <c r="BI183" s="155">
        <f t="shared" si="536"/>
        <v>-2</v>
      </c>
      <c r="BJ183" s="127">
        <v>0</v>
      </c>
      <c r="BK183" s="127">
        <v>0</v>
      </c>
      <c r="BL183" s="127">
        <v>0</v>
      </c>
      <c r="BM183" s="127">
        <v>0</v>
      </c>
      <c r="BN183" s="130">
        <f t="shared" si="537"/>
        <v>0</v>
      </c>
      <c r="BO183" s="127">
        <v>0</v>
      </c>
      <c r="BP183" s="127">
        <v>0</v>
      </c>
      <c r="BQ183" s="127">
        <v>0</v>
      </c>
      <c r="BR183" s="127">
        <v>0</v>
      </c>
      <c r="BS183" s="130">
        <f t="shared" si="538"/>
        <v>0</v>
      </c>
      <c r="BT183" s="126">
        <v>0</v>
      </c>
      <c r="BU183" s="126">
        <v>0</v>
      </c>
      <c r="BV183" s="126">
        <v>0</v>
      </c>
      <c r="BW183" s="131"/>
    </row>
    <row r="184" spans="1:75" ht="15.75" customHeight="1" outlineLevel="1" x14ac:dyDescent="0.2">
      <c r="A184" s="140" t="s">
        <v>324</v>
      </c>
      <c r="B184" s="141"/>
      <c r="C184" s="205">
        <f t="shared" ref="C184:AP184" si="543">SUM(C181:C183)</f>
        <v>14</v>
      </c>
      <c r="D184" s="205">
        <f t="shared" si="543"/>
        <v>14</v>
      </c>
      <c r="E184" s="205">
        <f t="shared" si="543"/>
        <v>14</v>
      </c>
      <c r="F184" s="205">
        <f t="shared" si="543"/>
        <v>15</v>
      </c>
      <c r="G184" s="144">
        <f t="shared" si="543"/>
        <v>12</v>
      </c>
      <c r="H184" s="144">
        <f t="shared" si="543"/>
        <v>12</v>
      </c>
      <c r="I184" s="144">
        <f t="shared" si="543"/>
        <v>12</v>
      </c>
      <c r="J184" s="144">
        <f t="shared" si="543"/>
        <v>12</v>
      </c>
      <c r="K184" s="205">
        <f t="shared" si="543"/>
        <v>12</v>
      </c>
      <c r="L184" s="144">
        <f t="shared" si="543"/>
        <v>12</v>
      </c>
      <c r="M184" s="144">
        <f t="shared" si="543"/>
        <v>12</v>
      </c>
      <c r="N184" s="144">
        <f t="shared" si="543"/>
        <v>12</v>
      </c>
      <c r="O184" s="144">
        <f t="shared" si="543"/>
        <v>12</v>
      </c>
      <c r="P184" s="205">
        <f t="shared" si="543"/>
        <v>12</v>
      </c>
      <c r="Q184" s="144">
        <f t="shared" si="543"/>
        <v>12</v>
      </c>
      <c r="R184" s="144">
        <f t="shared" si="543"/>
        <v>13</v>
      </c>
      <c r="S184" s="144">
        <f t="shared" si="543"/>
        <v>13</v>
      </c>
      <c r="T184" s="144">
        <f t="shared" si="543"/>
        <v>13</v>
      </c>
      <c r="U184" s="205">
        <f t="shared" si="543"/>
        <v>13</v>
      </c>
      <c r="V184" s="144">
        <f t="shared" si="543"/>
        <v>13</v>
      </c>
      <c r="W184" s="144">
        <f t="shared" si="543"/>
        <v>13</v>
      </c>
      <c r="X184" s="144">
        <f t="shared" si="543"/>
        <v>13</v>
      </c>
      <c r="Y184" s="144">
        <f t="shared" si="543"/>
        <v>14</v>
      </c>
      <c r="Z184" s="205">
        <f t="shared" si="543"/>
        <v>14</v>
      </c>
      <c r="AA184" s="144">
        <f t="shared" si="543"/>
        <v>14</v>
      </c>
      <c r="AB184" s="144">
        <f t="shared" si="543"/>
        <v>14</v>
      </c>
      <c r="AC184" s="144">
        <f t="shared" si="543"/>
        <v>14</v>
      </c>
      <c r="AD184" s="144">
        <f t="shared" si="543"/>
        <v>15</v>
      </c>
      <c r="AE184" s="205">
        <f t="shared" si="543"/>
        <v>15</v>
      </c>
      <c r="AF184" s="144">
        <f t="shared" si="543"/>
        <v>15</v>
      </c>
      <c r="AG184" s="144">
        <f t="shared" si="543"/>
        <v>15</v>
      </c>
      <c r="AH184" s="144">
        <f t="shared" si="543"/>
        <v>16</v>
      </c>
      <c r="AI184" s="144">
        <f t="shared" si="543"/>
        <v>17</v>
      </c>
      <c r="AJ184" s="205">
        <f t="shared" si="543"/>
        <v>17</v>
      </c>
      <c r="AK184" s="144">
        <f t="shared" si="543"/>
        <v>17</v>
      </c>
      <c r="AL184" s="144">
        <f t="shared" si="543"/>
        <v>17</v>
      </c>
      <c r="AM184" s="144">
        <f t="shared" si="543"/>
        <v>17</v>
      </c>
      <c r="AN184" s="144">
        <f t="shared" si="543"/>
        <v>39</v>
      </c>
      <c r="AO184" s="205">
        <f t="shared" si="543"/>
        <v>39</v>
      </c>
      <c r="AP184" s="144">
        <f t="shared" si="543"/>
        <v>40</v>
      </c>
      <c r="AQ184" s="143">
        <v>40</v>
      </c>
      <c r="AR184" s="143">
        <v>41</v>
      </c>
      <c r="AS184" s="144">
        <f t="shared" ref="AS184:AT184" si="544">SUM(AS181:AS183)</f>
        <v>39</v>
      </c>
      <c r="AT184" s="205">
        <f t="shared" si="544"/>
        <v>39</v>
      </c>
      <c r="AU184" s="143">
        <v>38</v>
      </c>
      <c r="AV184" s="143">
        <v>39</v>
      </c>
      <c r="AW184" s="143">
        <v>40</v>
      </c>
      <c r="AX184" s="143">
        <v>40</v>
      </c>
      <c r="AY184" s="205">
        <f>SUM(AY181:AY183)</f>
        <v>40</v>
      </c>
      <c r="AZ184" s="143">
        <v>38</v>
      </c>
      <c r="BA184" s="143">
        <v>39</v>
      </c>
      <c r="BB184" s="143">
        <v>39</v>
      </c>
      <c r="BC184" s="143">
        <v>40</v>
      </c>
      <c r="BD184" s="205">
        <f>SUM(BD181:BD183)</f>
        <v>40</v>
      </c>
      <c r="BE184" s="143">
        <v>40</v>
      </c>
      <c r="BF184" s="143">
        <v>40</v>
      </c>
      <c r="BG184" s="143">
        <v>40</v>
      </c>
      <c r="BH184" s="143">
        <v>39</v>
      </c>
      <c r="BI184" s="216">
        <f t="shared" ref="BI184:BV184" si="545">SUM(BI181:BI183)</f>
        <v>39</v>
      </c>
      <c r="BJ184" s="147">
        <f t="shared" si="545"/>
        <v>41</v>
      </c>
      <c r="BK184" s="147">
        <f t="shared" si="545"/>
        <v>43</v>
      </c>
      <c r="BL184" s="147">
        <f t="shared" si="545"/>
        <v>44</v>
      </c>
      <c r="BM184" s="147">
        <f t="shared" si="545"/>
        <v>45</v>
      </c>
      <c r="BN184" s="145">
        <f t="shared" si="545"/>
        <v>45.875</v>
      </c>
      <c r="BO184" s="147">
        <f t="shared" si="545"/>
        <v>45.875</v>
      </c>
      <c r="BP184" s="147">
        <f t="shared" si="545"/>
        <v>45.875</v>
      </c>
      <c r="BQ184" s="147">
        <f t="shared" si="545"/>
        <v>45.875</v>
      </c>
      <c r="BR184" s="147">
        <f t="shared" si="545"/>
        <v>45.875</v>
      </c>
      <c r="BS184" s="145">
        <f t="shared" si="545"/>
        <v>42.5</v>
      </c>
      <c r="BT184" s="145">
        <f t="shared" si="545"/>
        <v>42.5</v>
      </c>
      <c r="BU184" s="145">
        <f t="shared" si="545"/>
        <v>42.5</v>
      </c>
      <c r="BV184" s="145">
        <f t="shared" si="545"/>
        <v>42.5</v>
      </c>
      <c r="BW184" s="120"/>
    </row>
    <row r="185" spans="1:75" ht="15.75" customHeight="1" outlineLevel="1" x14ac:dyDescent="0.2">
      <c r="A185" s="148" t="s">
        <v>583</v>
      </c>
      <c r="B185" s="149"/>
      <c r="C185" s="150"/>
      <c r="D185" s="150">
        <f t="shared" ref="D185:F185" si="546">D184/C184-1</f>
        <v>0</v>
      </c>
      <c r="E185" s="150">
        <f t="shared" si="546"/>
        <v>0</v>
      </c>
      <c r="F185" s="150">
        <f t="shared" si="546"/>
        <v>7.1428571428571397E-2</v>
      </c>
      <c r="G185" s="151"/>
      <c r="H185" s="151"/>
      <c r="I185" s="151"/>
      <c r="J185" s="151"/>
      <c r="K185" s="150">
        <f t="shared" ref="K185:BS185" si="547">K184/F184-1</f>
        <v>-0.19999999999999996</v>
      </c>
      <c r="L185" s="152">
        <f t="shared" ref="L185:T185" si="548">L184/G184-1</f>
        <v>0</v>
      </c>
      <c r="M185" s="152">
        <f t="shared" si="548"/>
        <v>0</v>
      </c>
      <c r="N185" s="152">
        <f t="shared" si="548"/>
        <v>0</v>
      </c>
      <c r="O185" s="152">
        <f t="shared" si="548"/>
        <v>0</v>
      </c>
      <c r="P185" s="150">
        <f t="shared" si="548"/>
        <v>0</v>
      </c>
      <c r="Q185" s="152">
        <f t="shared" si="548"/>
        <v>0</v>
      </c>
      <c r="R185" s="152">
        <f t="shared" si="548"/>
        <v>8.3333333333333259E-2</v>
      </c>
      <c r="S185" s="152">
        <f t="shared" si="548"/>
        <v>8.3333333333333259E-2</v>
      </c>
      <c r="T185" s="152">
        <f t="shared" si="548"/>
        <v>8.3333333333333259E-2</v>
      </c>
      <c r="U185" s="150">
        <f t="shared" si="547"/>
        <v>8.3333333333333259E-2</v>
      </c>
      <c r="V185" s="152">
        <f t="shared" si="547"/>
        <v>8.3333333333333259E-2</v>
      </c>
      <c r="W185" s="152">
        <f t="shared" si="547"/>
        <v>0</v>
      </c>
      <c r="X185" s="152">
        <f t="shared" si="547"/>
        <v>0</v>
      </c>
      <c r="Y185" s="151">
        <f t="shared" si="547"/>
        <v>7.6923076923076872E-2</v>
      </c>
      <c r="Z185" s="150">
        <f t="shared" si="547"/>
        <v>7.6923076923076872E-2</v>
      </c>
      <c r="AA185" s="152">
        <f t="shared" si="547"/>
        <v>7.6923076923076872E-2</v>
      </c>
      <c r="AB185" s="152">
        <f t="shared" si="547"/>
        <v>7.6923076923076872E-2</v>
      </c>
      <c r="AC185" s="152">
        <f t="shared" si="547"/>
        <v>7.6923076923076872E-2</v>
      </c>
      <c r="AD185" s="151">
        <f t="shared" si="547"/>
        <v>7.1428571428571397E-2</v>
      </c>
      <c r="AE185" s="150">
        <f t="shared" si="547"/>
        <v>7.1428571428571397E-2</v>
      </c>
      <c r="AF185" s="152">
        <f t="shared" si="547"/>
        <v>7.1428571428571397E-2</v>
      </c>
      <c r="AG185" s="152">
        <f t="shared" si="547"/>
        <v>7.1428571428571397E-2</v>
      </c>
      <c r="AH185" s="152">
        <f t="shared" si="547"/>
        <v>0.14285714285714279</v>
      </c>
      <c r="AI185" s="151">
        <f t="shared" si="547"/>
        <v>0.1333333333333333</v>
      </c>
      <c r="AJ185" s="150">
        <f t="shared" si="547"/>
        <v>0.1333333333333333</v>
      </c>
      <c r="AK185" s="152">
        <f t="shared" si="547"/>
        <v>0.1333333333333333</v>
      </c>
      <c r="AL185" s="152">
        <f t="shared" si="547"/>
        <v>0.1333333333333333</v>
      </c>
      <c r="AM185" s="152">
        <f t="shared" si="547"/>
        <v>6.25E-2</v>
      </c>
      <c r="AN185" s="151">
        <f t="shared" si="547"/>
        <v>1.2941176470588234</v>
      </c>
      <c r="AO185" s="150">
        <f t="shared" si="547"/>
        <v>1.2941176470588234</v>
      </c>
      <c r="AP185" s="152">
        <f t="shared" si="547"/>
        <v>1.3529411764705883</v>
      </c>
      <c r="AQ185" s="152">
        <f t="shared" si="547"/>
        <v>1.3529411764705883</v>
      </c>
      <c r="AR185" s="152">
        <f t="shared" si="547"/>
        <v>1.4117647058823528</v>
      </c>
      <c r="AS185" s="151">
        <f t="shared" si="547"/>
        <v>0</v>
      </c>
      <c r="AT185" s="150">
        <f t="shared" si="547"/>
        <v>0</v>
      </c>
      <c r="AU185" s="152">
        <f t="shared" si="547"/>
        <v>-5.0000000000000044E-2</v>
      </c>
      <c r="AV185" s="152">
        <f t="shared" si="547"/>
        <v>-2.5000000000000022E-2</v>
      </c>
      <c r="AW185" s="152">
        <f t="shared" si="547"/>
        <v>-2.4390243902439046E-2</v>
      </c>
      <c r="AX185" s="151">
        <f t="shared" si="547"/>
        <v>2.564102564102555E-2</v>
      </c>
      <c r="AY185" s="150">
        <f t="shared" si="547"/>
        <v>2.564102564102555E-2</v>
      </c>
      <c r="AZ185" s="152">
        <f t="shared" si="547"/>
        <v>0</v>
      </c>
      <c r="BA185" s="152">
        <f t="shared" si="547"/>
        <v>0</v>
      </c>
      <c r="BB185" s="152">
        <f t="shared" si="547"/>
        <v>-2.5000000000000022E-2</v>
      </c>
      <c r="BC185" s="151">
        <f t="shared" si="547"/>
        <v>0</v>
      </c>
      <c r="BD185" s="150">
        <f t="shared" si="547"/>
        <v>0</v>
      </c>
      <c r="BE185" s="152">
        <f t="shared" si="547"/>
        <v>5.2631578947368363E-2</v>
      </c>
      <c r="BF185" s="152">
        <f t="shared" si="547"/>
        <v>2.564102564102555E-2</v>
      </c>
      <c r="BG185" s="152">
        <f t="shared" si="547"/>
        <v>2.564102564102555E-2</v>
      </c>
      <c r="BH185" s="151">
        <f t="shared" si="547"/>
        <v>-2.5000000000000022E-2</v>
      </c>
      <c r="BI185" s="153">
        <f t="shared" si="547"/>
        <v>-2.5000000000000022E-2</v>
      </c>
      <c r="BJ185" s="151">
        <f t="shared" si="547"/>
        <v>2.4999999999999911E-2</v>
      </c>
      <c r="BK185" s="151">
        <f t="shared" si="547"/>
        <v>7.4999999999999956E-2</v>
      </c>
      <c r="BL185" s="151">
        <f t="shared" si="547"/>
        <v>0.10000000000000009</v>
      </c>
      <c r="BM185" s="151">
        <f t="shared" si="547"/>
        <v>0.15384615384615374</v>
      </c>
      <c r="BN185" s="150">
        <f t="shared" si="547"/>
        <v>0.17628205128205132</v>
      </c>
      <c r="BO185" s="151">
        <f t="shared" si="547"/>
        <v>0.11890243902439024</v>
      </c>
      <c r="BP185" s="151">
        <f t="shared" si="547"/>
        <v>6.6860465116278966E-2</v>
      </c>
      <c r="BQ185" s="151">
        <f t="shared" si="547"/>
        <v>4.2613636363636465E-2</v>
      </c>
      <c r="BR185" s="151">
        <f t="shared" si="547"/>
        <v>1.9444444444444375E-2</v>
      </c>
      <c r="BS185" s="150">
        <f t="shared" si="547"/>
        <v>-7.3569482288828314E-2</v>
      </c>
      <c r="BT185" s="150">
        <f t="shared" ref="BT185:BV185" si="549">BT184/BS184-1</f>
        <v>0</v>
      </c>
      <c r="BU185" s="150">
        <f t="shared" si="549"/>
        <v>0</v>
      </c>
      <c r="BV185" s="150">
        <f t="shared" si="549"/>
        <v>0</v>
      </c>
      <c r="BW185" s="152"/>
    </row>
    <row r="186" spans="1:75" ht="15.75" customHeight="1" outlineLevel="1" x14ac:dyDescent="0.2">
      <c r="A186" s="116" t="s">
        <v>584</v>
      </c>
      <c r="B186" s="117"/>
      <c r="C186" s="119">
        <f t="shared" ref="C186:J186" si="550">AVERAGE(C181,C184)</f>
        <v>14</v>
      </c>
      <c r="D186" s="119">
        <f t="shared" si="550"/>
        <v>14</v>
      </c>
      <c r="E186" s="119">
        <f t="shared" si="550"/>
        <v>14</v>
      </c>
      <c r="F186" s="119">
        <f t="shared" si="550"/>
        <v>14.5</v>
      </c>
      <c r="G186" s="120">
        <f t="shared" si="550"/>
        <v>13.5</v>
      </c>
      <c r="H186" s="120">
        <f t="shared" si="550"/>
        <v>12</v>
      </c>
      <c r="I186" s="120">
        <f t="shared" si="550"/>
        <v>12</v>
      </c>
      <c r="J186" s="120">
        <f t="shared" si="550"/>
        <v>12</v>
      </c>
      <c r="K186" s="122">
        <f>AVERAGE(G186,H186,I186,J186)</f>
        <v>12.375</v>
      </c>
      <c r="L186" s="120">
        <f t="shared" ref="L186:O186" si="551">AVERAGE(L181,L184)</f>
        <v>12</v>
      </c>
      <c r="M186" s="120">
        <f t="shared" si="551"/>
        <v>12</v>
      </c>
      <c r="N186" s="120">
        <f t="shared" si="551"/>
        <v>12</v>
      </c>
      <c r="O186" s="120">
        <f t="shared" si="551"/>
        <v>12</v>
      </c>
      <c r="P186" s="122">
        <f>AVERAGE(L186,M186,N186,O186)</f>
        <v>12</v>
      </c>
      <c r="Q186" s="120">
        <f t="shared" ref="Q186:T186" si="552">AVERAGE(Q181,Q184)</f>
        <v>12</v>
      </c>
      <c r="R186" s="120">
        <f t="shared" si="552"/>
        <v>12.5</v>
      </c>
      <c r="S186" s="120">
        <f t="shared" si="552"/>
        <v>13</v>
      </c>
      <c r="T186" s="120">
        <f t="shared" si="552"/>
        <v>13</v>
      </c>
      <c r="U186" s="122">
        <f>AVERAGE(Q186,R186,S186,T186)</f>
        <v>12.625</v>
      </c>
      <c r="V186" s="120">
        <f t="shared" ref="V186:Y186" si="553">AVERAGE(V181,V184)</f>
        <v>13</v>
      </c>
      <c r="W186" s="120">
        <f t="shared" si="553"/>
        <v>13</v>
      </c>
      <c r="X186" s="120">
        <f t="shared" si="553"/>
        <v>13</v>
      </c>
      <c r="Y186" s="120">
        <f t="shared" si="553"/>
        <v>13.5</v>
      </c>
      <c r="Z186" s="122">
        <f>AVERAGE(V186,W186,X186,Y186)</f>
        <v>13.125</v>
      </c>
      <c r="AA186" s="120">
        <f t="shared" ref="AA186:AD186" si="554">AVERAGE(AA181,AA184)</f>
        <v>14</v>
      </c>
      <c r="AB186" s="120">
        <f t="shared" si="554"/>
        <v>14</v>
      </c>
      <c r="AC186" s="120">
        <f t="shared" si="554"/>
        <v>14</v>
      </c>
      <c r="AD186" s="120">
        <f t="shared" si="554"/>
        <v>14.5</v>
      </c>
      <c r="AE186" s="122">
        <f>AVERAGE(AA186,AB186,AC186,AD186)</f>
        <v>14.125</v>
      </c>
      <c r="AF186" s="120">
        <f t="shared" ref="AF186:AI186" si="555">AVERAGE(AF181,AF184)</f>
        <v>15</v>
      </c>
      <c r="AG186" s="120">
        <f t="shared" si="555"/>
        <v>15</v>
      </c>
      <c r="AH186" s="120">
        <f t="shared" si="555"/>
        <v>15.5</v>
      </c>
      <c r="AI186" s="120">
        <f t="shared" si="555"/>
        <v>16.5</v>
      </c>
      <c r="AJ186" s="122">
        <f>AVERAGE(AF186,AG186,AH186,AI186)</f>
        <v>15.5</v>
      </c>
      <c r="AK186" s="120">
        <f t="shared" ref="AK186:AN186" si="556">AVERAGE(AK181,AK184)</f>
        <v>17</v>
      </c>
      <c r="AL186" s="120">
        <f t="shared" si="556"/>
        <v>17</v>
      </c>
      <c r="AM186" s="120">
        <f t="shared" si="556"/>
        <v>17</v>
      </c>
      <c r="AN186" s="120">
        <f t="shared" si="556"/>
        <v>39</v>
      </c>
      <c r="AO186" s="119">
        <f>AVERAGE(AK186,AL186,AM186,AN186)</f>
        <v>22.5</v>
      </c>
      <c r="AP186" s="120">
        <f t="shared" ref="AP186:AS186" si="557">AVERAGE(AP181,AP184)</f>
        <v>39.5</v>
      </c>
      <c r="AQ186" s="120">
        <f t="shared" si="557"/>
        <v>40</v>
      </c>
      <c r="AR186" s="120">
        <f t="shared" si="557"/>
        <v>40.5</v>
      </c>
      <c r="AS186" s="120">
        <f t="shared" si="557"/>
        <v>40</v>
      </c>
      <c r="AT186" s="119">
        <f>AVERAGE(AP186,AQ186,AR186,AS186)</f>
        <v>40</v>
      </c>
      <c r="AU186" s="120">
        <f t="shared" ref="AU186:AX186" si="558">AVERAGE(AU181,AU184)</f>
        <v>38.5</v>
      </c>
      <c r="AV186" s="120">
        <f t="shared" si="558"/>
        <v>38.5</v>
      </c>
      <c r="AW186" s="120">
        <f t="shared" si="558"/>
        <v>39.5</v>
      </c>
      <c r="AX186" s="120">
        <f t="shared" si="558"/>
        <v>40</v>
      </c>
      <c r="AY186" s="119">
        <f>AVERAGE(AU186,AV186,AW186,AX186)</f>
        <v>39.125</v>
      </c>
      <c r="AZ186" s="120">
        <f t="shared" ref="AZ186:BC186" si="559">AVERAGE(AZ181,AZ184)</f>
        <v>39</v>
      </c>
      <c r="BA186" s="120">
        <f t="shared" si="559"/>
        <v>38.5</v>
      </c>
      <c r="BB186" s="120">
        <f t="shared" si="559"/>
        <v>39</v>
      </c>
      <c r="BC186" s="120">
        <f t="shared" si="559"/>
        <v>39.5</v>
      </c>
      <c r="BD186" s="119">
        <f>AVERAGE(AZ186,BA186,BB186,BC186)</f>
        <v>39</v>
      </c>
      <c r="BE186" s="120">
        <f t="shared" ref="BE186:BH186" si="560">AVERAGE(BE181,BE184)</f>
        <v>40</v>
      </c>
      <c r="BF186" s="120">
        <f t="shared" si="560"/>
        <v>40</v>
      </c>
      <c r="BG186" s="120">
        <f t="shared" si="560"/>
        <v>40</v>
      </c>
      <c r="BH186" s="120">
        <f t="shared" si="560"/>
        <v>39.5</v>
      </c>
      <c r="BI186" s="208">
        <f>AVERAGE(BE186,BF186,BG186,BH186)</f>
        <v>39.875</v>
      </c>
      <c r="BJ186" s="121">
        <f t="shared" ref="BJ186:BM186" si="561">AVERAGE(BJ181,BJ184)</f>
        <v>40</v>
      </c>
      <c r="BK186" s="121">
        <f t="shared" si="561"/>
        <v>42</v>
      </c>
      <c r="BL186" s="121">
        <f t="shared" si="561"/>
        <v>43.5</v>
      </c>
      <c r="BM186" s="121">
        <f t="shared" si="561"/>
        <v>44.5</v>
      </c>
      <c r="BN186" s="122">
        <f>AVERAGE(BJ186,BK186,BL186,BM186)</f>
        <v>42.5</v>
      </c>
      <c r="BO186" s="121">
        <f t="shared" ref="BO186:BR186" si="562">AVERAGE(BO181,BO184)</f>
        <v>45.875</v>
      </c>
      <c r="BP186" s="121">
        <f t="shared" si="562"/>
        <v>45.875</v>
      </c>
      <c r="BQ186" s="121">
        <f t="shared" si="562"/>
        <v>45.875</v>
      </c>
      <c r="BR186" s="121">
        <f t="shared" si="562"/>
        <v>45.875</v>
      </c>
      <c r="BS186" s="122">
        <f>AVERAGE(BO186,BP186,BQ186,BR186)</f>
        <v>45.875</v>
      </c>
      <c r="BT186" s="122">
        <f t="shared" ref="BT186:BV186" si="563">AVERAGE(BT181,BT184)</f>
        <v>42.5</v>
      </c>
      <c r="BU186" s="122">
        <f t="shared" si="563"/>
        <v>42.5</v>
      </c>
      <c r="BV186" s="122">
        <f t="shared" si="563"/>
        <v>42.5</v>
      </c>
      <c r="BW186" s="120"/>
    </row>
    <row r="187" spans="1:75" ht="15.75" customHeight="1" outlineLevel="1" x14ac:dyDescent="0.2">
      <c r="A187" s="47"/>
      <c r="B187" s="39"/>
      <c r="C187" s="40"/>
      <c r="D187" s="40"/>
      <c r="E187" s="40"/>
      <c r="F187" s="40"/>
      <c r="G187" s="41"/>
      <c r="H187" s="41"/>
      <c r="I187" s="41"/>
      <c r="J187" s="41"/>
      <c r="K187" s="40"/>
      <c r="L187" s="41"/>
      <c r="M187" s="41"/>
      <c r="N187" s="41"/>
      <c r="O187" s="41"/>
      <c r="P187" s="40"/>
      <c r="Q187" s="41"/>
      <c r="R187" s="41"/>
      <c r="S187" s="41"/>
      <c r="T187" s="41"/>
      <c r="U187" s="40"/>
      <c r="V187" s="41"/>
      <c r="W187" s="41"/>
      <c r="X187" s="41"/>
      <c r="Y187" s="41"/>
      <c r="Z187" s="40"/>
      <c r="AA187" s="41"/>
      <c r="AB187" s="41"/>
      <c r="AC187" s="41"/>
      <c r="AD187" s="41"/>
      <c r="AE187" s="40"/>
      <c r="AF187" s="41"/>
      <c r="AG187" s="41"/>
      <c r="AH187" s="41"/>
      <c r="AI187" s="41"/>
      <c r="AJ187" s="40"/>
      <c r="AK187" s="41"/>
      <c r="AL187" s="41"/>
      <c r="AM187" s="41"/>
      <c r="AN187" s="41"/>
      <c r="AO187" s="40"/>
      <c r="AP187" s="41"/>
      <c r="AQ187" s="41"/>
      <c r="AR187" s="41"/>
      <c r="AS187" s="41"/>
      <c r="AT187" s="40"/>
      <c r="AU187" s="41"/>
      <c r="AV187" s="41"/>
      <c r="AW187" s="41"/>
      <c r="AX187" s="41"/>
      <c r="AY187" s="40"/>
      <c r="AZ187" s="41"/>
      <c r="BA187" s="41"/>
      <c r="BB187" s="41"/>
      <c r="BC187" s="41"/>
      <c r="BD187" s="40"/>
      <c r="BE187" s="41"/>
      <c r="BF187" s="41"/>
      <c r="BG187" s="41"/>
      <c r="BH187" s="41"/>
      <c r="BI187" s="46"/>
      <c r="BJ187" s="41"/>
      <c r="BK187" s="41"/>
      <c r="BL187" s="41"/>
      <c r="BM187" s="41"/>
      <c r="BN187" s="40"/>
      <c r="BO187" s="41"/>
      <c r="BP187" s="41"/>
      <c r="BQ187" s="41"/>
      <c r="BR187" s="41"/>
      <c r="BS187" s="40"/>
      <c r="BT187" s="40"/>
      <c r="BU187" s="40"/>
      <c r="BV187" s="40"/>
      <c r="BW187" s="45"/>
    </row>
    <row r="188" spans="1:75" ht="15.75" customHeight="1" outlineLevel="1" x14ac:dyDescent="0.2">
      <c r="A188" s="217" t="s">
        <v>585</v>
      </c>
      <c r="B188" s="125"/>
      <c r="C188" s="170"/>
      <c r="D188" s="170"/>
      <c r="E188" s="170"/>
      <c r="F188" s="170"/>
      <c r="G188" s="171"/>
      <c r="H188" s="171"/>
      <c r="I188" s="171"/>
      <c r="J188" s="171"/>
      <c r="K188" s="170"/>
      <c r="L188" s="171"/>
      <c r="M188" s="171"/>
      <c r="N188" s="171"/>
      <c r="O188" s="171"/>
      <c r="P188" s="170"/>
      <c r="Q188" s="209">
        <f t="shared" ref="Q188:BI188" si="564">Q31/Q186*1000</f>
        <v>2594.3897175141242</v>
      </c>
      <c r="R188" s="209">
        <f t="shared" si="564"/>
        <v>2493.1003428571426</v>
      </c>
      <c r="S188" s="209">
        <f t="shared" si="564"/>
        <v>2460.3385353003168</v>
      </c>
      <c r="T188" s="209">
        <f t="shared" si="564"/>
        <v>2437.2006554848663</v>
      </c>
      <c r="U188" s="218">
        <f t="shared" si="564"/>
        <v>9977.3814159280118</v>
      </c>
      <c r="V188" s="209">
        <f t="shared" si="564"/>
        <v>2592.2482303902993</v>
      </c>
      <c r="W188" s="209">
        <f t="shared" si="564"/>
        <v>2502.6324585218708</v>
      </c>
      <c r="X188" s="209">
        <f t="shared" si="564"/>
        <v>2450.8019536019538</v>
      </c>
      <c r="Y188" s="209">
        <f t="shared" si="564"/>
        <v>2571.5362467300024</v>
      </c>
      <c r="Z188" s="218">
        <f t="shared" si="564"/>
        <v>10118.827709221991</v>
      </c>
      <c r="AA188" s="209">
        <f t="shared" si="564"/>
        <v>2328.0369955817378</v>
      </c>
      <c r="AB188" s="209">
        <f t="shared" si="564"/>
        <v>2364.4106668936938</v>
      </c>
      <c r="AC188" s="209">
        <f t="shared" si="564"/>
        <v>2245.4250486431133</v>
      </c>
      <c r="AD188" s="209">
        <f t="shared" si="564"/>
        <v>2457.7437682412715</v>
      </c>
      <c r="AE188" s="218">
        <f t="shared" si="564"/>
        <v>9399.4692102766785</v>
      </c>
      <c r="AF188" s="209">
        <f t="shared" si="564"/>
        <v>2196.8453467336681</v>
      </c>
      <c r="AG188" s="209">
        <f t="shared" si="564"/>
        <v>2252.7065406661509</v>
      </c>
      <c r="AH188" s="209">
        <f t="shared" si="564"/>
        <v>2102.1748837209298</v>
      </c>
      <c r="AI188" s="209">
        <f t="shared" si="564"/>
        <v>2072.8367784200386</v>
      </c>
      <c r="AJ188" s="218">
        <f t="shared" si="564"/>
        <v>8546.954571135635</v>
      </c>
      <c r="AK188" s="209">
        <f t="shared" si="564"/>
        <v>1975.3395376060873</v>
      </c>
      <c r="AL188" s="209">
        <f t="shared" si="564"/>
        <v>2007.9772471305594</v>
      </c>
      <c r="AM188" s="209">
        <f t="shared" si="564"/>
        <v>1867.965889515624</v>
      </c>
      <c r="AN188" s="209">
        <f t="shared" si="564"/>
        <v>1280.7998632478634</v>
      </c>
      <c r="AO188" s="218">
        <f t="shared" si="564"/>
        <v>6641.0222279535656</v>
      </c>
      <c r="AP188" s="209">
        <f t="shared" si="564"/>
        <v>1058.2401954119839</v>
      </c>
      <c r="AQ188" s="209">
        <f t="shared" si="564"/>
        <v>291.17198181818185</v>
      </c>
      <c r="AR188" s="209">
        <f t="shared" si="564"/>
        <v>751.44123178525376</v>
      </c>
      <c r="AS188" s="209">
        <f t="shared" si="564"/>
        <v>800.81495873968549</v>
      </c>
      <c r="AT188" s="218">
        <f t="shared" si="564"/>
        <v>2897.8333807097706</v>
      </c>
      <c r="AU188" s="209">
        <f t="shared" si="564"/>
        <v>962.97891312570948</v>
      </c>
      <c r="AV188" s="209">
        <f t="shared" si="564"/>
        <v>1279.8919831858962</v>
      </c>
      <c r="AW188" s="209">
        <f t="shared" si="564"/>
        <v>1263.0345401565685</v>
      </c>
      <c r="AX188" s="209">
        <f t="shared" si="564"/>
        <v>1317.7302370370362</v>
      </c>
      <c r="AY188" s="218">
        <f t="shared" si="564"/>
        <v>4829.3828326047978</v>
      </c>
      <c r="AZ188" s="209">
        <f t="shared" si="564"/>
        <v>1238.5181065088757</v>
      </c>
      <c r="BA188" s="209">
        <f t="shared" si="564"/>
        <v>1364.0771028971028</v>
      </c>
      <c r="BB188" s="209">
        <f t="shared" si="564"/>
        <v>1304.3540990568274</v>
      </c>
      <c r="BC188" s="209">
        <f t="shared" si="564"/>
        <v>1536.2324806939416</v>
      </c>
      <c r="BD188" s="218">
        <f t="shared" si="564"/>
        <v>5445.3889093849129</v>
      </c>
      <c r="BE188" s="209">
        <f t="shared" si="564"/>
        <v>1326.4544225037841</v>
      </c>
      <c r="BF188" s="209">
        <f t="shared" si="564"/>
        <v>1454.0324962378518</v>
      </c>
      <c r="BG188" s="209">
        <f t="shared" si="564"/>
        <v>1404.5737783018865</v>
      </c>
      <c r="BH188" s="209">
        <f t="shared" si="564"/>
        <v>1369.4543054803808</v>
      </c>
      <c r="BI188" s="219">
        <f t="shared" si="564"/>
        <v>5554.7554344380169</v>
      </c>
      <c r="BJ188" s="171">
        <f t="shared" ref="BJ188:BM188" si="565">BE188*(1+BJ189)</f>
        <v>1392.7771436289734</v>
      </c>
      <c r="BK188" s="171">
        <f t="shared" si="565"/>
        <v>1526.7341210497443</v>
      </c>
      <c r="BL188" s="171">
        <f t="shared" si="565"/>
        <v>1474.8024672169809</v>
      </c>
      <c r="BM188" s="171">
        <f t="shared" si="565"/>
        <v>1437.9270207543998</v>
      </c>
      <c r="BN188" s="170">
        <f>BN31/BN186*1000</f>
        <v>5834.7194959237086</v>
      </c>
      <c r="BO188" s="171">
        <f t="shared" ref="BO188:BR188" si="566">BJ188*(1+BO189)</f>
        <v>1462.416000810422</v>
      </c>
      <c r="BP188" s="171">
        <f t="shared" si="566"/>
        <v>1603.0708271022315</v>
      </c>
      <c r="BQ188" s="171">
        <f t="shared" si="566"/>
        <v>1548.54259057783</v>
      </c>
      <c r="BR188" s="171">
        <f t="shared" si="566"/>
        <v>1509.8233717921198</v>
      </c>
      <c r="BS188" s="170">
        <f>BS31/BS186*1000</f>
        <v>6123.8527902826036</v>
      </c>
      <c r="BT188" s="170">
        <f t="shared" ref="BT188:BV188" si="567">BS188*(1+BT189)</f>
        <v>6246.3298460882561</v>
      </c>
      <c r="BU188" s="170">
        <f t="shared" si="567"/>
        <v>6371.256443010021</v>
      </c>
      <c r="BV188" s="170">
        <f t="shared" si="567"/>
        <v>6498.6815718702219</v>
      </c>
      <c r="BW188" s="131"/>
    </row>
    <row r="189" spans="1:75" ht="15.75" customHeight="1" outlineLevel="1" x14ac:dyDescent="0.2">
      <c r="A189" s="149" t="s">
        <v>586</v>
      </c>
      <c r="B189" s="149"/>
      <c r="C189" s="150"/>
      <c r="D189" s="150"/>
      <c r="E189" s="150"/>
      <c r="F189" s="150"/>
      <c r="G189" s="151"/>
      <c r="H189" s="151"/>
      <c r="I189" s="151"/>
      <c r="J189" s="151"/>
      <c r="K189" s="150"/>
      <c r="L189" s="151"/>
      <c r="M189" s="151"/>
      <c r="N189" s="151"/>
      <c r="O189" s="151"/>
      <c r="P189" s="150"/>
      <c r="Q189" s="151"/>
      <c r="R189" s="151"/>
      <c r="S189" s="151"/>
      <c r="T189" s="151"/>
      <c r="U189" s="150"/>
      <c r="V189" s="151">
        <f t="shared" ref="V189:BI189" si="568">V188/Q188-1</f>
        <v>-8.2543000743806605E-4</v>
      </c>
      <c r="W189" s="151">
        <f t="shared" si="568"/>
        <v>3.8233983209052802E-3</v>
      </c>
      <c r="X189" s="151">
        <f t="shared" si="568"/>
        <v>-3.8761258101414064E-3</v>
      </c>
      <c r="Y189" s="151">
        <f t="shared" si="568"/>
        <v>5.5118806464628634E-2</v>
      </c>
      <c r="Z189" s="150">
        <f t="shared" si="568"/>
        <v>1.4176695006183904E-2</v>
      </c>
      <c r="AA189" s="151">
        <f t="shared" si="568"/>
        <v>-0.10192358575504978</v>
      </c>
      <c r="AB189" s="151">
        <f t="shared" si="568"/>
        <v>-5.523055978815794E-2</v>
      </c>
      <c r="AC189" s="151">
        <f t="shared" si="568"/>
        <v>-8.3799878099899971E-2</v>
      </c>
      <c r="AD189" s="151">
        <f t="shared" si="568"/>
        <v>-4.4250777578356493E-2</v>
      </c>
      <c r="AE189" s="150">
        <f t="shared" si="568"/>
        <v>-7.1091090748556796E-2</v>
      </c>
      <c r="AF189" s="151">
        <f t="shared" si="568"/>
        <v>-5.6352905515269613E-2</v>
      </c>
      <c r="AG189" s="151">
        <f t="shared" si="568"/>
        <v>-4.7243961377613441E-2</v>
      </c>
      <c r="AH189" s="151">
        <f t="shared" si="568"/>
        <v>-6.3796458050892513E-2</v>
      </c>
      <c r="AI189" s="151">
        <f t="shared" si="568"/>
        <v>-0.15660989351085497</v>
      </c>
      <c r="AJ189" s="150">
        <f t="shared" si="568"/>
        <v>-9.0698168169854432E-2</v>
      </c>
      <c r="AK189" s="151">
        <f t="shared" si="568"/>
        <v>-0.10082904081387511</v>
      </c>
      <c r="AL189" s="151">
        <f t="shared" si="568"/>
        <v>-0.10863789362604781</v>
      </c>
      <c r="AM189" s="151">
        <f t="shared" si="568"/>
        <v>-0.11141270691558591</v>
      </c>
      <c r="AN189" s="151">
        <f t="shared" si="568"/>
        <v>-0.3821028859666814</v>
      </c>
      <c r="AO189" s="150">
        <f t="shared" si="568"/>
        <v>-0.22299549240833605</v>
      </c>
      <c r="AP189" s="151">
        <f t="shared" si="568"/>
        <v>-0.46427428031210038</v>
      </c>
      <c r="AQ189" s="151">
        <f t="shared" si="568"/>
        <v>-0.854992389861851</v>
      </c>
      <c r="AR189" s="151">
        <f t="shared" si="568"/>
        <v>-0.59772218753945905</v>
      </c>
      <c r="AS189" s="151">
        <f t="shared" si="568"/>
        <v>-0.37475402541895031</v>
      </c>
      <c r="AT189" s="150">
        <f t="shared" si="568"/>
        <v>-0.56364648675438334</v>
      </c>
      <c r="AU189" s="151">
        <f t="shared" si="568"/>
        <v>-9.0018582453474272E-2</v>
      </c>
      <c r="AV189" s="151">
        <f t="shared" si="568"/>
        <v>3.3956563924653516</v>
      </c>
      <c r="AW189" s="151">
        <f t="shared" si="568"/>
        <v>0.68081612604073527</v>
      </c>
      <c r="AX189" s="151">
        <f t="shared" si="568"/>
        <v>0.64548654174850428</v>
      </c>
      <c r="AY189" s="150">
        <f t="shared" si="568"/>
        <v>0.66654952101556986</v>
      </c>
      <c r="AZ189" s="151">
        <f t="shared" si="568"/>
        <v>0.28613211528048965</v>
      </c>
      <c r="BA189" s="151">
        <f t="shared" si="568"/>
        <v>6.5775175418830045E-2</v>
      </c>
      <c r="BB189" s="151">
        <f t="shared" si="568"/>
        <v>3.2714512221603043E-2</v>
      </c>
      <c r="BC189" s="151">
        <f t="shared" si="568"/>
        <v>0.16581712820692007</v>
      </c>
      <c r="BD189" s="150">
        <f t="shared" si="568"/>
        <v>0.12755378857547783</v>
      </c>
      <c r="BE189" s="151">
        <f t="shared" si="568"/>
        <v>7.1001235696733334E-2</v>
      </c>
      <c r="BF189" s="151">
        <f t="shared" si="568"/>
        <v>6.5945974131298435E-2</v>
      </c>
      <c r="BG189" s="151">
        <f t="shared" si="568"/>
        <v>7.6834717901777871E-2</v>
      </c>
      <c r="BH189" s="151">
        <f t="shared" si="568"/>
        <v>-0.10856310962662652</v>
      </c>
      <c r="BI189" s="153">
        <f t="shared" si="568"/>
        <v>2.0084245014091673E-2</v>
      </c>
      <c r="BJ189" s="213">
        <v>0.05</v>
      </c>
      <c r="BK189" s="213">
        <v>0.05</v>
      </c>
      <c r="BL189" s="213">
        <v>0.05</v>
      </c>
      <c r="BM189" s="213">
        <v>0.05</v>
      </c>
      <c r="BN189" s="150">
        <f>BN188/BI188-1</f>
        <v>5.0400789879962771E-2</v>
      </c>
      <c r="BO189" s="213">
        <v>0.05</v>
      </c>
      <c r="BP189" s="213">
        <v>0.05</v>
      </c>
      <c r="BQ189" s="213">
        <v>0.05</v>
      </c>
      <c r="BR189" s="213">
        <v>0.05</v>
      </c>
      <c r="BS189" s="150">
        <f>BS188/BN188-1</f>
        <v>4.9553932208890483E-2</v>
      </c>
      <c r="BT189" s="214">
        <v>0.02</v>
      </c>
      <c r="BU189" s="214">
        <v>0.02</v>
      </c>
      <c r="BV189" s="214">
        <v>0.02</v>
      </c>
      <c r="BW189" s="152"/>
    </row>
    <row r="190" spans="1:75" ht="15.75" customHeight="1" x14ac:dyDescent="0.2">
      <c r="A190" s="47"/>
      <c r="B190" s="39"/>
      <c r="C190" s="40"/>
      <c r="D190" s="40"/>
      <c r="E190" s="40"/>
      <c r="F190" s="40"/>
      <c r="G190" s="41"/>
      <c r="H190" s="41"/>
      <c r="I190" s="41"/>
      <c r="J190" s="41"/>
      <c r="K190" s="40"/>
      <c r="L190" s="41"/>
      <c r="M190" s="41"/>
      <c r="N190" s="41"/>
      <c r="O190" s="41"/>
      <c r="P190" s="40"/>
      <c r="Q190" s="41"/>
      <c r="R190" s="41"/>
      <c r="S190" s="41"/>
      <c r="T190" s="41"/>
      <c r="U190" s="40"/>
      <c r="V190" s="41"/>
      <c r="W190" s="41"/>
      <c r="X190" s="41"/>
      <c r="Y190" s="41"/>
      <c r="Z190" s="40"/>
      <c r="AA190" s="41"/>
      <c r="AB190" s="41"/>
      <c r="AC190" s="41"/>
      <c r="AD190" s="41"/>
      <c r="AE190" s="40"/>
      <c r="AF190" s="41"/>
      <c r="AG190" s="41"/>
      <c r="AH190" s="41"/>
      <c r="AI190" s="41"/>
      <c r="AJ190" s="40"/>
      <c r="AK190" s="41"/>
      <c r="AL190" s="41"/>
      <c r="AM190" s="41"/>
      <c r="AN190" s="41"/>
      <c r="AO190" s="40"/>
      <c r="AP190" s="41"/>
      <c r="AQ190" s="41"/>
      <c r="AR190" s="41"/>
      <c r="AS190" s="41"/>
      <c r="AT190" s="40"/>
      <c r="AU190" s="41"/>
      <c r="AV190" s="41"/>
      <c r="AW190" s="41"/>
      <c r="AX190" s="41"/>
      <c r="AY190" s="40"/>
      <c r="AZ190" s="41"/>
      <c r="BA190" s="41"/>
      <c r="BB190" s="41"/>
      <c r="BC190" s="41"/>
      <c r="BD190" s="40"/>
      <c r="BE190" s="41"/>
      <c r="BF190" s="41"/>
      <c r="BG190" s="41"/>
      <c r="BH190" s="41"/>
      <c r="BI190" s="46"/>
      <c r="BJ190" s="41"/>
      <c r="BK190" s="41"/>
      <c r="BL190" s="41"/>
      <c r="BM190" s="41"/>
      <c r="BN190" s="40"/>
      <c r="BO190" s="41"/>
      <c r="BP190" s="41"/>
      <c r="BQ190" s="41"/>
      <c r="BR190" s="41"/>
      <c r="BS190" s="40"/>
      <c r="BT190" s="40"/>
      <c r="BU190" s="40"/>
      <c r="BV190" s="40"/>
      <c r="BW190" s="45"/>
    </row>
    <row r="191" spans="1:75" ht="15.75" customHeight="1" x14ac:dyDescent="0.2">
      <c r="A191" s="81" t="s">
        <v>587</v>
      </c>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2"/>
      <c r="BJ191" s="81"/>
      <c r="BK191" s="81"/>
      <c r="BL191" s="81"/>
      <c r="BM191" s="81"/>
      <c r="BN191" s="81"/>
      <c r="BO191" s="81"/>
      <c r="BP191" s="81"/>
      <c r="BQ191" s="81"/>
      <c r="BR191" s="81"/>
      <c r="BS191" s="81"/>
      <c r="BT191" s="81"/>
      <c r="BU191" s="81"/>
      <c r="BV191" s="81"/>
      <c r="BW191" s="83"/>
    </row>
    <row r="192" spans="1:75" ht="15.75" customHeight="1" outlineLevel="2" x14ac:dyDescent="0.2">
      <c r="A192" s="124" t="s">
        <v>329</v>
      </c>
      <c r="B192" s="125"/>
      <c r="C192" s="130"/>
      <c r="D192" s="130"/>
      <c r="E192" s="130"/>
      <c r="F192" s="130"/>
      <c r="G192" s="154"/>
      <c r="H192" s="154"/>
      <c r="I192" s="154"/>
      <c r="J192" s="154"/>
      <c r="K192" s="130"/>
      <c r="L192" s="154"/>
      <c r="M192" s="154"/>
      <c r="N192" s="154"/>
      <c r="O192" s="154"/>
      <c r="P192" s="130"/>
      <c r="Q192" s="154"/>
      <c r="R192" s="154"/>
      <c r="S192" s="154"/>
      <c r="T192" s="154"/>
      <c r="U192" s="126">
        <v>1</v>
      </c>
      <c r="V192" s="154"/>
      <c r="W192" s="154"/>
      <c r="X192" s="154"/>
      <c r="Y192" s="154"/>
      <c r="Z192" s="126">
        <v>1</v>
      </c>
      <c r="AA192" s="154"/>
      <c r="AB192" s="154"/>
      <c r="AC192" s="154"/>
      <c r="AD192" s="154"/>
      <c r="AE192" s="126">
        <v>1</v>
      </c>
      <c r="AF192" s="154"/>
      <c r="AG192" s="154"/>
      <c r="AH192" s="154"/>
      <c r="AI192" s="154"/>
      <c r="AJ192" s="126">
        <v>2</v>
      </c>
      <c r="AK192" s="154"/>
      <c r="AL192" s="154"/>
      <c r="AM192" s="154"/>
      <c r="AN192" s="154"/>
      <c r="AO192" s="126">
        <v>4</v>
      </c>
      <c r="AP192" s="154"/>
      <c r="AQ192" s="154"/>
      <c r="AR192" s="154"/>
      <c r="AS192" s="154"/>
      <c r="AT192" s="126">
        <v>4</v>
      </c>
      <c r="AU192" s="154"/>
      <c r="AV192" s="154"/>
      <c r="AW192" s="154"/>
      <c r="AX192" s="154"/>
      <c r="AY192" s="126">
        <v>4</v>
      </c>
      <c r="AZ192" s="154"/>
      <c r="BA192" s="154"/>
      <c r="BB192" s="154"/>
      <c r="BC192" s="154"/>
      <c r="BD192" s="126">
        <v>4</v>
      </c>
      <c r="BE192" s="154"/>
      <c r="BF192" s="154"/>
      <c r="BG192" s="154"/>
      <c r="BH192" s="154"/>
      <c r="BI192" s="220">
        <v>4</v>
      </c>
      <c r="BJ192" s="154"/>
      <c r="BK192" s="154"/>
      <c r="BL192" s="154"/>
      <c r="BM192" s="154"/>
      <c r="BN192" s="130"/>
      <c r="BO192" s="154"/>
      <c r="BP192" s="154"/>
      <c r="BQ192" s="154"/>
      <c r="BR192" s="154"/>
      <c r="BS192" s="130"/>
      <c r="BT192" s="130"/>
      <c r="BU192" s="130"/>
      <c r="BV192" s="130"/>
      <c r="BW192" s="131"/>
    </row>
    <row r="193" spans="1:75" ht="15.75" customHeight="1" outlineLevel="2" x14ac:dyDescent="0.2">
      <c r="A193" s="124" t="s">
        <v>330</v>
      </c>
      <c r="B193" s="125"/>
      <c r="C193" s="130"/>
      <c r="D193" s="130"/>
      <c r="E193" s="130"/>
      <c r="F193" s="130"/>
      <c r="G193" s="154"/>
      <c r="H193" s="154"/>
      <c r="I193" s="154"/>
      <c r="J193" s="154"/>
      <c r="K193" s="130"/>
      <c r="L193" s="154"/>
      <c r="M193" s="154"/>
      <c r="N193" s="154"/>
      <c r="O193" s="154"/>
      <c r="P193" s="130"/>
      <c r="Q193" s="154"/>
      <c r="R193" s="154"/>
      <c r="S193" s="154"/>
      <c r="T193" s="154"/>
      <c r="U193" s="126">
        <v>3</v>
      </c>
      <c r="V193" s="154"/>
      <c r="W193" s="154"/>
      <c r="X193" s="154"/>
      <c r="Y193" s="154"/>
      <c r="Z193" s="126">
        <v>3</v>
      </c>
      <c r="AA193" s="154"/>
      <c r="AB193" s="154"/>
      <c r="AC193" s="154"/>
      <c r="AD193" s="154"/>
      <c r="AE193" s="126">
        <v>3</v>
      </c>
      <c r="AF193" s="154"/>
      <c r="AG193" s="154"/>
      <c r="AH193" s="154"/>
      <c r="AI193" s="154"/>
      <c r="AJ193" s="126">
        <v>3</v>
      </c>
      <c r="AK193" s="154"/>
      <c r="AL193" s="154"/>
      <c r="AM193" s="154"/>
      <c r="AN193" s="154"/>
      <c r="AO193" s="126">
        <v>3</v>
      </c>
      <c r="AP193" s="154"/>
      <c r="AQ193" s="154"/>
      <c r="AR193" s="154"/>
      <c r="AS193" s="154"/>
      <c r="AT193" s="126">
        <v>3</v>
      </c>
      <c r="AU193" s="154"/>
      <c r="AV193" s="154"/>
      <c r="AW193" s="154"/>
      <c r="AX193" s="154"/>
      <c r="AY193" s="126">
        <v>3</v>
      </c>
      <c r="AZ193" s="154"/>
      <c r="BA193" s="154"/>
      <c r="BB193" s="154"/>
      <c r="BC193" s="154"/>
      <c r="BD193" s="126">
        <v>3</v>
      </c>
      <c r="BE193" s="154"/>
      <c r="BF193" s="154"/>
      <c r="BG193" s="154"/>
      <c r="BH193" s="154"/>
      <c r="BI193" s="220">
        <v>3</v>
      </c>
      <c r="BJ193" s="154"/>
      <c r="BK193" s="154"/>
      <c r="BL193" s="154"/>
      <c r="BM193" s="154"/>
      <c r="BN193" s="130"/>
      <c r="BO193" s="154"/>
      <c r="BP193" s="154"/>
      <c r="BQ193" s="154"/>
      <c r="BR193" s="154"/>
      <c r="BS193" s="130"/>
      <c r="BT193" s="130"/>
      <c r="BU193" s="130"/>
      <c r="BV193" s="130"/>
      <c r="BW193" s="131"/>
    </row>
    <row r="194" spans="1:75" ht="15.75" customHeight="1" outlineLevel="2" x14ac:dyDescent="0.2">
      <c r="A194" s="124" t="s">
        <v>331</v>
      </c>
      <c r="B194" s="125"/>
      <c r="C194" s="130"/>
      <c r="D194" s="130"/>
      <c r="E194" s="130"/>
      <c r="F194" s="130"/>
      <c r="G194" s="154"/>
      <c r="H194" s="154"/>
      <c r="I194" s="154"/>
      <c r="J194" s="154"/>
      <c r="K194" s="130"/>
      <c r="L194" s="154"/>
      <c r="M194" s="154"/>
      <c r="N194" s="154"/>
      <c r="O194" s="154"/>
      <c r="P194" s="130"/>
      <c r="Q194" s="154"/>
      <c r="R194" s="154"/>
      <c r="S194" s="154"/>
      <c r="T194" s="154"/>
      <c r="U194" s="126">
        <v>1</v>
      </c>
      <c r="V194" s="154"/>
      <c r="W194" s="154"/>
      <c r="X194" s="154"/>
      <c r="Y194" s="154"/>
      <c r="Z194" s="126">
        <v>1</v>
      </c>
      <c r="AA194" s="154"/>
      <c r="AB194" s="154"/>
      <c r="AC194" s="154"/>
      <c r="AD194" s="154"/>
      <c r="AE194" s="126">
        <v>1</v>
      </c>
      <c r="AF194" s="154"/>
      <c r="AG194" s="154"/>
      <c r="AH194" s="154"/>
      <c r="AI194" s="154"/>
      <c r="AJ194" s="126">
        <v>1</v>
      </c>
      <c r="AK194" s="154"/>
      <c r="AL194" s="154"/>
      <c r="AM194" s="154"/>
      <c r="AN194" s="154"/>
      <c r="AO194" s="130"/>
      <c r="AP194" s="154"/>
      <c r="AQ194" s="154"/>
      <c r="AR194" s="154"/>
      <c r="AS194" s="154"/>
      <c r="AT194" s="130"/>
      <c r="AU194" s="154"/>
      <c r="AV194" s="154"/>
      <c r="AW194" s="154"/>
      <c r="AX194" s="154"/>
      <c r="AY194" s="130"/>
      <c r="AZ194" s="154"/>
      <c r="BA194" s="154"/>
      <c r="BB194" s="154"/>
      <c r="BC194" s="154"/>
      <c r="BD194" s="130"/>
      <c r="BE194" s="154"/>
      <c r="BF194" s="154"/>
      <c r="BG194" s="154"/>
      <c r="BH194" s="154"/>
      <c r="BI194" s="155"/>
      <c r="BJ194" s="154"/>
      <c r="BK194" s="154"/>
      <c r="BL194" s="154"/>
      <c r="BM194" s="154"/>
      <c r="BN194" s="130"/>
      <c r="BO194" s="154"/>
      <c r="BP194" s="154"/>
      <c r="BQ194" s="154"/>
      <c r="BR194" s="154"/>
      <c r="BS194" s="130"/>
      <c r="BT194" s="130"/>
      <c r="BU194" s="130"/>
      <c r="BV194" s="130"/>
      <c r="BW194" s="131"/>
    </row>
    <row r="195" spans="1:75" ht="15.75" customHeight="1" outlineLevel="2" x14ac:dyDescent="0.2">
      <c r="A195" s="124" t="s">
        <v>332</v>
      </c>
      <c r="B195" s="125"/>
      <c r="C195" s="130"/>
      <c r="D195" s="130"/>
      <c r="E195" s="130"/>
      <c r="F195" s="130"/>
      <c r="G195" s="154"/>
      <c r="H195" s="154"/>
      <c r="I195" s="154"/>
      <c r="J195" s="154"/>
      <c r="K195" s="130"/>
      <c r="L195" s="154"/>
      <c r="M195" s="154"/>
      <c r="N195" s="154"/>
      <c r="O195" s="154"/>
      <c r="P195" s="130"/>
      <c r="Q195" s="154"/>
      <c r="R195" s="154"/>
      <c r="S195" s="154"/>
      <c r="T195" s="154"/>
      <c r="U195" s="130"/>
      <c r="V195" s="154"/>
      <c r="W195" s="154"/>
      <c r="X195" s="154"/>
      <c r="Y195" s="154"/>
      <c r="Z195" s="126">
        <v>1</v>
      </c>
      <c r="AA195" s="154"/>
      <c r="AB195" s="154"/>
      <c r="AC195" s="154"/>
      <c r="AD195" s="154"/>
      <c r="AE195" s="126">
        <v>3</v>
      </c>
      <c r="AF195" s="154"/>
      <c r="AG195" s="154"/>
      <c r="AH195" s="154"/>
      <c r="AI195" s="154"/>
      <c r="AJ195" s="126">
        <v>3</v>
      </c>
      <c r="AK195" s="154"/>
      <c r="AL195" s="154"/>
      <c r="AM195" s="154"/>
      <c r="AN195" s="154"/>
      <c r="AO195" s="126">
        <v>3</v>
      </c>
      <c r="AP195" s="154"/>
      <c r="AQ195" s="154"/>
      <c r="AR195" s="154"/>
      <c r="AS195" s="154"/>
      <c r="AT195" s="126">
        <v>3</v>
      </c>
      <c r="AU195" s="154"/>
      <c r="AV195" s="154"/>
      <c r="AW195" s="154"/>
      <c r="AX195" s="154"/>
      <c r="AY195" s="126">
        <v>3</v>
      </c>
      <c r="AZ195" s="154"/>
      <c r="BA195" s="154"/>
      <c r="BB195" s="154"/>
      <c r="BC195" s="154"/>
      <c r="BD195" s="126">
        <v>3</v>
      </c>
      <c r="BE195" s="154"/>
      <c r="BF195" s="154"/>
      <c r="BG195" s="154"/>
      <c r="BH195" s="154"/>
      <c r="BI195" s="220">
        <v>3</v>
      </c>
      <c r="BJ195" s="154"/>
      <c r="BK195" s="154"/>
      <c r="BL195" s="154"/>
      <c r="BM195" s="154"/>
      <c r="BN195" s="130"/>
      <c r="BO195" s="154"/>
      <c r="BP195" s="154"/>
      <c r="BQ195" s="154"/>
      <c r="BR195" s="154"/>
      <c r="BS195" s="130"/>
      <c r="BT195" s="130"/>
      <c r="BU195" s="130"/>
      <c r="BV195" s="130"/>
      <c r="BW195" s="131"/>
    </row>
    <row r="196" spans="1:75" ht="15.75" customHeight="1" outlineLevel="2" x14ac:dyDescent="0.2">
      <c r="A196" s="124" t="s">
        <v>333</v>
      </c>
      <c r="B196" s="125"/>
      <c r="C196" s="130"/>
      <c r="D196" s="130"/>
      <c r="E196" s="130"/>
      <c r="F196" s="130"/>
      <c r="G196" s="154"/>
      <c r="H196" s="154"/>
      <c r="I196" s="154"/>
      <c r="J196" s="154"/>
      <c r="K196" s="130"/>
      <c r="L196" s="154"/>
      <c r="M196" s="154"/>
      <c r="N196" s="154"/>
      <c r="O196" s="154"/>
      <c r="P196" s="130"/>
      <c r="Q196" s="154"/>
      <c r="R196" s="154"/>
      <c r="S196" s="154"/>
      <c r="T196" s="154"/>
      <c r="U196" s="126">
        <v>4</v>
      </c>
      <c r="V196" s="154"/>
      <c r="W196" s="154"/>
      <c r="X196" s="154"/>
      <c r="Y196" s="154"/>
      <c r="Z196" s="126">
        <v>5</v>
      </c>
      <c r="AA196" s="154"/>
      <c r="AB196" s="154"/>
      <c r="AC196" s="154"/>
      <c r="AD196" s="154"/>
      <c r="AE196" s="126">
        <v>5</v>
      </c>
      <c r="AF196" s="154"/>
      <c r="AG196" s="154"/>
      <c r="AH196" s="154"/>
      <c r="AI196" s="154"/>
      <c r="AJ196" s="126">
        <v>5</v>
      </c>
      <c r="AK196" s="154"/>
      <c r="AL196" s="154"/>
      <c r="AM196" s="154"/>
      <c r="AN196" s="154"/>
      <c r="AO196" s="126">
        <v>6</v>
      </c>
      <c r="AP196" s="154"/>
      <c r="AQ196" s="154"/>
      <c r="AR196" s="154"/>
      <c r="AS196" s="154"/>
      <c r="AT196" s="126">
        <v>6</v>
      </c>
      <c r="AU196" s="154"/>
      <c r="AV196" s="154"/>
      <c r="AW196" s="154"/>
      <c r="AX196" s="154"/>
      <c r="AY196" s="126">
        <v>6</v>
      </c>
      <c r="AZ196" s="154"/>
      <c r="BA196" s="154"/>
      <c r="BB196" s="154"/>
      <c r="BC196" s="154"/>
      <c r="BD196" s="126">
        <v>6</v>
      </c>
      <c r="BE196" s="154"/>
      <c r="BF196" s="154"/>
      <c r="BG196" s="154"/>
      <c r="BH196" s="154"/>
      <c r="BI196" s="220">
        <v>6</v>
      </c>
      <c r="BJ196" s="154"/>
      <c r="BK196" s="154"/>
      <c r="BL196" s="154"/>
      <c r="BM196" s="154"/>
      <c r="BN196" s="130"/>
      <c r="BO196" s="154"/>
      <c r="BP196" s="154"/>
      <c r="BQ196" s="154"/>
      <c r="BR196" s="154"/>
      <c r="BS196" s="130"/>
      <c r="BT196" s="130"/>
      <c r="BU196" s="130"/>
      <c r="BV196" s="130"/>
      <c r="BW196" s="131"/>
    </row>
    <row r="197" spans="1:75" ht="15.75" customHeight="1" outlineLevel="2" x14ac:dyDescent="0.2">
      <c r="A197" s="124" t="s">
        <v>334</v>
      </c>
      <c r="B197" s="125"/>
      <c r="C197" s="130"/>
      <c r="D197" s="130"/>
      <c r="E197" s="130"/>
      <c r="F197" s="130"/>
      <c r="G197" s="154"/>
      <c r="H197" s="154"/>
      <c r="I197" s="154"/>
      <c r="J197" s="154"/>
      <c r="K197" s="130"/>
      <c r="L197" s="154"/>
      <c r="M197" s="154"/>
      <c r="N197" s="154"/>
      <c r="O197" s="154"/>
      <c r="P197" s="130"/>
      <c r="Q197" s="154"/>
      <c r="R197" s="154"/>
      <c r="S197" s="154"/>
      <c r="T197" s="154"/>
      <c r="U197" s="130"/>
      <c r="V197" s="154"/>
      <c r="W197" s="154"/>
      <c r="X197" s="154"/>
      <c r="Y197" s="154"/>
      <c r="Z197" s="130"/>
      <c r="AA197" s="154"/>
      <c r="AB197" s="154"/>
      <c r="AC197" s="154"/>
      <c r="AD197" s="154"/>
      <c r="AE197" s="126">
        <v>1</v>
      </c>
      <c r="AF197" s="154"/>
      <c r="AG197" s="154"/>
      <c r="AH197" s="154"/>
      <c r="AI197" s="154"/>
      <c r="AJ197" s="126">
        <v>1</v>
      </c>
      <c r="AK197" s="154"/>
      <c r="AL197" s="154"/>
      <c r="AM197" s="154"/>
      <c r="AN197" s="154"/>
      <c r="AO197" s="126">
        <v>1</v>
      </c>
      <c r="AP197" s="154"/>
      <c r="AQ197" s="154"/>
      <c r="AR197" s="154"/>
      <c r="AS197" s="154"/>
      <c r="AT197" s="126">
        <v>1</v>
      </c>
      <c r="AU197" s="154"/>
      <c r="AV197" s="154"/>
      <c r="AW197" s="154"/>
      <c r="AX197" s="154"/>
      <c r="AY197" s="126">
        <v>1</v>
      </c>
      <c r="AZ197" s="154"/>
      <c r="BA197" s="154"/>
      <c r="BB197" s="154"/>
      <c r="BC197" s="154"/>
      <c r="BD197" s="126">
        <v>1</v>
      </c>
      <c r="BE197" s="154"/>
      <c r="BF197" s="154"/>
      <c r="BG197" s="154"/>
      <c r="BH197" s="154"/>
      <c r="BI197" s="220">
        <v>1</v>
      </c>
      <c r="BJ197" s="154"/>
      <c r="BK197" s="154"/>
      <c r="BL197" s="154"/>
      <c r="BM197" s="154"/>
      <c r="BN197" s="130"/>
      <c r="BO197" s="154"/>
      <c r="BP197" s="154"/>
      <c r="BQ197" s="154"/>
      <c r="BR197" s="154"/>
      <c r="BS197" s="130"/>
      <c r="BT197" s="130"/>
      <c r="BU197" s="130"/>
      <c r="BV197" s="130"/>
      <c r="BW197" s="131"/>
    </row>
    <row r="198" spans="1:75" ht="15.75" customHeight="1" outlineLevel="2" x14ac:dyDescent="0.2">
      <c r="A198" s="140" t="s">
        <v>335</v>
      </c>
      <c r="B198" s="141"/>
      <c r="C198" s="145"/>
      <c r="D198" s="145"/>
      <c r="E198" s="145"/>
      <c r="F198" s="145"/>
      <c r="G198" s="147"/>
      <c r="H198" s="147"/>
      <c r="I198" s="147"/>
      <c r="J198" s="147"/>
      <c r="K198" s="145"/>
      <c r="L198" s="147"/>
      <c r="M198" s="147"/>
      <c r="N198" s="147"/>
      <c r="O198" s="147"/>
      <c r="P198" s="145"/>
      <c r="Q198" s="147"/>
      <c r="R198" s="147"/>
      <c r="S198" s="147"/>
      <c r="T198" s="147"/>
      <c r="U198" s="205">
        <f>SUM(U192:U197)</f>
        <v>9</v>
      </c>
      <c r="V198" s="147"/>
      <c r="W198" s="147"/>
      <c r="X198" s="147"/>
      <c r="Y198" s="147"/>
      <c r="Z198" s="205">
        <f>SUM(Z192:Z197)</f>
        <v>11</v>
      </c>
      <c r="AA198" s="147"/>
      <c r="AB198" s="147"/>
      <c r="AC198" s="147"/>
      <c r="AD198" s="147"/>
      <c r="AE198" s="205">
        <f>SUM(AE192:AE197)</f>
        <v>14</v>
      </c>
      <c r="AF198" s="147"/>
      <c r="AG198" s="147"/>
      <c r="AH198" s="147"/>
      <c r="AI198" s="147"/>
      <c r="AJ198" s="205">
        <f>SUM(AJ192:AJ197)</f>
        <v>15</v>
      </c>
      <c r="AK198" s="147"/>
      <c r="AL198" s="147"/>
      <c r="AM198" s="147"/>
      <c r="AN198" s="147"/>
      <c r="AO198" s="205">
        <f>SUM(AO192:AO197)</f>
        <v>17</v>
      </c>
      <c r="AP198" s="147"/>
      <c r="AQ198" s="147"/>
      <c r="AR198" s="147"/>
      <c r="AS198" s="147"/>
      <c r="AT198" s="205">
        <f>SUM(AT192:AT197)</f>
        <v>17</v>
      </c>
      <c r="AU198" s="147"/>
      <c r="AV198" s="147"/>
      <c r="AW198" s="147"/>
      <c r="AX198" s="147"/>
      <c r="AY198" s="145">
        <f>SUM(AY192:AY197)</f>
        <v>17</v>
      </c>
      <c r="AZ198" s="147"/>
      <c r="BA198" s="147"/>
      <c r="BB198" s="147"/>
      <c r="BC198" s="147"/>
      <c r="BD198" s="145">
        <f>SUM(BD192:BD197)</f>
        <v>17</v>
      </c>
      <c r="BE198" s="147"/>
      <c r="BF198" s="147"/>
      <c r="BG198" s="147"/>
      <c r="BH198" s="147"/>
      <c r="BI198" s="146">
        <f>IFERROR(SUM(BI192:BI197),"n/a")</f>
        <v>17</v>
      </c>
      <c r="BJ198" s="147"/>
      <c r="BK198" s="147"/>
      <c r="BL198" s="147"/>
      <c r="BM198" s="147"/>
      <c r="BN198" s="145"/>
      <c r="BO198" s="147"/>
      <c r="BP198" s="147"/>
      <c r="BQ198" s="147"/>
      <c r="BR198" s="147"/>
      <c r="BS198" s="145"/>
      <c r="BT198" s="145"/>
      <c r="BU198" s="145"/>
      <c r="BV198" s="145"/>
      <c r="BW198" s="120"/>
    </row>
    <row r="199" spans="1:75" ht="15.75" customHeight="1" outlineLevel="2" x14ac:dyDescent="0.2">
      <c r="A199" s="116" t="s">
        <v>336</v>
      </c>
      <c r="B199" s="117"/>
      <c r="C199" s="122"/>
      <c r="D199" s="122"/>
      <c r="E199" s="122"/>
      <c r="F199" s="122"/>
      <c r="G199" s="121"/>
      <c r="H199" s="121"/>
      <c r="I199" s="121"/>
      <c r="J199" s="121"/>
      <c r="K199" s="122"/>
      <c r="L199" s="121"/>
      <c r="M199" s="121"/>
      <c r="N199" s="121"/>
      <c r="O199" s="121"/>
      <c r="P199" s="122"/>
      <c r="Q199" s="121"/>
      <c r="R199" s="121"/>
      <c r="S199" s="121"/>
      <c r="T199" s="121"/>
      <c r="U199" s="118">
        <v>2</v>
      </c>
      <c r="V199" s="121"/>
      <c r="W199" s="121"/>
      <c r="X199" s="121"/>
      <c r="Y199" s="121"/>
      <c r="Z199" s="118">
        <v>3</v>
      </c>
      <c r="AA199" s="121"/>
      <c r="AB199" s="121"/>
      <c r="AC199" s="121"/>
      <c r="AD199" s="121"/>
      <c r="AE199" s="118">
        <v>3</v>
      </c>
      <c r="AF199" s="121"/>
      <c r="AG199" s="121"/>
      <c r="AH199" s="121"/>
      <c r="AI199" s="121"/>
      <c r="AJ199" s="118">
        <v>3</v>
      </c>
      <c r="AK199" s="121"/>
      <c r="AL199" s="121"/>
      <c r="AM199" s="121"/>
      <c r="AN199" s="121"/>
      <c r="AO199" s="118">
        <v>5</v>
      </c>
      <c r="AP199" s="121"/>
      <c r="AQ199" s="121"/>
      <c r="AR199" s="121"/>
      <c r="AS199" s="121"/>
      <c r="AT199" s="118">
        <v>6</v>
      </c>
      <c r="AU199" s="121"/>
      <c r="AV199" s="121"/>
      <c r="AW199" s="121"/>
      <c r="AX199" s="121"/>
      <c r="AY199" s="118">
        <v>6</v>
      </c>
      <c r="AZ199" s="121"/>
      <c r="BA199" s="121"/>
      <c r="BB199" s="121"/>
      <c r="BC199" s="121"/>
      <c r="BD199" s="118">
        <v>7</v>
      </c>
      <c r="BE199" s="121"/>
      <c r="BF199" s="121"/>
      <c r="BG199" s="121"/>
      <c r="BH199" s="121"/>
      <c r="BI199" s="221">
        <v>7</v>
      </c>
      <c r="BJ199" s="121"/>
      <c r="BK199" s="121"/>
      <c r="BL199" s="121"/>
      <c r="BM199" s="121"/>
      <c r="BN199" s="122"/>
      <c r="BO199" s="121"/>
      <c r="BP199" s="121"/>
      <c r="BQ199" s="121"/>
      <c r="BR199" s="121"/>
      <c r="BS199" s="122"/>
      <c r="BT199" s="122"/>
      <c r="BU199" s="122"/>
      <c r="BV199" s="122"/>
      <c r="BW199" s="120"/>
    </row>
    <row r="200" spans="1:75" ht="15.75" customHeight="1" outlineLevel="2" x14ac:dyDescent="0.2">
      <c r="A200" s="124" t="s">
        <v>337</v>
      </c>
      <c r="B200" s="125"/>
      <c r="C200" s="130"/>
      <c r="D200" s="130"/>
      <c r="E200" s="130"/>
      <c r="F200" s="130"/>
      <c r="G200" s="154"/>
      <c r="H200" s="154"/>
      <c r="I200" s="154"/>
      <c r="J200" s="154"/>
      <c r="K200" s="130"/>
      <c r="L200" s="154"/>
      <c r="M200" s="154"/>
      <c r="N200" s="154"/>
      <c r="O200" s="154"/>
      <c r="P200" s="130"/>
      <c r="Q200" s="154"/>
      <c r="R200" s="154"/>
      <c r="S200" s="154"/>
      <c r="T200" s="154"/>
      <c r="U200" s="130"/>
      <c r="V200" s="154"/>
      <c r="W200" s="154"/>
      <c r="X200" s="154"/>
      <c r="Y200" s="154"/>
      <c r="Z200" s="130"/>
      <c r="AA200" s="154"/>
      <c r="AB200" s="154"/>
      <c r="AC200" s="154"/>
      <c r="AD200" s="154"/>
      <c r="AE200" s="130"/>
      <c r="AF200" s="154"/>
      <c r="AG200" s="154"/>
      <c r="AH200" s="154"/>
      <c r="AI200" s="154"/>
      <c r="AJ200" s="130"/>
      <c r="AK200" s="154"/>
      <c r="AL200" s="154"/>
      <c r="AM200" s="154"/>
      <c r="AN200" s="154"/>
      <c r="AO200" s="126">
        <v>1</v>
      </c>
      <c r="AP200" s="154"/>
      <c r="AQ200" s="154"/>
      <c r="AR200" s="154"/>
      <c r="AS200" s="154"/>
      <c r="AT200" s="126">
        <v>1</v>
      </c>
      <c r="AU200" s="154"/>
      <c r="AV200" s="154"/>
      <c r="AW200" s="154"/>
      <c r="AX200" s="154"/>
      <c r="AY200" s="126">
        <v>1</v>
      </c>
      <c r="AZ200" s="154"/>
      <c r="BA200" s="154"/>
      <c r="BB200" s="154"/>
      <c r="BC200" s="154"/>
      <c r="BD200" s="126">
        <v>1</v>
      </c>
      <c r="BE200" s="154"/>
      <c r="BF200" s="154"/>
      <c r="BG200" s="154"/>
      <c r="BH200" s="154"/>
      <c r="BI200" s="220">
        <v>1</v>
      </c>
      <c r="BJ200" s="154"/>
      <c r="BK200" s="154"/>
      <c r="BL200" s="154"/>
      <c r="BM200" s="154"/>
      <c r="BN200" s="130"/>
      <c r="BO200" s="154"/>
      <c r="BP200" s="154"/>
      <c r="BQ200" s="154"/>
      <c r="BR200" s="154"/>
      <c r="BS200" s="130"/>
      <c r="BT200" s="130"/>
      <c r="BU200" s="130"/>
      <c r="BV200" s="130"/>
      <c r="BW200" s="131"/>
    </row>
    <row r="201" spans="1:75" ht="15.75" customHeight="1" outlineLevel="2" x14ac:dyDescent="0.2">
      <c r="A201" s="124" t="s">
        <v>338</v>
      </c>
      <c r="B201" s="125"/>
      <c r="C201" s="130"/>
      <c r="D201" s="130"/>
      <c r="E201" s="130"/>
      <c r="F201" s="130"/>
      <c r="G201" s="154"/>
      <c r="H201" s="154"/>
      <c r="I201" s="154"/>
      <c r="J201" s="154"/>
      <c r="K201" s="130"/>
      <c r="L201" s="154"/>
      <c r="M201" s="154"/>
      <c r="N201" s="154"/>
      <c r="O201" s="154"/>
      <c r="P201" s="130"/>
      <c r="Q201" s="154"/>
      <c r="R201" s="154"/>
      <c r="S201" s="154"/>
      <c r="T201" s="154"/>
      <c r="U201" s="130"/>
      <c r="V201" s="154"/>
      <c r="W201" s="154"/>
      <c r="X201" s="154"/>
      <c r="Y201" s="154"/>
      <c r="Z201" s="130"/>
      <c r="AA201" s="154"/>
      <c r="AB201" s="154"/>
      <c r="AC201" s="154"/>
      <c r="AD201" s="154"/>
      <c r="AE201" s="130"/>
      <c r="AF201" s="154"/>
      <c r="AG201" s="154"/>
      <c r="AH201" s="154"/>
      <c r="AI201" s="154"/>
      <c r="AJ201" s="130"/>
      <c r="AK201" s="154"/>
      <c r="AL201" s="154"/>
      <c r="AM201" s="154"/>
      <c r="AN201" s="154"/>
      <c r="AO201" s="126">
        <v>1</v>
      </c>
      <c r="AP201" s="154"/>
      <c r="AQ201" s="154"/>
      <c r="AR201" s="154"/>
      <c r="AS201" s="154"/>
      <c r="AT201" s="126">
        <v>1</v>
      </c>
      <c r="AU201" s="154"/>
      <c r="AV201" s="154"/>
      <c r="AW201" s="154"/>
      <c r="AX201" s="154"/>
      <c r="AY201" s="126">
        <v>3</v>
      </c>
      <c r="AZ201" s="154"/>
      <c r="BA201" s="154"/>
      <c r="BB201" s="154"/>
      <c r="BC201" s="154"/>
      <c r="BD201" s="126">
        <v>3</v>
      </c>
      <c r="BE201" s="154"/>
      <c r="BF201" s="154"/>
      <c r="BG201" s="154"/>
      <c r="BH201" s="154"/>
      <c r="BI201" s="220">
        <v>3</v>
      </c>
      <c r="BJ201" s="154"/>
      <c r="BK201" s="154"/>
      <c r="BL201" s="154"/>
      <c r="BM201" s="154"/>
      <c r="BN201" s="130"/>
      <c r="BO201" s="154"/>
      <c r="BP201" s="154"/>
      <c r="BQ201" s="154"/>
      <c r="BR201" s="154"/>
      <c r="BS201" s="130"/>
      <c r="BT201" s="130"/>
      <c r="BU201" s="130"/>
      <c r="BV201" s="130"/>
      <c r="BW201" s="131"/>
    </row>
    <row r="202" spans="1:75" ht="15.75" customHeight="1" outlineLevel="2" x14ac:dyDescent="0.2">
      <c r="A202" s="132" t="s">
        <v>339</v>
      </c>
      <c r="B202" s="133"/>
      <c r="C202" s="138"/>
      <c r="D202" s="138"/>
      <c r="E202" s="138"/>
      <c r="F202" s="138"/>
      <c r="G202" s="174"/>
      <c r="H202" s="174"/>
      <c r="I202" s="174"/>
      <c r="J202" s="174"/>
      <c r="K202" s="138"/>
      <c r="L202" s="174"/>
      <c r="M202" s="174"/>
      <c r="N202" s="174"/>
      <c r="O202" s="174"/>
      <c r="P202" s="138"/>
      <c r="Q202" s="174"/>
      <c r="R202" s="174"/>
      <c r="S202" s="174"/>
      <c r="T202" s="174"/>
      <c r="U202" s="138"/>
      <c r="V202" s="174"/>
      <c r="W202" s="174"/>
      <c r="X202" s="174"/>
      <c r="Y202" s="174"/>
      <c r="Z202" s="138"/>
      <c r="AA202" s="174"/>
      <c r="AB202" s="174"/>
      <c r="AC202" s="174"/>
      <c r="AD202" s="174"/>
      <c r="AE202" s="138"/>
      <c r="AF202" s="174"/>
      <c r="AG202" s="174"/>
      <c r="AH202" s="174"/>
      <c r="AI202" s="174"/>
      <c r="AJ202" s="138"/>
      <c r="AK202" s="174"/>
      <c r="AL202" s="174"/>
      <c r="AM202" s="174"/>
      <c r="AN202" s="174"/>
      <c r="AO202" s="138"/>
      <c r="AP202" s="174"/>
      <c r="AQ202" s="174"/>
      <c r="AR202" s="174"/>
      <c r="AS202" s="174"/>
      <c r="AT202" s="138"/>
      <c r="AU202" s="174"/>
      <c r="AV202" s="174"/>
      <c r="AW202" s="174"/>
      <c r="AX202" s="174"/>
      <c r="AY202" s="138"/>
      <c r="AZ202" s="174"/>
      <c r="BA202" s="174"/>
      <c r="BB202" s="174"/>
      <c r="BC202" s="174"/>
      <c r="BD202" s="138"/>
      <c r="BE202" s="174"/>
      <c r="BF202" s="174"/>
      <c r="BG202" s="174"/>
      <c r="BH202" s="174"/>
      <c r="BI202" s="222">
        <v>1</v>
      </c>
      <c r="BJ202" s="174"/>
      <c r="BK202" s="174"/>
      <c r="BL202" s="174"/>
      <c r="BM202" s="174"/>
      <c r="BN202" s="138"/>
      <c r="BO202" s="174"/>
      <c r="BP202" s="174"/>
      <c r="BQ202" s="174"/>
      <c r="BR202" s="174"/>
      <c r="BS202" s="138"/>
      <c r="BT202" s="138"/>
      <c r="BU202" s="138"/>
      <c r="BV202" s="138"/>
      <c r="BW202" s="131"/>
    </row>
    <row r="203" spans="1:75" ht="15.75" customHeight="1" outlineLevel="2" x14ac:dyDescent="0.2">
      <c r="A203" s="124" t="s">
        <v>340</v>
      </c>
      <c r="B203" s="125"/>
      <c r="C203" s="130"/>
      <c r="D203" s="130"/>
      <c r="E203" s="130"/>
      <c r="F203" s="130"/>
      <c r="G203" s="154"/>
      <c r="H203" s="154"/>
      <c r="I203" s="154"/>
      <c r="J203" s="154"/>
      <c r="K203" s="130"/>
      <c r="L203" s="154"/>
      <c r="M203" s="154"/>
      <c r="N203" s="154"/>
      <c r="O203" s="154"/>
      <c r="P203" s="130"/>
      <c r="Q203" s="154"/>
      <c r="R203" s="154"/>
      <c r="S203" s="154"/>
      <c r="T203" s="154"/>
      <c r="U203" s="130"/>
      <c r="V203" s="154"/>
      <c r="W203" s="154"/>
      <c r="X203" s="154"/>
      <c r="Y203" s="154"/>
      <c r="Z203" s="126">
        <v>1</v>
      </c>
      <c r="AA203" s="154"/>
      <c r="AB203" s="154"/>
      <c r="AC203" s="154"/>
      <c r="AD203" s="154"/>
      <c r="AE203" s="126">
        <v>2</v>
      </c>
      <c r="AF203" s="154"/>
      <c r="AG203" s="154"/>
      <c r="AH203" s="154"/>
      <c r="AI203" s="154"/>
      <c r="AJ203" s="126">
        <v>2</v>
      </c>
      <c r="AK203" s="154"/>
      <c r="AL203" s="154"/>
      <c r="AM203" s="154"/>
      <c r="AN203" s="154"/>
      <c r="AO203" s="128">
        <f>SUM(AO200:AO202)</f>
        <v>2</v>
      </c>
      <c r="AP203" s="154"/>
      <c r="AQ203" s="154"/>
      <c r="AR203" s="154"/>
      <c r="AS203" s="154"/>
      <c r="AT203" s="128">
        <f>SUM(AT200:AT202)</f>
        <v>2</v>
      </c>
      <c r="AU203" s="154"/>
      <c r="AV203" s="154"/>
      <c r="AW203" s="154"/>
      <c r="AX203" s="154"/>
      <c r="AY203" s="130">
        <f>SUM(AY200:AY202)</f>
        <v>4</v>
      </c>
      <c r="AZ203" s="154"/>
      <c r="BA203" s="154"/>
      <c r="BB203" s="154"/>
      <c r="BC203" s="154"/>
      <c r="BD203" s="130">
        <f>SUM(BD200:BD202)</f>
        <v>4</v>
      </c>
      <c r="BE203" s="154"/>
      <c r="BF203" s="154"/>
      <c r="BG203" s="154"/>
      <c r="BH203" s="154"/>
      <c r="BI203" s="155">
        <f>IFERROR(SUM(BI200:BI202),"n/a")</f>
        <v>5</v>
      </c>
      <c r="BJ203" s="154"/>
      <c r="BK203" s="154"/>
      <c r="BL203" s="154"/>
      <c r="BM203" s="154"/>
      <c r="BN203" s="130"/>
      <c r="BO203" s="154"/>
      <c r="BP203" s="154"/>
      <c r="BQ203" s="154"/>
      <c r="BR203" s="154"/>
      <c r="BS203" s="130"/>
      <c r="BT203" s="130"/>
      <c r="BU203" s="130"/>
      <c r="BV203" s="130"/>
      <c r="BW203" s="131"/>
    </row>
    <row r="204" spans="1:75" ht="15.75" customHeight="1" outlineLevel="2" x14ac:dyDescent="0.2">
      <c r="A204" s="124" t="s">
        <v>341</v>
      </c>
      <c r="B204" s="125"/>
      <c r="C204" s="130"/>
      <c r="D204" s="130"/>
      <c r="E204" s="130"/>
      <c r="F204" s="130"/>
      <c r="G204" s="154"/>
      <c r="H204" s="154"/>
      <c r="I204" s="154"/>
      <c r="J204" s="154"/>
      <c r="K204" s="130"/>
      <c r="L204" s="154"/>
      <c r="M204" s="154"/>
      <c r="N204" s="154"/>
      <c r="O204" s="154"/>
      <c r="P204" s="130"/>
      <c r="Q204" s="154"/>
      <c r="R204" s="154"/>
      <c r="S204" s="154"/>
      <c r="T204" s="154"/>
      <c r="U204" s="130"/>
      <c r="V204" s="154"/>
      <c r="W204" s="154"/>
      <c r="X204" s="154"/>
      <c r="Y204" s="154"/>
      <c r="Z204" s="130"/>
      <c r="AA204" s="154"/>
      <c r="AB204" s="154"/>
      <c r="AC204" s="154"/>
      <c r="AD204" s="154"/>
      <c r="AE204" s="130"/>
      <c r="AF204" s="154"/>
      <c r="AG204" s="154"/>
      <c r="AH204" s="154"/>
      <c r="AI204" s="154"/>
      <c r="AJ204" s="130"/>
      <c r="AK204" s="154"/>
      <c r="AL204" s="154"/>
      <c r="AM204" s="154"/>
      <c r="AN204" s="154"/>
      <c r="AO204" s="126">
        <v>1</v>
      </c>
      <c r="AP204" s="154"/>
      <c r="AQ204" s="154"/>
      <c r="AR204" s="154"/>
      <c r="AS204" s="154"/>
      <c r="AT204" s="126">
        <v>1</v>
      </c>
      <c r="AU204" s="154"/>
      <c r="AV204" s="154"/>
      <c r="AW204" s="154"/>
      <c r="AX204" s="154"/>
      <c r="AY204" s="126">
        <v>1</v>
      </c>
      <c r="AZ204" s="154"/>
      <c r="BA204" s="154"/>
      <c r="BB204" s="154"/>
      <c r="BC204" s="154"/>
      <c r="BD204" s="126">
        <v>1</v>
      </c>
      <c r="BE204" s="154"/>
      <c r="BF204" s="154"/>
      <c r="BG204" s="154"/>
      <c r="BH204" s="154"/>
      <c r="BI204" s="220">
        <v>1</v>
      </c>
      <c r="BJ204" s="154"/>
      <c r="BK204" s="154"/>
      <c r="BL204" s="154"/>
      <c r="BM204" s="154"/>
      <c r="BN204" s="130"/>
      <c r="BO204" s="154"/>
      <c r="BP204" s="154"/>
      <c r="BQ204" s="154"/>
      <c r="BR204" s="154"/>
      <c r="BS204" s="130"/>
      <c r="BT204" s="130"/>
      <c r="BU204" s="130"/>
      <c r="BV204" s="130"/>
      <c r="BW204" s="131"/>
    </row>
    <row r="205" spans="1:75" ht="15.75" customHeight="1" outlineLevel="2" x14ac:dyDescent="0.2">
      <c r="A205" s="132" t="s">
        <v>342</v>
      </c>
      <c r="B205" s="133"/>
      <c r="C205" s="138"/>
      <c r="D205" s="138"/>
      <c r="E205" s="138"/>
      <c r="F205" s="138"/>
      <c r="G205" s="174"/>
      <c r="H205" s="174"/>
      <c r="I205" s="174"/>
      <c r="J205" s="174"/>
      <c r="K205" s="138"/>
      <c r="L205" s="174"/>
      <c r="M205" s="174"/>
      <c r="N205" s="174"/>
      <c r="O205" s="174"/>
      <c r="P205" s="138"/>
      <c r="Q205" s="174"/>
      <c r="R205" s="174"/>
      <c r="S205" s="174"/>
      <c r="T205" s="174"/>
      <c r="U205" s="138"/>
      <c r="V205" s="174"/>
      <c r="W205" s="174"/>
      <c r="X205" s="174"/>
      <c r="Y205" s="174"/>
      <c r="Z205" s="138"/>
      <c r="AA205" s="174"/>
      <c r="AB205" s="174"/>
      <c r="AC205" s="174"/>
      <c r="AD205" s="174"/>
      <c r="AE205" s="138"/>
      <c r="AF205" s="174"/>
      <c r="AG205" s="174"/>
      <c r="AH205" s="174"/>
      <c r="AI205" s="174"/>
      <c r="AJ205" s="138"/>
      <c r="AK205" s="174"/>
      <c r="AL205" s="174"/>
      <c r="AM205" s="174"/>
      <c r="AN205" s="174"/>
      <c r="AO205" s="139">
        <v>1</v>
      </c>
      <c r="AP205" s="174"/>
      <c r="AQ205" s="174"/>
      <c r="AR205" s="174"/>
      <c r="AS205" s="174"/>
      <c r="AT205" s="139">
        <v>1</v>
      </c>
      <c r="AU205" s="174"/>
      <c r="AV205" s="174"/>
      <c r="AW205" s="174"/>
      <c r="AX205" s="174"/>
      <c r="AY205" s="139">
        <v>1</v>
      </c>
      <c r="AZ205" s="174"/>
      <c r="BA205" s="174"/>
      <c r="BB205" s="174"/>
      <c r="BC205" s="174"/>
      <c r="BD205" s="139">
        <v>1</v>
      </c>
      <c r="BE205" s="174"/>
      <c r="BF205" s="174"/>
      <c r="BG205" s="174"/>
      <c r="BH205" s="174"/>
      <c r="BI205" s="222">
        <v>1</v>
      </c>
      <c r="BJ205" s="174"/>
      <c r="BK205" s="174"/>
      <c r="BL205" s="174"/>
      <c r="BM205" s="174"/>
      <c r="BN205" s="138"/>
      <c r="BO205" s="174"/>
      <c r="BP205" s="174"/>
      <c r="BQ205" s="174"/>
      <c r="BR205" s="174"/>
      <c r="BS205" s="138"/>
      <c r="BT205" s="138"/>
      <c r="BU205" s="138"/>
      <c r="BV205" s="138"/>
      <c r="BW205" s="131"/>
    </row>
    <row r="206" spans="1:75" ht="15.75" customHeight="1" outlineLevel="2" x14ac:dyDescent="0.2">
      <c r="A206" s="124" t="s">
        <v>343</v>
      </c>
      <c r="B206" s="125"/>
      <c r="C206" s="130"/>
      <c r="D206" s="130"/>
      <c r="E206" s="130"/>
      <c r="F206" s="130"/>
      <c r="G206" s="154"/>
      <c r="H206" s="154"/>
      <c r="I206" s="154"/>
      <c r="J206" s="154"/>
      <c r="K206" s="130"/>
      <c r="L206" s="154"/>
      <c r="M206" s="154"/>
      <c r="N206" s="154"/>
      <c r="O206" s="154"/>
      <c r="P206" s="130"/>
      <c r="Q206" s="154"/>
      <c r="R206" s="154"/>
      <c r="S206" s="154"/>
      <c r="T206" s="154"/>
      <c r="U206" s="130"/>
      <c r="V206" s="154"/>
      <c r="W206" s="154"/>
      <c r="X206" s="154"/>
      <c r="Y206" s="154"/>
      <c r="Z206" s="130"/>
      <c r="AA206" s="154"/>
      <c r="AB206" s="154"/>
      <c r="AC206" s="154"/>
      <c r="AD206" s="154"/>
      <c r="AE206" s="126">
        <v>1</v>
      </c>
      <c r="AF206" s="154"/>
      <c r="AG206" s="154"/>
      <c r="AH206" s="154"/>
      <c r="AI206" s="154"/>
      <c r="AJ206" s="126">
        <v>1</v>
      </c>
      <c r="AK206" s="154"/>
      <c r="AL206" s="154"/>
      <c r="AM206" s="154"/>
      <c r="AN206" s="154"/>
      <c r="AO206" s="128">
        <f>SUM(AO204:AO205)</f>
        <v>2</v>
      </c>
      <c r="AP206" s="154"/>
      <c r="AQ206" s="154"/>
      <c r="AR206" s="154"/>
      <c r="AS206" s="154"/>
      <c r="AT206" s="128">
        <f>SUM(AT204:AT205)</f>
        <v>2</v>
      </c>
      <c r="AU206" s="154"/>
      <c r="AV206" s="154"/>
      <c r="AW206" s="154"/>
      <c r="AX206" s="154"/>
      <c r="AY206" s="130">
        <f>SUM(AY204:AY205)</f>
        <v>2</v>
      </c>
      <c r="AZ206" s="154"/>
      <c r="BA206" s="154"/>
      <c r="BB206" s="154"/>
      <c r="BC206" s="154"/>
      <c r="BD206" s="130">
        <f>SUM(BD204:BD205)</f>
        <v>2</v>
      </c>
      <c r="BE206" s="154"/>
      <c r="BF206" s="154"/>
      <c r="BG206" s="154"/>
      <c r="BH206" s="154"/>
      <c r="BI206" s="155">
        <f>IFERROR(SUM(BI204:BI205),"n/a")</f>
        <v>2</v>
      </c>
      <c r="BJ206" s="154"/>
      <c r="BK206" s="154"/>
      <c r="BL206" s="154"/>
      <c r="BM206" s="154"/>
      <c r="BN206" s="130"/>
      <c r="BO206" s="154"/>
      <c r="BP206" s="154"/>
      <c r="BQ206" s="154"/>
      <c r="BR206" s="154"/>
      <c r="BS206" s="130"/>
      <c r="BT206" s="130"/>
      <c r="BU206" s="130"/>
      <c r="BV206" s="130"/>
      <c r="BW206" s="131"/>
    </row>
    <row r="207" spans="1:75" ht="15.75" customHeight="1" outlineLevel="2" x14ac:dyDescent="0.2">
      <c r="A207" s="140" t="s">
        <v>344</v>
      </c>
      <c r="B207" s="141"/>
      <c r="C207" s="145"/>
      <c r="D207" s="145"/>
      <c r="E207" s="145"/>
      <c r="F207" s="145"/>
      <c r="G207" s="147"/>
      <c r="H207" s="147"/>
      <c r="I207" s="147"/>
      <c r="J207" s="147"/>
      <c r="K207" s="145"/>
      <c r="L207" s="147"/>
      <c r="M207" s="147"/>
      <c r="N207" s="147"/>
      <c r="O207" s="147"/>
      <c r="P207" s="145"/>
      <c r="Q207" s="147"/>
      <c r="R207" s="147"/>
      <c r="S207" s="147"/>
      <c r="T207" s="147"/>
      <c r="U207" s="205">
        <f>U206+U203</f>
        <v>0</v>
      </c>
      <c r="V207" s="147"/>
      <c r="W207" s="147"/>
      <c r="X207" s="147"/>
      <c r="Y207" s="147"/>
      <c r="Z207" s="205">
        <f>Z206+Z203</f>
        <v>1</v>
      </c>
      <c r="AA207" s="147"/>
      <c r="AB207" s="147"/>
      <c r="AC207" s="147"/>
      <c r="AD207" s="147"/>
      <c r="AE207" s="205">
        <f>AE206+AE203</f>
        <v>3</v>
      </c>
      <c r="AF207" s="147"/>
      <c r="AG207" s="147"/>
      <c r="AH207" s="147"/>
      <c r="AI207" s="147"/>
      <c r="AJ207" s="205">
        <f>AJ206+AJ203</f>
        <v>3</v>
      </c>
      <c r="AK207" s="147"/>
      <c r="AL207" s="147"/>
      <c r="AM207" s="147"/>
      <c r="AN207" s="147"/>
      <c r="AO207" s="205">
        <f>AO206+AO203</f>
        <v>4</v>
      </c>
      <c r="AP207" s="147"/>
      <c r="AQ207" s="147"/>
      <c r="AR207" s="147"/>
      <c r="AS207" s="147"/>
      <c r="AT207" s="205">
        <f>AT206+AT203</f>
        <v>4</v>
      </c>
      <c r="AU207" s="147"/>
      <c r="AV207" s="147"/>
      <c r="AW207" s="147"/>
      <c r="AX207" s="147"/>
      <c r="AY207" s="145">
        <f>AY206+AY203</f>
        <v>6</v>
      </c>
      <c r="AZ207" s="147"/>
      <c r="BA207" s="147"/>
      <c r="BB207" s="147"/>
      <c r="BC207" s="147"/>
      <c r="BD207" s="145">
        <f>BD206+BD203</f>
        <v>6</v>
      </c>
      <c r="BE207" s="147"/>
      <c r="BF207" s="147"/>
      <c r="BG207" s="147"/>
      <c r="BH207" s="147"/>
      <c r="BI207" s="146">
        <f>IFERROR(BI206+BI203,"n/a")</f>
        <v>7</v>
      </c>
      <c r="BJ207" s="147"/>
      <c r="BK207" s="147"/>
      <c r="BL207" s="147"/>
      <c r="BM207" s="147"/>
      <c r="BN207" s="145"/>
      <c r="BO207" s="147"/>
      <c r="BP207" s="147"/>
      <c r="BQ207" s="147"/>
      <c r="BR207" s="147"/>
      <c r="BS207" s="145"/>
      <c r="BT207" s="145"/>
      <c r="BU207" s="145"/>
      <c r="BV207" s="145"/>
      <c r="BW207" s="120"/>
    </row>
    <row r="208" spans="1:75" ht="15.75" customHeight="1" outlineLevel="2" x14ac:dyDescent="0.2">
      <c r="A208" s="223" t="s">
        <v>345</v>
      </c>
      <c r="B208" s="224"/>
      <c r="C208" s="225"/>
      <c r="D208" s="225"/>
      <c r="E208" s="225"/>
      <c r="F208" s="225"/>
      <c r="G208" s="226"/>
      <c r="H208" s="226"/>
      <c r="I208" s="226"/>
      <c r="J208" s="226"/>
      <c r="K208" s="225"/>
      <c r="L208" s="226"/>
      <c r="M208" s="226"/>
      <c r="N208" s="226"/>
      <c r="O208" s="226"/>
      <c r="P208" s="225"/>
      <c r="Q208" s="226"/>
      <c r="R208" s="226"/>
      <c r="S208" s="226"/>
      <c r="T208" s="226"/>
      <c r="U208" s="225"/>
      <c r="V208" s="226"/>
      <c r="W208" s="226"/>
      <c r="X208" s="226"/>
      <c r="Y208" s="226"/>
      <c r="Z208" s="225"/>
      <c r="AA208" s="226"/>
      <c r="AB208" s="226"/>
      <c r="AC208" s="226"/>
      <c r="AD208" s="226"/>
      <c r="AE208" s="225"/>
      <c r="AF208" s="226"/>
      <c r="AG208" s="226"/>
      <c r="AH208" s="226"/>
      <c r="AI208" s="226"/>
      <c r="AJ208" s="225"/>
      <c r="AK208" s="226"/>
      <c r="AL208" s="226"/>
      <c r="AM208" s="226"/>
      <c r="AN208" s="226"/>
      <c r="AO208" s="225"/>
      <c r="AP208" s="226"/>
      <c r="AQ208" s="226"/>
      <c r="AR208" s="226"/>
      <c r="AS208" s="226"/>
      <c r="AT208" s="225"/>
      <c r="AU208" s="226"/>
      <c r="AV208" s="226"/>
      <c r="AW208" s="226"/>
      <c r="AX208" s="226"/>
      <c r="AY208" s="225"/>
      <c r="AZ208" s="226"/>
      <c r="BA208" s="226"/>
      <c r="BB208" s="226"/>
      <c r="BC208" s="226"/>
      <c r="BD208" s="225"/>
      <c r="BE208" s="226"/>
      <c r="BF208" s="226"/>
      <c r="BG208" s="226"/>
      <c r="BH208" s="226"/>
      <c r="BI208" s="227">
        <v>1</v>
      </c>
      <c r="BJ208" s="226"/>
      <c r="BK208" s="226"/>
      <c r="BL208" s="226"/>
      <c r="BM208" s="226"/>
      <c r="BN208" s="225"/>
      <c r="BO208" s="226"/>
      <c r="BP208" s="226"/>
      <c r="BQ208" s="226"/>
      <c r="BR208" s="226"/>
      <c r="BS208" s="225"/>
      <c r="BT208" s="225"/>
      <c r="BU208" s="225"/>
      <c r="BV208" s="225"/>
      <c r="BW208" s="120"/>
    </row>
    <row r="209" spans="1:75" ht="15.75" customHeight="1" outlineLevel="1" x14ac:dyDescent="0.2">
      <c r="A209" s="141" t="s">
        <v>348</v>
      </c>
      <c r="B209" s="141"/>
      <c r="C209" s="145"/>
      <c r="D209" s="145"/>
      <c r="E209" s="145"/>
      <c r="F209" s="145"/>
      <c r="G209" s="147"/>
      <c r="H209" s="147"/>
      <c r="I209" s="147"/>
      <c r="J209" s="147"/>
      <c r="K209" s="145"/>
      <c r="L209" s="147"/>
      <c r="M209" s="147"/>
      <c r="N209" s="147"/>
      <c r="O209" s="147"/>
      <c r="P209" s="142">
        <v>8</v>
      </c>
      <c r="Q209" s="143">
        <v>9</v>
      </c>
      <c r="R209" s="143">
        <v>9</v>
      </c>
      <c r="S209" s="143">
        <v>9</v>
      </c>
      <c r="T209" s="147">
        <f>U209</f>
        <v>11</v>
      </c>
      <c r="U209" s="145">
        <f>U198+U199+U207</f>
        <v>11</v>
      </c>
      <c r="V209" s="143">
        <v>11</v>
      </c>
      <c r="W209" s="143">
        <v>12</v>
      </c>
      <c r="X209" s="143">
        <v>13</v>
      </c>
      <c r="Y209" s="147">
        <f>Z209</f>
        <v>15</v>
      </c>
      <c r="Z209" s="145">
        <f>Z198+Z199+Z207</f>
        <v>15</v>
      </c>
      <c r="AA209" s="143">
        <v>16</v>
      </c>
      <c r="AB209" s="143">
        <v>16</v>
      </c>
      <c r="AC209" s="143">
        <v>18</v>
      </c>
      <c r="AD209" s="147">
        <f>AE209</f>
        <v>20</v>
      </c>
      <c r="AE209" s="145">
        <f>AE198+AE199+AE207</f>
        <v>20</v>
      </c>
      <c r="AF209" s="143">
        <v>21</v>
      </c>
      <c r="AG209" s="143">
        <v>21</v>
      </c>
      <c r="AH209" s="143">
        <v>21</v>
      </c>
      <c r="AI209" s="147">
        <f>AJ209</f>
        <v>21</v>
      </c>
      <c r="AJ209" s="145">
        <f>AJ198+AJ199+AJ207</f>
        <v>21</v>
      </c>
      <c r="AK209" s="143">
        <v>20</v>
      </c>
      <c r="AL209" s="143">
        <v>21</v>
      </c>
      <c r="AM209" s="143">
        <v>23</v>
      </c>
      <c r="AN209" s="147">
        <f>AO209</f>
        <v>26</v>
      </c>
      <c r="AO209" s="145">
        <f>AO198+AO199+AO207</f>
        <v>26</v>
      </c>
      <c r="AP209" s="143">
        <v>26</v>
      </c>
      <c r="AQ209" s="143">
        <v>26</v>
      </c>
      <c r="AR209" s="143">
        <v>26</v>
      </c>
      <c r="AS209" s="147">
        <f>AT209</f>
        <v>27</v>
      </c>
      <c r="AT209" s="145">
        <f>AT198+AT199+AT207</f>
        <v>27</v>
      </c>
      <c r="AU209" s="143">
        <v>27</v>
      </c>
      <c r="AV209" s="143">
        <v>28</v>
      </c>
      <c r="AW209" s="143">
        <v>29</v>
      </c>
      <c r="AX209" s="143">
        <v>29</v>
      </c>
      <c r="AY209" s="145">
        <f>AY198+AY199+AY207</f>
        <v>29</v>
      </c>
      <c r="AZ209" s="143">
        <v>29</v>
      </c>
      <c r="BA209" s="143">
        <v>29</v>
      </c>
      <c r="BB209" s="143">
        <v>29</v>
      </c>
      <c r="BC209" s="143">
        <v>30</v>
      </c>
      <c r="BD209" s="145">
        <f>BC209</f>
        <v>30</v>
      </c>
      <c r="BE209" s="143">
        <v>30</v>
      </c>
      <c r="BF209" s="143">
        <v>30</v>
      </c>
      <c r="BG209" s="143">
        <v>30</v>
      </c>
      <c r="BH209" s="143">
        <v>32</v>
      </c>
      <c r="BI209" s="123">
        <f>IFERROR(BH209,"n/a")</f>
        <v>32</v>
      </c>
      <c r="BJ209" s="147">
        <f t="shared" ref="BJ209:BM209" si="569">BJ210+BI209</f>
        <v>33</v>
      </c>
      <c r="BK209" s="147">
        <f t="shared" si="569"/>
        <v>33</v>
      </c>
      <c r="BL209" s="147">
        <f t="shared" si="569"/>
        <v>33</v>
      </c>
      <c r="BM209" s="147">
        <f t="shared" si="569"/>
        <v>33</v>
      </c>
      <c r="BN209" s="145">
        <f>BM209</f>
        <v>33</v>
      </c>
      <c r="BO209" s="147">
        <f t="shared" ref="BO209:BR209" si="570">BO210+BN209</f>
        <v>33</v>
      </c>
      <c r="BP209" s="147">
        <f t="shared" si="570"/>
        <v>33</v>
      </c>
      <c r="BQ209" s="147">
        <f t="shared" si="570"/>
        <v>33</v>
      </c>
      <c r="BR209" s="147">
        <f t="shared" si="570"/>
        <v>33</v>
      </c>
      <c r="BS209" s="145">
        <f>BR209</f>
        <v>33</v>
      </c>
      <c r="BT209" s="145">
        <f t="shared" ref="BT209:BV209" si="571">BT210+BS209</f>
        <v>33</v>
      </c>
      <c r="BU209" s="145">
        <f t="shared" si="571"/>
        <v>33</v>
      </c>
      <c r="BV209" s="145">
        <f t="shared" si="571"/>
        <v>33</v>
      </c>
      <c r="BW209" s="120"/>
    </row>
    <row r="210" spans="1:75" ht="15.75" customHeight="1" outlineLevel="1" x14ac:dyDescent="0.2">
      <c r="A210" s="125" t="s">
        <v>349</v>
      </c>
      <c r="B210" s="125"/>
      <c r="C210" s="130"/>
      <c r="D210" s="130"/>
      <c r="E210" s="130"/>
      <c r="F210" s="130"/>
      <c r="G210" s="154"/>
      <c r="H210" s="154"/>
      <c r="I210" s="154"/>
      <c r="J210" s="154"/>
      <c r="K210" s="130"/>
      <c r="L210" s="154"/>
      <c r="M210" s="154"/>
      <c r="N210" s="154"/>
      <c r="O210" s="154"/>
      <c r="P210" s="130">
        <f>P209-K209</f>
        <v>8</v>
      </c>
      <c r="Q210" s="154">
        <f>Q209-O209</f>
        <v>9</v>
      </c>
      <c r="R210" s="154">
        <f t="shared" ref="R210:T210" si="572">R209-Q209</f>
        <v>0</v>
      </c>
      <c r="S210" s="154">
        <f t="shared" si="572"/>
        <v>0</v>
      </c>
      <c r="T210" s="154">
        <f t="shared" si="572"/>
        <v>2</v>
      </c>
      <c r="U210" s="130">
        <f>U209-P209</f>
        <v>3</v>
      </c>
      <c r="V210" s="154">
        <f>V209-T209</f>
        <v>0</v>
      </c>
      <c r="W210" s="154">
        <f t="shared" ref="W210:Y210" si="573">W209-V209</f>
        <v>1</v>
      </c>
      <c r="X210" s="154">
        <f t="shared" si="573"/>
        <v>1</v>
      </c>
      <c r="Y210" s="154">
        <f t="shared" si="573"/>
        <v>2</v>
      </c>
      <c r="Z210" s="130">
        <f>Z209-U209</f>
        <v>4</v>
      </c>
      <c r="AA210" s="154">
        <f>AA209-Y209</f>
        <v>1</v>
      </c>
      <c r="AB210" s="154">
        <f t="shared" ref="AB210:AD210" si="574">AB209-AA209</f>
        <v>0</v>
      </c>
      <c r="AC210" s="154">
        <f t="shared" si="574"/>
        <v>2</v>
      </c>
      <c r="AD210" s="154">
        <f t="shared" si="574"/>
        <v>2</v>
      </c>
      <c r="AE210" s="130">
        <f>AE209-Z209</f>
        <v>5</v>
      </c>
      <c r="AF210" s="154">
        <f>AF209-AD209</f>
        <v>1</v>
      </c>
      <c r="AG210" s="154">
        <f t="shared" ref="AG210:AI210" si="575">AG209-AF209</f>
        <v>0</v>
      </c>
      <c r="AH210" s="154">
        <f t="shared" si="575"/>
        <v>0</v>
      </c>
      <c r="AI210" s="154">
        <f t="shared" si="575"/>
        <v>0</v>
      </c>
      <c r="AJ210" s="130">
        <f>AJ209-AE209</f>
        <v>1</v>
      </c>
      <c r="AK210" s="154">
        <f>AK209-AI209</f>
        <v>-1</v>
      </c>
      <c r="AL210" s="154">
        <f t="shared" ref="AL210:AN210" si="576">AL209-AK209</f>
        <v>1</v>
      </c>
      <c r="AM210" s="154">
        <f t="shared" si="576"/>
        <v>2</v>
      </c>
      <c r="AN210" s="154">
        <f t="shared" si="576"/>
        <v>3</v>
      </c>
      <c r="AO210" s="130">
        <f>AO209-AJ209</f>
        <v>5</v>
      </c>
      <c r="AP210" s="154">
        <f>AP209-AN209</f>
        <v>0</v>
      </c>
      <c r="AQ210" s="154">
        <f t="shared" ref="AQ210:AS210" si="577">AQ209-AP209</f>
        <v>0</v>
      </c>
      <c r="AR210" s="154">
        <f t="shared" si="577"/>
        <v>0</v>
      </c>
      <c r="AS210" s="154">
        <f t="shared" si="577"/>
        <v>1</v>
      </c>
      <c r="AT210" s="130">
        <f>AT209-AO209</f>
        <v>1</v>
      </c>
      <c r="AU210" s="154">
        <f>AU209-AS209</f>
        <v>0</v>
      </c>
      <c r="AV210" s="154">
        <f t="shared" ref="AV210:AX210" si="578">AV209-AU209</f>
        <v>1</v>
      </c>
      <c r="AW210" s="154">
        <f t="shared" si="578"/>
        <v>1</v>
      </c>
      <c r="AX210" s="154">
        <f t="shared" si="578"/>
        <v>0</v>
      </c>
      <c r="AY210" s="130">
        <f>AY209-AT209</f>
        <v>2</v>
      </c>
      <c r="AZ210" s="154">
        <f>AZ209-AX209</f>
        <v>0</v>
      </c>
      <c r="BA210" s="154">
        <f t="shared" ref="BA210:BC210" si="579">BA209-AZ209</f>
        <v>0</v>
      </c>
      <c r="BB210" s="154">
        <f t="shared" si="579"/>
        <v>0</v>
      </c>
      <c r="BC210" s="154">
        <f t="shared" si="579"/>
        <v>1</v>
      </c>
      <c r="BD210" s="130">
        <f>BD209-AY209</f>
        <v>1</v>
      </c>
      <c r="BE210" s="154">
        <f>BE209-BC209</f>
        <v>0</v>
      </c>
      <c r="BF210" s="154">
        <f t="shared" ref="BF210:BG210" si="580">BF209-BE209</f>
        <v>0</v>
      </c>
      <c r="BG210" s="154">
        <f t="shared" si="580"/>
        <v>0</v>
      </c>
      <c r="BH210" s="154">
        <f>IFERROR(BH209-BG209,"n/a")</f>
        <v>2</v>
      </c>
      <c r="BI210" s="155">
        <f>IFERROR(BI209-BD209,"n/a")</f>
        <v>2</v>
      </c>
      <c r="BJ210" s="127">
        <v>1</v>
      </c>
      <c r="BK210" s="127">
        <v>0</v>
      </c>
      <c r="BL210" s="127">
        <v>0</v>
      </c>
      <c r="BM210" s="127">
        <v>0</v>
      </c>
      <c r="BN210" s="130">
        <f>BN209-BI209</f>
        <v>1</v>
      </c>
      <c r="BO210" s="127">
        <v>0</v>
      </c>
      <c r="BP210" s="127">
        <v>0</v>
      </c>
      <c r="BQ210" s="127">
        <v>0</v>
      </c>
      <c r="BR210" s="127">
        <v>0</v>
      </c>
      <c r="BS210" s="130">
        <f>BS209-BN209</f>
        <v>0</v>
      </c>
      <c r="BT210" s="126">
        <v>0</v>
      </c>
      <c r="BU210" s="126">
        <v>0</v>
      </c>
      <c r="BV210" s="126">
        <v>0</v>
      </c>
      <c r="BW210" s="131"/>
    </row>
    <row r="211" spans="1:75" ht="15.75" customHeight="1" outlineLevel="1" x14ac:dyDescent="0.2">
      <c r="A211" s="116" t="s">
        <v>350</v>
      </c>
      <c r="B211" s="117"/>
      <c r="C211" s="122"/>
      <c r="D211" s="122"/>
      <c r="E211" s="122"/>
      <c r="F211" s="122"/>
      <c r="G211" s="121"/>
      <c r="H211" s="121"/>
      <c r="I211" s="121"/>
      <c r="J211" s="121"/>
      <c r="K211" s="122"/>
      <c r="L211" s="121"/>
      <c r="M211" s="121"/>
      <c r="N211" s="121"/>
      <c r="O211" s="121"/>
      <c r="P211" s="122"/>
      <c r="Q211" s="120">
        <f t="shared" ref="Q211:T211" si="581">AVERAGE(Q209,P209)</f>
        <v>8.5</v>
      </c>
      <c r="R211" s="120">
        <f t="shared" si="581"/>
        <v>9</v>
      </c>
      <c r="S211" s="120">
        <f t="shared" si="581"/>
        <v>9</v>
      </c>
      <c r="T211" s="120">
        <f t="shared" si="581"/>
        <v>10</v>
      </c>
      <c r="U211" s="122">
        <f>AVERAGE(T211,S211,R211,Q211)</f>
        <v>9.125</v>
      </c>
      <c r="V211" s="120">
        <f t="shared" ref="V211:Y211" si="582">AVERAGE(V209,U209)</f>
        <v>11</v>
      </c>
      <c r="W211" s="120">
        <f t="shared" si="582"/>
        <v>11.5</v>
      </c>
      <c r="X211" s="120">
        <f t="shared" si="582"/>
        <v>12.5</v>
      </c>
      <c r="Y211" s="120">
        <f t="shared" si="582"/>
        <v>14</v>
      </c>
      <c r="Z211" s="122">
        <f>AVERAGE(Y211,X211,W211,V211)</f>
        <v>12.25</v>
      </c>
      <c r="AA211" s="120">
        <f t="shared" ref="AA211:AD211" si="583">AVERAGE(AA209,Z209)</f>
        <v>15.5</v>
      </c>
      <c r="AB211" s="120">
        <f t="shared" si="583"/>
        <v>16</v>
      </c>
      <c r="AC211" s="120">
        <f t="shared" si="583"/>
        <v>17</v>
      </c>
      <c r="AD211" s="120">
        <f t="shared" si="583"/>
        <v>19</v>
      </c>
      <c r="AE211" s="122">
        <f>AVERAGE(AD211,AC211,AB211,AA211)</f>
        <v>16.875</v>
      </c>
      <c r="AF211" s="120">
        <f t="shared" ref="AF211:AI211" si="584">AVERAGE(AF209,AE209)</f>
        <v>20.5</v>
      </c>
      <c r="AG211" s="120">
        <f t="shared" si="584"/>
        <v>21</v>
      </c>
      <c r="AH211" s="120">
        <f t="shared" si="584"/>
        <v>21</v>
      </c>
      <c r="AI211" s="120">
        <f t="shared" si="584"/>
        <v>21</v>
      </c>
      <c r="AJ211" s="122">
        <f>AVERAGE(AI211,AH211,AG211,AF211)</f>
        <v>20.875</v>
      </c>
      <c r="AK211" s="120">
        <f t="shared" ref="AK211:AN211" si="585">AVERAGE(AK209,AJ209)</f>
        <v>20.5</v>
      </c>
      <c r="AL211" s="120">
        <f t="shared" si="585"/>
        <v>20.5</v>
      </c>
      <c r="AM211" s="120">
        <f t="shared" si="585"/>
        <v>22</v>
      </c>
      <c r="AN211" s="120">
        <f t="shared" si="585"/>
        <v>24.5</v>
      </c>
      <c r="AO211" s="122">
        <f>AVERAGE(AN211,AM211,AL211,AK211)</f>
        <v>21.875</v>
      </c>
      <c r="AP211" s="120">
        <f t="shared" ref="AP211:AS211" si="586">AVERAGE(AP209,AO209)</f>
        <v>26</v>
      </c>
      <c r="AQ211" s="120">
        <f t="shared" si="586"/>
        <v>26</v>
      </c>
      <c r="AR211" s="120">
        <f t="shared" si="586"/>
        <v>26</v>
      </c>
      <c r="AS211" s="120">
        <f t="shared" si="586"/>
        <v>26.5</v>
      </c>
      <c r="AT211" s="122">
        <f>AVERAGE(AS211,AR211,AQ211,AP211)</f>
        <v>26.125</v>
      </c>
      <c r="AU211" s="120">
        <f t="shared" ref="AU211:AX211" si="587">AVERAGE(AU209,AT209)</f>
        <v>27</v>
      </c>
      <c r="AV211" s="120">
        <f t="shared" si="587"/>
        <v>27.5</v>
      </c>
      <c r="AW211" s="120">
        <f t="shared" si="587"/>
        <v>28.5</v>
      </c>
      <c r="AX211" s="120">
        <f t="shared" si="587"/>
        <v>29</v>
      </c>
      <c r="AY211" s="122">
        <f>AVERAGE(AX211,AW211,AV211,AU211)</f>
        <v>28</v>
      </c>
      <c r="AZ211" s="120">
        <f t="shared" ref="AZ211:BC211" si="588">AVERAGE(AZ209,AY209)</f>
        <v>29</v>
      </c>
      <c r="BA211" s="120">
        <f t="shared" si="588"/>
        <v>29</v>
      </c>
      <c r="BB211" s="120">
        <f t="shared" si="588"/>
        <v>29</v>
      </c>
      <c r="BC211" s="120">
        <f t="shared" si="588"/>
        <v>29.5</v>
      </c>
      <c r="BD211" s="122">
        <f>AVERAGE(BC211,BB211,BA211,AZ211)</f>
        <v>29.125</v>
      </c>
      <c r="BE211" s="120">
        <f t="shared" ref="BE211:BG211" si="589">AVERAGE(BE209,BD209)</f>
        <v>30</v>
      </c>
      <c r="BF211" s="120">
        <f t="shared" si="589"/>
        <v>30</v>
      </c>
      <c r="BG211" s="120">
        <f t="shared" si="589"/>
        <v>30</v>
      </c>
      <c r="BH211" s="120">
        <f>IFERROR(AVERAGE(BH209,BG209),"n/a")</f>
        <v>31</v>
      </c>
      <c r="BI211" s="123">
        <f>IFERROR(AVERAGE(BH211,BG211,BF211,BE211),"n/a")</f>
        <v>30.25</v>
      </c>
      <c r="BJ211" s="121">
        <f t="shared" ref="BJ211:BM211" si="590">AVERAGE(BJ209,BI209)</f>
        <v>32.5</v>
      </c>
      <c r="BK211" s="121">
        <f t="shared" si="590"/>
        <v>33</v>
      </c>
      <c r="BL211" s="121">
        <f t="shared" si="590"/>
        <v>33</v>
      </c>
      <c r="BM211" s="121">
        <f t="shared" si="590"/>
        <v>33</v>
      </c>
      <c r="BN211" s="122">
        <f>AVERAGE(BM211,BL211,BK211,BJ211)</f>
        <v>32.875</v>
      </c>
      <c r="BO211" s="121">
        <f t="shared" ref="BO211:BR211" si="591">AVERAGE(BO209,BN209)</f>
        <v>33</v>
      </c>
      <c r="BP211" s="121">
        <f t="shared" si="591"/>
        <v>33</v>
      </c>
      <c r="BQ211" s="121">
        <f t="shared" si="591"/>
        <v>33</v>
      </c>
      <c r="BR211" s="121">
        <f t="shared" si="591"/>
        <v>33</v>
      </c>
      <c r="BS211" s="122">
        <f>AVERAGE(BR211,BQ211,BP211,BO211)</f>
        <v>33</v>
      </c>
      <c r="BT211" s="122">
        <f t="shared" ref="BT211:BV211" si="592">AVERAGE(BT209,BS209)</f>
        <v>33</v>
      </c>
      <c r="BU211" s="122">
        <f t="shared" si="592"/>
        <v>33</v>
      </c>
      <c r="BV211" s="122">
        <f t="shared" si="592"/>
        <v>33</v>
      </c>
      <c r="BW211" s="120"/>
    </row>
    <row r="212" spans="1:75" ht="15.75" customHeight="1" outlineLevel="1" x14ac:dyDescent="0.2">
      <c r="A212" s="117"/>
      <c r="B212" s="117"/>
      <c r="C212" s="122"/>
      <c r="D212" s="122"/>
      <c r="E212" s="122"/>
      <c r="F212" s="122"/>
      <c r="G212" s="121"/>
      <c r="H212" s="121"/>
      <c r="I212" s="121"/>
      <c r="J212" s="121"/>
      <c r="K212" s="122"/>
      <c r="L212" s="121"/>
      <c r="M212" s="121"/>
      <c r="N212" s="121"/>
      <c r="O212" s="121"/>
      <c r="P212" s="122"/>
      <c r="Q212" s="121"/>
      <c r="R212" s="121"/>
      <c r="S212" s="121"/>
      <c r="T212" s="121"/>
      <c r="U212" s="122"/>
      <c r="V212" s="121"/>
      <c r="W212" s="121"/>
      <c r="X212" s="121"/>
      <c r="Y212" s="121"/>
      <c r="Z212" s="122"/>
      <c r="AA212" s="121"/>
      <c r="AB212" s="121"/>
      <c r="AC212" s="121"/>
      <c r="AD212" s="121"/>
      <c r="AE212" s="122"/>
      <c r="AF212" s="121"/>
      <c r="AG212" s="121"/>
      <c r="AH212" s="121"/>
      <c r="AI212" s="121"/>
      <c r="AJ212" s="122"/>
      <c r="AK212" s="121"/>
      <c r="AL212" s="121"/>
      <c r="AM212" s="121"/>
      <c r="AN212" s="121"/>
      <c r="AO212" s="122"/>
      <c r="AP212" s="121"/>
      <c r="AQ212" s="121"/>
      <c r="AR212" s="121"/>
      <c r="AS212" s="121"/>
      <c r="AT212" s="122"/>
      <c r="AU212" s="121"/>
      <c r="AV212" s="121"/>
      <c r="AW212" s="121"/>
      <c r="AX212" s="121"/>
      <c r="AY212" s="122"/>
      <c r="AZ212" s="121"/>
      <c r="BA212" s="121"/>
      <c r="BB212" s="121"/>
      <c r="BC212" s="121"/>
      <c r="BD212" s="122"/>
      <c r="BE212" s="121"/>
      <c r="BF212" s="121"/>
      <c r="BG212" s="121"/>
      <c r="BH212" s="121"/>
      <c r="BI212" s="123"/>
      <c r="BJ212" s="121"/>
      <c r="BK212" s="121"/>
      <c r="BL212" s="121"/>
      <c r="BM212" s="121"/>
      <c r="BN212" s="122"/>
      <c r="BO212" s="121"/>
      <c r="BP212" s="121"/>
      <c r="BQ212" s="121"/>
      <c r="BR212" s="121"/>
      <c r="BS212" s="122"/>
      <c r="BT212" s="122"/>
      <c r="BU212" s="122"/>
      <c r="BV212" s="122"/>
      <c r="BW212" s="120"/>
    </row>
    <row r="213" spans="1:75" ht="15.75" customHeight="1" outlineLevel="1" x14ac:dyDescent="0.2">
      <c r="A213" s="47" t="s">
        <v>352</v>
      </c>
      <c r="B213" s="39"/>
      <c r="C213" s="40"/>
      <c r="D213" s="40"/>
      <c r="E213" s="40"/>
      <c r="F213" s="40"/>
      <c r="G213" s="41"/>
      <c r="H213" s="41"/>
      <c r="I213" s="41"/>
      <c r="J213" s="41"/>
      <c r="K213" s="40"/>
      <c r="L213" s="41"/>
      <c r="M213" s="41"/>
      <c r="N213" s="41"/>
      <c r="O213" s="41"/>
      <c r="P213" s="40"/>
      <c r="Q213" s="48">
        <v>0.1</v>
      </c>
      <c r="R213" s="48">
        <v>0.1</v>
      </c>
      <c r="S213" s="48">
        <v>0.1</v>
      </c>
      <c r="T213" s="48">
        <v>0.1</v>
      </c>
      <c r="U213" s="40">
        <f>U30/U217</f>
        <v>9.9999999999999992E-2</v>
      </c>
      <c r="V213" s="48">
        <v>0.1</v>
      </c>
      <c r="W213" s="48">
        <v>0.1</v>
      </c>
      <c r="X213" s="48">
        <v>0.1</v>
      </c>
      <c r="Y213" s="48">
        <v>0.1</v>
      </c>
      <c r="Z213" s="40">
        <f>Z30/Z217</f>
        <v>0.10000000000000002</v>
      </c>
      <c r="AA213" s="48">
        <v>0.1</v>
      </c>
      <c r="AB213" s="48">
        <v>0.1</v>
      </c>
      <c r="AC213" s="48">
        <v>0.1</v>
      </c>
      <c r="AD213" s="48">
        <v>0.1</v>
      </c>
      <c r="AE213" s="40">
        <f>AE30/AE217</f>
        <v>0.1</v>
      </c>
      <c r="AF213" s="48">
        <v>0.1</v>
      </c>
      <c r="AG213" s="48">
        <v>0.1</v>
      </c>
      <c r="AH213" s="48">
        <v>0.1</v>
      </c>
      <c r="AI213" s="48">
        <v>0.1</v>
      </c>
      <c r="AJ213" s="40">
        <f>AJ30/AJ217</f>
        <v>0.1</v>
      </c>
      <c r="AK213" s="48">
        <v>0.1</v>
      </c>
      <c r="AL213" s="48">
        <v>0.1</v>
      </c>
      <c r="AM213" s="48">
        <v>0.1</v>
      </c>
      <c r="AN213" s="48">
        <v>0.1</v>
      </c>
      <c r="AO213" s="40">
        <f>AO30/AO217</f>
        <v>0.1</v>
      </c>
      <c r="AP213" s="48">
        <v>0.1</v>
      </c>
      <c r="AQ213" s="48">
        <v>0.1</v>
      </c>
      <c r="AR213" s="48">
        <v>0.1</v>
      </c>
      <c r="AS213" s="48">
        <v>0.1</v>
      </c>
      <c r="AT213" s="40">
        <f>AT30/AT217</f>
        <v>9.9999999999999992E-2</v>
      </c>
      <c r="AU213" s="48">
        <v>0.1</v>
      </c>
      <c r="AV213" s="48">
        <v>0.1</v>
      </c>
      <c r="AW213" s="48">
        <v>0.1</v>
      </c>
      <c r="AX213" s="48">
        <v>0.1</v>
      </c>
      <c r="AY213" s="40">
        <f>AY30/AY217</f>
        <v>0.1</v>
      </c>
      <c r="AZ213" s="48">
        <v>0.1</v>
      </c>
      <c r="BA213" s="48">
        <v>0.1</v>
      </c>
      <c r="BB213" s="48">
        <v>0.1</v>
      </c>
      <c r="BC213" s="48">
        <v>0.1</v>
      </c>
      <c r="BD213" s="40">
        <f>BD30/BD217</f>
        <v>9.9999999999999992E-2</v>
      </c>
      <c r="BE213" s="48">
        <v>0.1</v>
      </c>
      <c r="BF213" s="48">
        <v>0.1</v>
      </c>
      <c r="BG213" s="48">
        <v>0.1</v>
      </c>
      <c r="BH213" s="48">
        <v>0.1</v>
      </c>
      <c r="BI213" s="46">
        <f>IFERROR(BI30/BI217,"n/a")</f>
        <v>9.9999999999999992E-2</v>
      </c>
      <c r="BJ213" s="48">
        <v>0.1</v>
      </c>
      <c r="BK213" s="48">
        <v>0.1</v>
      </c>
      <c r="BL213" s="48">
        <v>0.1</v>
      </c>
      <c r="BM213" s="48">
        <v>0.1</v>
      </c>
      <c r="BN213" s="40">
        <f>AVERAGE(BJ213,BK213,BL213,BM213)</f>
        <v>0.1</v>
      </c>
      <c r="BO213" s="48">
        <v>0.1</v>
      </c>
      <c r="BP213" s="48">
        <v>0.1</v>
      </c>
      <c r="BQ213" s="48">
        <v>0.1</v>
      </c>
      <c r="BR213" s="48">
        <v>0.1</v>
      </c>
      <c r="BS213" s="40">
        <f>AVERAGE(BO213,BP213,BQ213,BR213)</f>
        <v>0.1</v>
      </c>
      <c r="BT213" s="49">
        <v>0.1</v>
      </c>
      <c r="BU213" s="49">
        <v>0.1</v>
      </c>
      <c r="BV213" s="49">
        <v>0.1</v>
      </c>
      <c r="BW213" s="45"/>
    </row>
    <row r="214" spans="1:75" ht="15.75" customHeight="1" outlineLevel="1" x14ac:dyDescent="0.2">
      <c r="A214" s="47" t="s">
        <v>588</v>
      </c>
      <c r="B214" s="39"/>
      <c r="C214" s="40"/>
      <c r="D214" s="40"/>
      <c r="E214" s="40"/>
      <c r="F214" s="40"/>
      <c r="G214" s="41"/>
      <c r="H214" s="41"/>
      <c r="I214" s="41"/>
      <c r="J214" s="41"/>
      <c r="K214" s="40"/>
      <c r="L214" s="41"/>
      <c r="M214" s="41"/>
      <c r="N214" s="41"/>
      <c r="O214" s="41"/>
      <c r="P214" s="40"/>
      <c r="Q214" s="48">
        <v>0.8</v>
      </c>
      <c r="R214" s="48">
        <v>0.8</v>
      </c>
      <c r="S214" s="48">
        <v>0.8</v>
      </c>
      <c r="T214" s="48">
        <v>0.8</v>
      </c>
      <c r="U214" s="40">
        <f>(U30/U213/U211*1000)/U69</f>
        <v>0.83182875504814469</v>
      </c>
      <c r="V214" s="48">
        <v>0.8</v>
      </c>
      <c r="W214" s="48">
        <v>0.8</v>
      </c>
      <c r="X214" s="48">
        <v>0.8</v>
      </c>
      <c r="Y214" s="48">
        <v>0.8</v>
      </c>
      <c r="Z214" s="40">
        <f>(Z30/Z213/Z211*1000)/Z69</f>
        <v>0.8346595471855448</v>
      </c>
      <c r="AA214" s="48">
        <v>0.8</v>
      </c>
      <c r="AB214" s="48">
        <v>0.8</v>
      </c>
      <c r="AC214" s="48">
        <v>0.8</v>
      </c>
      <c r="AD214" s="48">
        <v>0.8</v>
      </c>
      <c r="AE214" s="40">
        <f>(AE30/AE213/AE211*1000)/AE69</f>
        <v>0.82900637036244706</v>
      </c>
      <c r="AF214" s="48">
        <v>0.8</v>
      </c>
      <c r="AG214" s="48">
        <v>0.8</v>
      </c>
      <c r="AH214" s="48">
        <v>0.8</v>
      </c>
      <c r="AI214" s="48">
        <v>0.8</v>
      </c>
      <c r="AJ214" s="40">
        <f>(AJ30/AJ213/AJ211*1000)/AJ69</f>
        <v>0.81105024839171747</v>
      </c>
      <c r="AK214" s="48">
        <v>0.8</v>
      </c>
      <c r="AL214" s="48">
        <v>0.8</v>
      </c>
      <c r="AM214" s="48">
        <v>0.8</v>
      </c>
      <c r="AN214" s="48">
        <v>0.8</v>
      </c>
      <c r="AO214" s="40">
        <f>(AO30/AO213/AO211*1000)/AO69</f>
        <v>0.82200709235540836</v>
      </c>
      <c r="AP214" s="48">
        <v>0.8</v>
      </c>
      <c r="AQ214" s="48">
        <v>0.8</v>
      </c>
      <c r="AR214" s="48">
        <v>0.8</v>
      </c>
      <c r="AS214" s="48">
        <v>0.8</v>
      </c>
      <c r="AT214" s="40">
        <f>(AT30/AT213/AT211*1000)/AT69</f>
        <v>0.80375532476638134</v>
      </c>
      <c r="AU214" s="48">
        <v>0.8</v>
      </c>
      <c r="AV214" s="48">
        <v>0.8</v>
      </c>
      <c r="AW214" s="48">
        <v>0.8</v>
      </c>
      <c r="AX214" s="48">
        <v>0.8</v>
      </c>
      <c r="AY214" s="40">
        <f>(AY30/AY213/AY211*1000)/AY69</f>
        <v>0.8083765659407155</v>
      </c>
      <c r="AZ214" s="48">
        <v>0.8</v>
      </c>
      <c r="BA214" s="48">
        <v>0.8</v>
      </c>
      <c r="BB214" s="48">
        <v>0.8</v>
      </c>
      <c r="BC214" s="48">
        <v>0.8</v>
      </c>
      <c r="BD214" s="40">
        <f>(BD30/BD213/BD211*1000)/BD69</f>
        <v>0.80384136469371781</v>
      </c>
      <c r="BE214" s="48">
        <v>0.8</v>
      </c>
      <c r="BF214" s="48">
        <v>0.8</v>
      </c>
      <c r="BG214" s="48">
        <v>0.8</v>
      </c>
      <c r="BH214" s="48">
        <v>0.8</v>
      </c>
      <c r="BI214" s="46">
        <f>IFERROR((BI30/BI213/BI211*1000)/BI69,"n/a")</f>
        <v>0.80668782861178256</v>
      </c>
      <c r="BJ214" s="48">
        <v>0.8</v>
      </c>
      <c r="BK214" s="48">
        <v>0.8</v>
      </c>
      <c r="BL214" s="48">
        <v>0.8</v>
      </c>
      <c r="BM214" s="48">
        <v>0.8</v>
      </c>
      <c r="BN214" s="40">
        <f>(BN30/BN213/BN211*1000)/BN69</f>
        <v>0.80303977202385701</v>
      </c>
      <c r="BO214" s="48">
        <v>0.8</v>
      </c>
      <c r="BP214" s="48">
        <v>0.8</v>
      </c>
      <c r="BQ214" s="48">
        <v>0.8</v>
      </c>
      <c r="BR214" s="48">
        <v>0.8</v>
      </c>
      <c r="BS214" s="40">
        <f>(BS30/BS213/BS211*1000)/BS69</f>
        <v>0.80000310449911216</v>
      </c>
      <c r="BT214" s="49">
        <v>0.8</v>
      </c>
      <c r="BU214" s="49">
        <v>0.8</v>
      </c>
      <c r="BV214" s="49">
        <v>0.8</v>
      </c>
      <c r="BW214" s="45"/>
    </row>
    <row r="215" spans="1:75" ht="15.75" customHeight="1" outlineLevel="1" x14ac:dyDescent="0.2">
      <c r="A215" s="38" t="s">
        <v>353</v>
      </c>
      <c r="B215" s="47"/>
      <c r="C215" s="189"/>
      <c r="D215" s="189"/>
      <c r="E215" s="189"/>
      <c r="F215" s="189"/>
      <c r="G215" s="39"/>
      <c r="H215" s="39"/>
      <c r="I215" s="39"/>
      <c r="J215" s="39"/>
      <c r="K215" s="189"/>
      <c r="L215" s="39"/>
      <c r="M215" s="39"/>
      <c r="N215" s="39"/>
      <c r="O215" s="39"/>
      <c r="P215" s="189"/>
      <c r="Q215" s="45">
        <f t="shared" ref="Q215:BG215" si="593">Q209/Q244</f>
        <v>4.5454545454545456E-2</v>
      </c>
      <c r="R215" s="45">
        <f t="shared" si="593"/>
        <v>4.4776119402985072E-2</v>
      </c>
      <c r="S215" s="45">
        <f t="shared" si="593"/>
        <v>4.4334975369458129E-2</v>
      </c>
      <c r="T215" s="45">
        <f t="shared" si="593"/>
        <v>5.2132701421800945E-2</v>
      </c>
      <c r="U215" s="228">
        <f t="shared" si="593"/>
        <v>5.2132701421800945E-2</v>
      </c>
      <c r="V215" s="45">
        <f t="shared" si="593"/>
        <v>5.1886792452830191E-2</v>
      </c>
      <c r="W215" s="45">
        <f t="shared" si="593"/>
        <v>5.6074766355140186E-2</v>
      </c>
      <c r="X215" s="45">
        <f t="shared" si="593"/>
        <v>6.0465116279069767E-2</v>
      </c>
      <c r="Y215" s="39">
        <f t="shared" si="593"/>
        <v>6.726457399103139E-2</v>
      </c>
      <c r="Z215" s="189">
        <f t="shared" si="593"/>
        <v>6.726457399103139E-2</v>
      </c>
      <c r="AA215" s="45">
        <f t="shared" si="593"/>
        <v>7.1428571428571425E-2</v>
      </c>
      <c r="AB215" s="45">
        <f t="shared" si="593"/>
        <v>7.1748878923766815E-2</v>
      </c>
      <c r="AC215" s="45">
        <f t="shared" si="593"/>
        <v>7.9646017699115043E-2</v>
      </c>
      <c r="AD215" s="39">
        <f t="shared" si="593"/>
        <v>8.5470085470085472E-2</v>
      </c>
      <c r="AE215" s="189">
        <f t="shared" si="593"/>
        <v>8.5470085470085472E-2</v>
      </c>
      <c r="AF215" s="45">
        <f t="shared" si="593"/>
        <v>8.9361702127659579E-2</v>
      </c>
      <c r="AG215" s="45">
        <f t="shared" si="593"/>
        <v>8.9743589743589744E-2</v>
      </c>
      <c r="AH215" s="45">
        <f t="shared" si="593"/>
        <v>8.8983050847457626E-2</v>
      </c>
      <c r="AI215" s="39">
        <f t="shared" si="593"/>
        <v>8.7866108786610872E-2</v>
      </c>
      <c r="AJ215" s="189">
        <f t="shared" si="593"/>
        <v>8.7866108786610872E-2</v>
      </c>
      <c r="AK215" s="45">
        <f t="shared" si="593"/>
        <v>8.4033613445378158E-2</v>
      </c>
      <c r="AL215" s="45">
        <f t="shared" si="593"/>
        <v>8.7499999999999994E-2</v>
      </c>
      <c r="AM215" s="45">
        <f t="shared" si="593"/>
        <v>7.9584775086505188E-2</v>
      </c>
      <c r="AN215" s="39">
        <f t="shared" si="593"/>
        <v>8.1761006289308172E-2</v>
      </c>
      <c r="AO215" s="189">
        <f t="shared" si="593"/>
        <v>8.1761006289308172E-2</v>
      </c>
      <c r="AP215" s="45">
        <f t="shared" si="593"/>
        <v>8.1250000000000003E-2</v>
      </c>
      <c r="AQ215" s="45">
        <f t="shared" si="593"/>
        <v>8.1250000000000003E-2</v>
      </c>
      <c r="AR215" s="45">
        <f t="shared" si="593"/>
        <v>8.1250000000000003E-2</v>
      </c>
      <c r="AS215" s="39">
        <f t="shared" si="593"/>
        <v>8.3850931677018639E-2</v>
      </c>
      <c r="AT215" s="189">
        <f t="shared" si="593"/>
        <v>8.3850931677018639E-2</v>
      </c>
      <c r="AU215" s="45">
        <f t="shared" si="593"/>
        <v>8.3333333333333329E-2</v>
      </c>
      <c r="AV215" s="45">
        <f t="shared" si="593"/>
        <v>8.5365853658536592E-2</v>
      </c>
      <c r="AW215" s="45">
        <f t="shared" si="593"/>
        <v>8.7087087087087081E-2</v>
      </c>
      <c r="AX215" s="39">
        <f t="shared" si="593"/>
        <v>8.6053412462908013E-2</v>
      </c>
      <c r="AY215" s="189">
        <f t="shared" si="593"/>
        <v>8.6053412462908013E-2</v>
      </c>
      <c r="AZ215" s="45">
        <f t="shared" si="593"/>
        <v>8.6567164179104483E-2</v>
      </c>
      <c r="BA215" s="45">
        <f t="shared" si="593"/>
        <v>8.6053412462908013E-2</v>
      </c>
      <c r="BB215" s="45">
        <f t="shared" si="593"/>
        <v>8.5294117647058826E-2</v>
      </c>
      <c r="BC215" s="39">
        <f t="shared" si="593"/>
        <v>8.6206896551724144E-2</v>
      </c>
      <c r="BD215" s="189">
        <f t="shared" si="593"/>
        <v>8.6206896551724144E-2</v>
      </c>
      <c r="BE215" s="45">
        <f t="shared" si="593"/>
        <v>8.6206896551724144E-2</v>
      </c>
      <c r="BF215" s="45">
        <f t="shared" si="593"/>
        <v>8.5470085470085472E-2</v>
      </c>
      <c r="BG215" s="45">
        <f t="shared" si="593"/>
        <v>8.4985835694050993E-2</v>
      </c>
      <c r="BH215" s="39">
        <f t="shared" ref="BH215:BI215" si="594">IFERROR(BH209/BH244,"n/a")</f>
        <v>8.8154269972451793E-2</v>
      </c>
      <c r="BI215" s="190">
        <f t="shared" si="594"/>
        <v>8.8154269972451793E-2</v>
      </c>
      <c r="BJ215" s="39">
        <f t="shared" ref="BJ215:BV215" si="595">BJ209/BJ244</f>
        <v>8.943089430894309E-2</v>
      </c>
      <c r="BK215" s="39">
        <f t="shared" si="595"/>
        <v>8.8235294117647065E-2</v>
      </c>
      <c r="BL215" s="39">
        <f t="shared" si="595"/>
        <v>8.7071240105540904E-2</v>
      </c>
      <c r="BM215" s="39">
        <f t="shared" si="595"/>
        <v>8.5714285714285715E-2</v>
      </c>
      <c r="BN215" s="189">
        <f t="shared" si="595"/>
        <v>8.5519922254616132E-2</v>
      </c>
      <c r="BO215" s="39">
        <f t="shared" si="595"/>
        <v>8.4860173577627776E-2</v>
      </c>
      <c r="BP215" s="39">
        <f t="shared" si="595"/>
        <v>8.3782926055220572E-2</v>
      </c>
      <c r="BQ215" s="39">
        <f t="shared" si="595"/>
        <v>8.2525789309159117E-2</v>
      </c>
      <c r="BR215" s="39">
        <f t="shared" si="595"/>
        <v>8.150663785118864E-2</v>
      </c>
      <c r="BS215" s="189">
        <f t="shared" si="595"/>
        <v>8.2191780821917804E-2</v>
      </c>
      <c r="BT215" s="189">
        <f t="shared" si="595"/>
        <v>7.8478002378121289E-2</v>
      </c>
      <c r="BU215" s="189">
        <f t="shared" si="595"/>
        <v>7.5085324232081918E-2</v>
      </c>
      <c r="BV215" s="189">
        <f t="shared" si="595"/>
        <v>7.1973827699018542E-2</v>
      </c>
      <c r="BW215" s="45"/>
    </row>
    <row r="216" spans="1:75" ht="15.75" customHeight="1" outlineLevel="1" x14ac:dyDescent="0.2">
      <c r="A216" s="47"/>
      <c r="B216" s="39"/>
      <c r="C216" s="40"/>
      <c r="D216" s="40"/>
      <c r="E216" s="40"/>
      <c r="F216" s="40"/>
      <c r="G216" s="41"/>
      <c r="H216" s="41"/>
      <c r="I216" s="41"/>
      <c r="J216" s="41"/>
      <c r="K216" s="40"/>
      <c r="L216" s="41"/>
      <c r="M216" s="41"/>
      <c r="N216" s="41"/>
      <c r="O216" s="41"/>
      <c r="P216" s="40"/>
      <c r="Q216" s="41"/>
      <c r="R216" s="41"/>
      <c r="S216" s="41"/>
      <c r="T216" s="41"/>
      <c r="U216" s="40"/>
      <c r="V216" s="41"/>
      <c r="W216" s="41"/>
      <c r="X216" s="41"/>
      <c r="Y216" s="41"/>
      <c r="Z216" s="40"/>
      <c r="AA216" s="41"/>
      <c r="AB216" s="41"/>
      <c r="AC216" s="41"/>
      <c r="AD216" s="41"/>
      <c r="AE216" s="40"/>
      <c r="AF216" s="41"/>
      <c r="AG216" s="41"/>
      <c r="AH216" s="41"/>
      <c r="AI216" s="41"/>
      <c r="AJ216" s="40"/>
      <c r="AK216" s="41"/>
      <c r="AL216" s="41"/>
      <c r="AM216" s="41"/>
      <c r="AN216" s="41"/>
      <c r="AO216" s="40"/>
      <c r="AP216" s="41"/>
      <c r="AQ216" s="41"/>
      <c r="AR216" s="41"/>
      <c r="AS216" s="41"/>
      <c r="AT216" s="40"/>
      <c r="AU216" s="41"/>
      <c r="AV216" s="41"/>
      <c r="AW216" s="41"/>
      <c r="AX216" s="41"/>
      <c r="AY216" s="40"/>
      <c r="AZ216" s="41"/>
      <c r="BA216" s="41"/>
      <c r="BB216" s="41"/>
      <c r="BC216" s="41"/>
      <c r="BD216" s="40"/>
      <c r="BE216" s="41"/>
      <c r="BF216" s="41"/>
      <c r="BG216" s="41"/>
      <c r="BH216" s="41"/>
      <c r="BI216" s="46"/>
      <c r="BJ216" s="41"/>
      <c r="BK216" s="41"/>
      <c r="BL216" s="41"/>
      <c r="BM216" s="41"/>
      <c r="BN216" s="40"/>
      <c r="BO216" s="41"/>
      <c r="BP216" s="41"/>
      <c r="BQ216" s="41"/>
      <c r="BR216" s="41"/>
      <c r="BS216" s="40"/>
      <c r="BT216" s="40"/>
      <c r="BU216" s="40"/>
      <c r="BV216" s="40"/>
      <c r="BW216" s="45"/>
    </row>
    <row r="217" spans="1:75" ht="15.75" customHeight="1" outlineLevel="1" x14ac:dyDescent="0.2">
      <c r="A217" s="229" t="s">
        <v>356</v>
      </c>
      <c r="B217" s="108"/>
      <c r="C217" s="109"/>
      <c r="D217" s="109"/>
      <c r="E217" s="109"/>
      <c r="F217" s="109"/>
      <c r="G217" s="110"/>
      <c r="H217" s="110"/>
      <c r="I217" s="110"/>
      <c r="J217" s="110"/>
      <c r="K217" s="109"/>
      <c r="L217" s="110"/>
      <c r="M217" s="110"/>
      <c r="N217" s="110"/>
      <c r="O217" s="110"/>
      <c r="P217" s="109"/>
      <c r="Q217" s="83">
        <f t="shared" ref="Q217:T217" si="596">Q30/Q213</f>
        <v>19.233233898305091</v>
      </c>
      <c r="R217" s="83">
        <f t="shared" si="596"/>
        <v>19.582457142857145</v>
      </c>
      <c r="S217" s="83">
        <f t="shared" si="596"/>
        <v>19.275990410958904</v>
      </c>
      <c r="T217" s="83">
        <f t="shared" si="596"/>
        <v>22.773914786967424</v>
      </c>
      <c r="U217" s="109">
        <f>SUM(Q217,R217,S217,T217)</f>
        <v>80.865596239088575</v>
      </c>
      <c r="V217" s="83">
        <f t="shared" ref="V217:Y217" si="597">V30/V213</f>
        <v>23.777730049261081</v>
      </c>
      <c r="W217" s="83">
        <f t="shared" si="597"/>
        <v>26.09778039215686</v>
      </c>
      <c r="X217" s="83">
        <f t="shared" si="597"/>
        <v>28.175746031746034</v>
      </c>
      <c r="Y217" s="110">
        <f t="shared" si="597"/>
        <v>34.212606691449814</v>
      </c>
      <c r="Z217" s="109">
        <f>SUM(V217,W217,X217,Y217)</f>
        <v>112.26386316461378</v>
      </c>
      <c r="AA217" s="83">
        <f t="shared" ref="AA217:AD217" si="598">AA30/AA213</f>
        <v>33.994820618556702</v>
      </c>
      <c r="AB217" s="83">
        <f t="shared" si="598"/>
        <v>34.3925066348828</v>
      </c>
      <c r="AC217" s="83">
        <f t="shared" si="598"/>
        <v>37.840493189964157</v>
      </c>
      <c r="AD217" s="110">
        <f t="shared" si="598"/>
        <v>41.957153605015684</v>
      </c>
      <c r="AE217" s="109">
        <f>SUM(AA217,AB217,AC217,AD217)</f>
        <v>148.18497404841935</v>
      </c>
      <c r="AF217" s="83">
        <f t="shared" ref="AF217:AI217" si="599">AF30/AF213</f>
        <v>45.65319798994976</v>
      </c>
      <c r="AG217" s="83">
        <f t="shared" si="599"/>
        <v>45.854018900077463</v>
      </c>
      <c r="AH217" s="83">
        <f t="shared" si="599"/>
        <v>44.882893023255818</v>
      </c>
      <c r="AI217" s="110">
        <f t="shared" si="599"/>
        <v>44.67193156069365</v>
      </c>
      <c r="AJ217" s="109">
        <f>SUM(AF217,AG217,AH217,AI217)</f>
        <v>181.06204147397668</v>
      </c>
      <c r="AK217" s="83">
        <f t="shared" ref="AK217:AN217" si="600">AK30/AK213</f>
        <v>43.672278606965179</v>
      </c>
      <c r="AL217" s="83">
        <f t="shared" si="600"/>
        <v>45.90386798780488</v>
      </c>
      <c r="AM217" s="83">
        <f t="shared" si="600"/>
        <v>48.795798782343994</v>
      </c>
      <c r="AN217" s="110">
        <f t="shared" si="600"/>
        <v>55.468053333333337</v>
      </c>
      <c r="AO217" s="109">
        <f>SUM(AK217,AL217,AM217,AN217)</f>
        <v>193.83999871044739</v>
      </c>
      <c r="AP217" s="83">
        <f t="shared" ref="AP217:AS217" si="601">AP30/AP213</f>
        <v>49.395122812266266</v>
      </c>
      <c r="AQ217" s="83">
        <f t="shared" si="601"/>
        <v>24.691207272727276</v>
      </c>
      <c r="AR217" s="83">
        <f t="shared" si="601"/>
        <v>42.356301126972198</v>
      </c>
      <c r="AS217" s="110">
        <f t="shared" si="601"/>
        <v>46.184016504126049</v>
      </c>
      <c r="AT217" s="109">
        <f>SUM(AP217,AQ217,AR217,AS217)</f>
        <v>162.62664771609178</v>
      </c>
      <c r="AU217" s="83">
        <f t="shared" ref="AU217:AX217" si="602">AU30/AU213</f>
        <v>52.363118446601931</v>
      </c>
      <c r="AV217" s="83">
        <f t="shared" si="602"/>
        <v>65.651586473429973</v>
      </c>
      <c r="AW217" s="83">
        <f t="shared" si="602"/>
        <v>66.461356638155451</v>
      </c>
      <c r="AX217" s="110">
        <f t="shared" si="602"/>
        <v>66.417905185185205</v>
      </c>
      <c r="AY217" s="109">
        <f>SUM(AU217,AV217,AW217,AX217)</f>
        <v>250.89396674337257</v>
      </c>
      <c r="AZ217" s="83">
        <f t="shared" ref="AZ217:BC217" si="603">AZ30/AZ213</f>
        <v>68.017938461538463</v>
      </c>
      <c r="BA217" s="83">
        <f t="shared" si="603"/>
        <v>71.480315384615366</v>
      </c>
      <c r="BB217" s="83">
        <f t="shared" si="603"/>
        <v>67.221901367837347</v>
      </c>
      <c r="BC217" s="110">
        <f t="shared" si="603"/>
        <v>77.108170125893167</v>
      </c>
      <c r="BD217" s="109">
        <f>SUM(AZ217,BA217,BB217,BC217)</f>
        <v>283.82832533988437</v>
      </c>
      <c r="BE217" s="83">
        <f t="shared" ref="BE217:BG217" si="604">BE30/BE213</f>
        <v>73.957930998486347</v>
      </c>
      <c r="BF217" s="83">
        <f t="shared" si="604"/>
        <v>75.278401504859431</v>
      </c>
      <c r="BG217" s="83">
        <f t="shared" si="604"/>
        <v>71.110188679245283</v>
      </c>
      <c r="BH217" s="110">
        <f>IFERROR(BH30/BH213,"n/a")</f>
        <v>78.738949335249714</v>
      </c>
      <c r="BI217" s="107">
        <f>IFERROR(SUM(BE217,BF217,BG217,BH217),"n/a")</f>
        <v>299.0854705178408</v>
      </c>
      <c r="BJ217" s="110">
        <f t="shared" ref="BJ217:BV217" si="605">BJ30/BJ213</f>
        <v>81.981625793821891</v>
      </c>
      <c r="BK217" s="110">
        <f t="shared" si="605"/>
        <v>83.051154365212199</v>
      </c>
      <c r="BL217" s="110">
        <f t="shared" si="605"/>
        <v>79.323650757944506</v>
      </c>
      <c r="BM217" s="110">
        <f t="shared" si="605"/>
        <v>82.344124581379504</v>
      </c>
      <c r="BN217" s="109">
        <f t="shared" si="605"/>
        <v>326.70055549835814</v>
      </c>
      <c r="BO217" s="110">
        <f t="shared" si="605"/>
        <v>81.918133482925271</v>
      </c>
      <c r="BP217" s="110">
        <f t="shared" si="605"/>
        <v>83.014897235986084</v>
      </c>
      <c r="BQ217" s="110">
        <f t="shared" si="605"/>
        <v>79.306839303968275</v>
      </c>
      <c r="BR217" s="110">
        <f t="shared" si="605"/>
        <v>82.326746125840003</v>
      </c>
      <c r="BS217" s="109">
        <f t="shared" si="605"/>
        <v>326.56661614871962</v>
      </c>
      <c r="BT217" s="109">
        <f t="shared" si="605"/>
        <v>341.08617538422465</v>
      </c>
      <c r="BU217" s="109">
        <f t="shared" si="605"/>
        <v>356.17863163685632</v>
      </c>
      <c r="BV217" s="109">
        <f t="shared" si="605"/>
        <v>379.08605446152836</v>
      </c>
      <c r="BW217" s="83"/>
    </row>
    <row r="218" spans="1:75" ht="15.75" customHeight="1" x14ac:dyDescent="0.2">
      <c r="A218" s="47"/>
      <c r="B218" s="39"/>
      <c r="C218" s="40"/>
      <c r="D218" s="40"/>
      <c r="E218" s="40"/>
      <c r="F218" s="40"/>
      <c r="G218" s="41"/>
      <c r="H218" s="41"/>
      <c r="I218" s="41"/>
      <c r="J218" s="41"/>
      <c r="K218" s="40"/>
      <c r="L218" s="41"/>
      <c r="M218" s="41"/>
      <c r="N218" s="41"/>
      <c r="O218" s="41"/>
      <c r="P218" s="40"/>
      <c r="Q218" s="41"/>
      <c r="R218" s="41"/>
      <c r="S218" s="41"/>
      <c r="T218" s="41"/>
      <c r="U218" s="40"/>
      <c r="V218" s="41"/>
      <c r="W218" s="41"/>
      <c r="X218" s="41"/>
      <c r="Y218" s="41"/>
      <c r="Z218" s="40"/>
      <c r="AA218" s="41"/>
      <c r="AB218" s="41"/>
      <c r="AC218" s="41"/>
      <c r="AD218" s="41"/>
      <c r="AE218" s="40"/>
      <c r="AF218" s="41"/>
      <c r="AG218" s="41"/>
      <c r="AH218" s="41"/>
      <c r="AI218" s="41"/>
      <c r="AJ218" s="40"/>
      <c r="AK218" s="41"/>
      <c r="AL218" s="41"/>
      <c r="AM218" s="41"/>
      <c r="AN218" s="41"/>
      <c r="AO218" s="40"/>
      <c r="AP218" s="41"/>
      <c r="AQ218" s="41"/>
      <c r="AR218" s="41"/>
      <c r="AS218" s="41"/>
      <c r="AT218" s="40"/>
      <c r="AU218" s="41"/>
      <c r="AV218" s="41"/>
      <c r="AW218" s="41"/>
      <c r="AX218" s="41"/>
      <c r="AY218" s="40"/>
      <c r="AZ218" s="41"/>
      <c r="BA218" s="41"/>
      <c r="BB218" s="41"/>
      <c r="BC218" s="41"/>
      <c r="BD218" s="40"/>
      <c r="BE218" s="41"/>
      <c r="BF218" s="41"/>
      <c r="BG218" s="41"/>
      <c r="BH218" s="41"/>
      <c r="BI218" s="46"/>
      <c r="BJ218" s="41"/>
      <c r="BK218" s="41"/>
      <c r="BL218" s="41"/>
      <c r="BM218" s="41"/>
      <c r="BN218" s="40"/>
      <c r="BO218" s="41"/>
      <c r="BP218" s="41"/>
      <c r="BQ218" s="41"/>
      <c r="BR218" s="41"/>
      <c r="BS218" s="40"/>
      <c r="BT218" s="40"/>
      <c r="BU218" s="40"/>
      <c r="BV218" s="40"/>
      <c r="BW218" s="45"/>
    </row>
    <row r="219" spans="1:75" ht="15.75" customHeight="1" x14ac:dyDescent="0.2">
      <c r="A219" s="81" t="s">
        <v>589</v>
      </c>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t="s">
        <v>590</v>
      </c>
      <c r="AL219" s="81" t="s">
        <v>590</v>
      </c>
      <c r="AM219" s="81" t="s">
        <v>590</v>
      </c>
      <c r="AN219" s="81"/>
      <c r="AO219" s="81"/>
      <c r="AP219" s="81" t="s">
        <v>590</v>
      </c>
      <c r="AQ219" s="81"/>
      <c r="AR219" s="81"/>
      <c r="AS219" s="81"/>
      <c r="AT219" s="81"/>
      <c r="AU219" s="81"/>
      <c r="AV219" s="81"/>
      <c r="AW219" s="81"/>
      <c r="AX219" s="81"/>
      <c r="AY219" s="81"/>
      <c r="AZ219" s="81"/>
      <c r="BA219" s="81"/>
      <c r="BB219" s="81"/>
      <c r="BC219" s="81"/>
      <c r="BD219" s="81"/>
      <c r="BE219" s="81"/>
      <c r="BF219" s="81"/>
      <c r="BG219" s="81"/>
      <c r="BH219" s="81"/>
      <c r="BI219" s="82"/>
      <c r="BJ219" s="81"/>
      <c r="BK219" s="81"/>
      <c r="BL219" s="81"/>
      <c r="BM219" s="81"/>
      <c r="BN219" s="81"/>
      <c r="BO219" s="81"/>
      <c r="BP219" s="81"/>
      <c r="BQ219" s="81"/>
      <c r="BR219" s="81"/>
      <c r="BS219" s="81"/>
      <c r="BT219" s="81"/>
      <c r="BU219" s="81"/>
      <c r="BV219" s="81"/>
      <c r="BW219" s="83"/>
    </row>
    <row r="220" spans="1:75" ht="15.75" customHeight="1" outlineLevel="1" x14ac:dyDescent="0.2">
      <c r="A220" s="84" t="s">
        <v>591</v>
      </c>
      <c r="B220" s="85"/>
      <c r="C220" s="86"/>
      <c r="D220" s="86"/>
      <c r="E220" s="86"/>
      <c r="F220" s="87">
        <v>225.92</v>
      </c>
      <c r="G220" s="88">
        <v>59.237000000000002</v>
      </c>
      <c r="H220" s="88">
        <v>62.718000000000004</v>
      </c>
      <c r="I220" s="88">
        <v>61.686</v>
      </c>
      <c r="J220" s="4">
        <f>K220-SUM(G220,H220,I220)</f>
        <v>66.58899999999997</v>
      </c>
      <c r="K220" s="87">
        <v>250.23</v>
      </c>
      <c r="L220" s="88">
        <v>57.99</v>
      </c>
      <c r="M220" s="88">
        <v>65.046000000000006</v>
      </c>
      <c r="N220" s="88">
        <v>59.213999999999999</v>
      </c>
      <c r="O220" s="4">
        <f>P220-SUM(L220,M220,N220)</f>
        <v>58.524000000000001</v>
      </c>
      <c r="P220" s="87">
        <v>240.774</v>
      </c>
      <c r="Q220" s="88">
        <v>66.700999999999993</v>
      </c>
      <c r="R220" s="88">
        <v>77.292000000000002</v>
      </c>
      <c r="S220" s="88">
        <v>67.472999999999999</v>
      </c>
      <c r="T220" s="4">
        <f>U220-SUM(Q220,R220,S220)</f>
        <v>64.21999999999997</v>
      </c>
      <c r="U220" s="87">
        <v>275.68599999999998</v>
      </c>
      <c r="V220" s="88">
        <v>70.543000000000006</v>
      </c>
      <c r="W220" s="88">
        <v>82.284999999999997</v>
      </c>
      <c r="X220" s="88">
        <v>76.808000000000007</v>
      </c>
      <c r="Y220" s="4">
        <f>Z220-SUM(V220,W220,X220)</f>
        <v>78.421999999999969</v>
      </c>
      <c r="Z220" s="87">
        <v>308.05799999999999</v>
      </c>
      <c r="AA220" s="88">
        <v>70.543000000000006</v>
      </c>
      <c r="AB220" s="88">
        <v>75.989000000000004</v>
      </c>
      <c r="AC220" s="88">
        <v>60.496000000000002</v>
      </c>
      <c r="AD220" s="4">
        <f>AE220-SUM(AA220,AB220,AC220)</f>
        <v>56.552999999999997</v>
      </c>
      <c r="AE220" s="87">
        <v>263.58100000000002</v>
      </c>
      <c r="AF220" s="88">
        <v>62.116999999999997</v>
      </c>
      <c r="AG220" s="88">
        <v>69.888999999999996</v>
      </c>
      <c r="AH220" s="88">
        <v>61.95</v>
      </c>
      <c r="AI220" s="4">
        <f>AJ220-SUM(AF220,AG220,AH220)</f>
        <v>58.253999999999991</v>
      </c>
      <c r="AJ220" s="87">
        <v>252.21</v>
      </c>
      <c r="AK220" s="88">
        <v>65.938999999999993</v>
      </c>
      <c r="AL220" s="88">
        <v>73.61</v>
      </c>
      <c r="AM220" s="88">
        <v>64.254000000000005</v>
      </c>
      <c r="AN220" s="4">
        <f t="shared" ref="AN220:AN223" si="606">AO220-SUM(AK220,AL220,AM220)</f>
        <v>54.571000000000026</v>
      </c>
      <c r="AO220" s="87">
        <v>258.37400000000002</v>
      </c>
      <c r="AP220" s="88">
        <v>39.323999999999998</v>
      </c>
      <c r="AQ220" s="88">
        <v>-26.951000000000001</v>
      </c>
      <c r="AR220" s="88">
        <v>18.835999999999999</v>
      </c>
      <c r="AS220" s="4">
        <f>AT220-SUM(AP220,AQ220,AR220)</f>
        <v>14.331000000000003</v>
      </c>
      <c r="AT220" s="87">
        <v>45.54</v>
      </c>
      <c r="AU220" s="88">
        <v>44.481000000000002</v>
      </c>
      <c r="AV220" s="88">
        <v>83.197999999999993</v>
      </c>
      <c r="AW220" s="88">
        <v>66.790999999999997</v>
      </c>
      <c r="AX220" s="4">
        <f t="shared" ref="AX220:AX223" si="607">AY220-SUM(AU220,AV220,AW220)</f>
        <v>48.128999999999991</v>
      </c>
      <c r="AY220" s="87">
        <v>242.59899999999999</v>
      </c>
      <c r="AZ220" s="88">
        <v>63.444000000000003</v>
      </c>
      <c r="BA220" s="88">
        <v>64.326999999999998</v>
      </c>
      <c r="BB220" s="88">
        <v>42.122</v>
      </c>
      <c r="BC220" s="4">
        <f t="shared" ref="BC220:BC223" si="608">BD220-SUM(AZ220,BA220,BB220)</f>
        <v>50.871999999999986</v>
      </c>
      <c r="BD220" s="87">
        <v>220.76499999999999</v>
      </c>
      <c r="BE220" s="88">
        <v>78.385999999999996</v>
      </c>
      <c r="BF220" s="88">
        <v>85.677000000000007</v>
      </c>
      <c r="BG220" s="88">
        <v>67.637</v>
      </c>
      <c r="BH220" s="4">
        <f t="shared" ref="BH220:BH223" si="609">BI220-SUM(BE220,BF220,BG220)</f>
        <v>65.363</v>
      </c>
      <c r="BI220" s="89">
        <v>297.06299999999999</v>
      </c>
      <c r="BJ220" s="2"/>
      <c r="BK220" s="2"/>
      <c r="BL220" s="2"/>
      <c r="BM220" s="2"/>
      <c r="BN220" s="86"/>
      <c r="BO220" s="2"/>
      <c r="BP220" s="2"/>
      <c r="BQ220" s="2"/>
      <c r="BR220" s="2"/>
      <c r="BS220" s="86"/>
      <c r="BT220" s="86"/>
      <c r="BU220" s="86"/>
      <c r="BV220" s="86"/>
      <c r="BW220" s="4"/>
    </row>
    <row r="221" spans="1:75" ht="15.75" customHeight="1" outlineLevel="1" x14ac:dyDescent="0.2">
      <c r="A221" s="84" t="s">
        <v>592</v>
      </c>
      <c r="B221" s="85"/>
      <c r="C221" s="86"/>
      <c r="D221" s="86"/>
      <c r="E221" s="86"/>
      <c r="F221" s="86"/>
      <c r="G221" s="2"/>
      <c r="H221" s="2"/>
      <c r="I221" s="2"/>
      <c r="J221" s="2"/>
      <c r="K221" s="86"/>
      <c r="L221" s="2"/>
      <c r="M221" s="2"/>
      <c r="N221" s="2"/>
      <c r="O221" s="2"/>
      <c r="P221" s="86"/>
      <c r="Q221" s="2"/>
      <c r="R221" s="2"/>
      <c r="S221" s="2"/>
      <c r="T221" s="2"/>
      <c r="U221" s="86"/>
      <c r="V221" s="2"/>
      <c r="W221" s="2"/>
      <c r="X221" s="2"/>
      <c r="Y221" s="2"/>
      <c r="Z221" s="86"/>
      <c r="AA221" s="2"/>
      <c r="AB221" s="2"/>
      <c r="AC221" s="2"/>
      <c r="AD221" s="2"/>
      <c r="AE221" s="86"/>
      <c r="AF221" s="2"/>
      <c r="AG221" s="2"/>
      <c r="AH221" s="2"/>
      <c r="AI221" s="2"/>
      <c r="AJ221" s="86"/>
      <c r="AK221" s="2"/>
      <c r="AL221" s="2"/>
      <c r="AM221" s="2"/>
      <c r="AN221" s="4">
        <f t="shared" si="606"/>
        <v>1.6080000000000001</v>
      </c>
      <c r="AO221" s="87">
        <v>1.6080000000000001</v>
      </c>
      <c r="AP221" s="88">
        <v>-72.085999999999999</v>
      </c>
      <c r="AQ221" s="88">
        <v>-4.4050000000000002</v>
      </c>
      <c r="AR221" s="88">
        <v>-0.83099999999999996</v>
      </c>
      <c r="AS221" s="88">
        <v>-4.9000000000000002E-2</v>
      </c>
      <c r="AT221" s="87">
        <v>-77.370999999999995</v>
      </c>
      <c r="AU221" s="88">
        <v>0.33200000000000002</v>
      </c>
      <c r="AV221" s="88">
        <v>3.0259999999999998</v>
      </c>
      <c r="AW221" s="88">
        <v>1.962</v>
      </c>
      <c r="AX221" s="4">
        <f t="shared" si="607"/>
        <v>3.3040000000000012</v>
      </c>
      <c r="AY221" s="87">
        <v>8.6240000000000006</v>
      </c>
      <c r="AZ221" s="88">
        <v>3.6779999999999999</v>
      </c>
      <c r="BA221" s="88">
        <v>5.048</v>
      </c>
      <c r="BB221" s="88">
        <v>1.655</v>
      </c>
      <c r="BC221" s="4">
        <f t="shared" si="608"/>
        <v>3.5530000000000008</v>
      </c>
      <c r="BD221" s="87">
        <v>13.933999999999999</v>
      </c>
      <c r="BE221" s="88">
        <v>4.6059999999999999</v>
      </c>
      <c r="BF221" s="88">
        <v>6.6269999999999998</v>
      </c>
      <c r="BG221" s="88">
        <v>4.0810000000000004</v>
      </c>
      <c r="BH221" s="4">
        <f t="shared" si="609"/>
        <v>3.2010000000000005</v>
      </c>
      <c r="BI221" s="89">
        <v>18.515000000000001</v>
      </c>
      <c r="BJ221" s="2"/>
      <c r="BK221" s="2"/>
      <c r="BL221" s="2"/>
      <c r="BM221" s="2"/>
      <c r="BN221" s="86"/>
      <c r="BO221" s="2"/>
      <c r="BP221" s="2"/>
      <c r="BQ221" s="2"/>
      <c r="BR221" s="2"/>
      <c r="BS221" s="86"/>
      <c r="BT221" s="86"/>
      <c r="BU221" s="86"/>
      <c r="BV221" s="86"/>
      <c r="BW221" s="4"/>
    </row>
    <row r="222" spans="1:75" ht="15.75" customHeight="1" outlineLevel="1" x14ac:dyDescent="0.2">
      <c r="A222" s="84" t="s">
        <v>593</v>
      </c>
      <c r="B222" s="85"/>
      <c r="C222" s="86"/>
      <c r="D222" s="86"/>
      <c r="E222" s="86"/>
      <c r="F222" s="86"/>
      <c r="G222" s="2"/>
      <c r="H222" s="2"/>
      <c r="I222" s="2"/>
      <c r="J222" s="2"/>
      <c r="K222" s="86"/>
      <c r="L222" s="2"/>
      <c r="M222" s="2"/>
      <c r="N222" s="2"/>
      <c r="O222" s="2"/>
      <c r="P222" s="86"/>
      <c r="Q222" s="2"/>
      <c r="R222" s="2"/>
      <c r="S222" s="2"/>
      <c r="T222" s="2"/>
      <c r="U222" s="86"/>
      <c r="V222" s="2"/>
      <c r="W222" s="2"/>
      <c r="X222" s="2"/>
      <c r="Y222" s="2"/>
      <c r="Z222" s="86"/>
      <c r="AA222" s="2"/>
      <c r="AB222" s="2"/>
      <c r="AC222" s="2"/>
      <c r="AD222" s="2"/>
      <c r="AE222" s="86"/>
      <c r="AF222" s="2"/>
      <c r="AG222" s="2"/>
      <c r="AH222" s="2"/>
      <c r="AI222" s="2"/>
      <c r="AJ222" s="86"/>
      <c r="AK222" s="2"/>
      <c r="AL222" s="2"/>
      <c r="AM222" s="2"/>
      <c r="AN222" s="4">
        <f t="shared" si="606"/>
        <v>5.3090000000000002</v>
      </c>
      <c r="AO222" s="87">
        <v>5.3090000000000002</v>
      </c>
      <c r="AP222" s="88">
        <v>-69.963999999999999</v>
      </c>
      <c r="AQ222" s="88">
        <v>-5.2119999999999997</v>
      </c>
      <c r="AR222" s="88">
        <v>-1.901</v>
      </c>
      <c r="AS222" s="88">
        <v>5.0999999999999997E-2</v>
      </c>
      <c r="AT222" s="87">
        <v>-77.025999999999996</v>
      </c>
      <c r="AU222" s="88">
        <v>3.88</v>
      </c>
      <c r="AV222" s="88">
        <v>7.282</v>
      </c>
      <c r="AW222" s="88">
        <v>3.403</v>
      </c>
      <c r="AX222" s="4">
        <f t="shared" si="607"/>
        <v>1.7580000000000009</v>
      </c>
      <c r="AY222" s="87">
        <v>16.323</v>
      </c>
      <c r="AZ222" s="88">
        <v>7.3289999999999997</v>
      </c>
      <c r="BA222" s="88">
        <v>6.7930000000000001</v>
      </c>
      <c r="BB222" s="88">
        <v>4.109</v>
      </c>
      <c r="BC222" s="4">
        <f t="shared" si="608"/>
        <v>5.3460000000000001</v>
      </c>
      <c r="BD222" s="87">
        <v>23.577000000000002</v>
      </c>
      <c r="BE222" s="88">
        <v>8.7110000000000003</v>
      </c>
      <c r="BF222" s="88">
        <v>6.0789999999999997</v>
      </c>
      <c r="BG222" s="88">
        <v>1.036</v>
      </c>
      <c r="BH222" s="4">
        <f t="shared" si="609"/>
        <v>3.5960000000000019</v>
      </c>
      <c r="BI222" s="89">
        <v>19.422000000000001</v>
      </c>
      <c r="BJ222" s="2"/>
      <c r="BK222" s="2"/>
      <c r="BL222" s="2"/>
      <c r="BM222" s="2"/>
      <c r="BN222" s="86"/>
      <c r="BO222" s="2"/>
      <c r="BP222" s="2"/>
      <c r="BQ222" s="2"/>
      <c r="BR222" s="2"/>
      <c r="BS222" s="86"/>
      <c r="BT222" s="86"/>
      <c r="BU222" s="86"/>
      <c r="BV222" s="86"/>
      <c r="BW222" s="4"/>
    </row>
    <row r="223" spans="1:75" ht="15.75" customHeight="1" outlineLevel="1" x14ac:dyDescent="0.2">
      <c r="A223" s="84" t="s">
        <v>594</v>
      </c>
      <c r="B223" s="85"/>
      <c r="C223" s="86"/>
      <c r="D223" s="86"/>
      <c r="E223" s="86"/>
      <c r="F223" s="86"/>
      <c r="G223" s="2"/>
      <c r="H223" s="2"/>
      <c r="I223" s="2"/>
      <c r="J223" s="2"/>
      <c r="K223" s="86"/>
      <c r="L223" s="2"/>
      <c r="M223" s="2"/>
      <c r="N223" s="2"/>
      <c r="O223" s="2"/>
      <c r="P223" s="86"/>
      <c r="Q223" s="2"/>
      <c r="R223" s="2"/>
      <c r="S223" s="2"/>
      <c r="T223" s="2"/>
      <c r="U223" s="86"/>
      <c r="V223" s="2"/>
      <c r="W223" s="2"/>
      <c r="X223" s="2"/>
      <c r="Y223" s="2"/>
      <c r="Z223" s="86"/>
      <c r="AA223" s="2"/>
      <c r="AB223" s="2"/>
      <c r="AC223" s="2"/>
      <c r="AD223" s="2"/>
      <c r="AE223" s="86"/>
      <c r="AF223" s="2"/>
      <c r="AG223" s="2"/>
      <c r="AH223" s="2"/>
      <c r="AI223" s="2"/>
      <c r="AJ223" s="86"/>
      <c r="AK223" s="88">
        <v>-35.790999999999997</v>
      </c>
      <c r="AL223" s="88">
        <v>-33.511000000000003</v>
      </c>
      <c r="AM223" s="88">
        <v>-37.29</v>
      </c>
      <c r="AN223" s="4">
        <f t="shared" si="606"/>
        <v>-55.101000000000028</v>
      </c>
      <c r="AO223" s="87">
        <v>-161.69300000000001</v>
      </c>
      <c r="AP223" s="88">
        <v>-87.331999999999994</v>
      </c>
      <c r="AQ223" s="88">
        <v>-47.142000000000003</v>
      </c>
      <c r="AR223" s="88">
        <v>-50.962000000000003</v>
      </c>
      <c r="AS223" s="88">
        <v>-53.143999999999998</v>
      </c>
      <c r="AT223" s="87">
        <v>-238.58</v>
      </c>
      <c r="AU223" s="88">
        <v>-39.848999999999997</v>
      </c>
      <c r="AV223" s="88">
        <v>-52.387999999999998</v>
      </c>
      <c r="AW223" s="88">
        <v>-40.779000000000003</v>
      </c>
      <c r="AX223" s="4">
        <f t="shared" si="607"/>
        <v>-52.212000000000018</v>
      </c>
      <c r="AY223" s="87">
        <v>-185.22800000000001</v>
      </c>
      <c r="AZ223" s="88">
        <v>-46.13</v>
      </c>
      <c r="BA223" s="88">
        <v>-48.225999999999999</v>
      </c>
      <c r="BB223" s="88">
        <v>-50.091000000000001</v>
      </c>
      <c r="BC223" s="4">
        <f t="shared" si="608"/>
        <v>-74.894000000000005</v>
      </c>
      <c r="BD223" s="87">
        <v>-219.34100000000001</v>
      </c>
      <c r="BE223" s="88">
        <v>-57.777000000000001</v>
      </c>
      <c r="BF223" s="88">
        <v>-50.911999999999999</v>
      </c>
      <c r="BG223" s="88">
        <v>-53.723999999999997</v>
      </c>
      <c r="BH223" s="4">
        <f t="shared" si="609"/>
        <v>-64.021000000000015</v>
      </c>
      <c r="BI223" s="89">
        <v>-226.434</v>
      </c>
      <c r="BJ223" s="2"/>
      <c r="BK223" s="2"/>
      <c r="BL223" s="2"/>
      <c r="BM223" s="2"/>
      <c r="BN223" s="86"/>
      <c r="BO223" s="2"/>
      <c r="BP223" s="2"/>
      <c r="BQ223" s="2"/>
      <c r="BR223" s="2"/>
      <c r="BS223" s="86"/>
      <c r="BT223" s="86"/>
      <c r="BU223" s="86"/>
      <c r="BV223" s="86"/>
      <c r="BW223" s="4"/>
    </row>
    <row r="224" spans="1:75" ht="15.75" hidden="1" customHeight="1" outlineLevel="2" x14ac:dyDescent="0.2">
      <c r="A224" s="84" t="s">
        <v>595</v>
      </c>
      <c r="B224" s="85"/>
      <c r="C224" s="86"/>
      <c r="D224" s="86"/>
      <c r="E224" s="86"/>
      <c r="F224" s="87">
        <v>10.856999999999999</v>
      </c>
      <c r="G224" s="88">
        <v>4.5</v>
      </c>
      <c r="H224" s="88">
        <v>5.1059999999999999</v>
      </c>
      <c r="I224" s="88">
        <v>4.7270000000000003</v>
      </c>
      <c r="J224" s="4">
        <f t="shared" ref="J224:J225" si="610">K224-SUM(G224,H224,I224)</f>
        <v>5.6519999999999992</v>
      </c>
      <c r="K224" s="87">
        <v>19.984999999999999</v>
      </c>
      <c r="L224" s="88">
        <v>4.4260000000000002</v>
      </c>
      <c r="M224" s="88">
        <v>4.5890000000000004</v>
      </c>
      <c r="N224" s="88">
        <v>2.4180000000000001</v>
      </c>
      <c r="O224" s="4">
        <f t="shared" ref="O224:O225" si="611">P224-SUM(L224,M224,N224)</f>
        <v>3.5500000000000007</v>
      </c>
      <c r="P224" s="87">
        <v>14.983000000000001</v>
      </c>
      <c r="Q224" s="88">
        <v>6.0629999999999997</v>
      </c>
      <c r="R224" s="88">
        <v>5.2629999999999999</v>
      </c>
      <c r="S224" s="88">
        <v>-0.72499999999999998</v>
      </c>
      <c r="T224" s="4">
        <f t="shared" ref="T224:T225" si="612">U224-SUM(Q224,R224,S224)</f>
        <v>7.4459999999999997</v>
      </c>
      <c r="U224" s="87">
        <v>18.047000000000001</v>
      </c>
      <c r="V224" s="88">
        <v>6.6379999999999999</v>
      </c>
      <c r="W224" s="88">
        <v>5.7690000000000001</v>
      </c>
      <c r="X224" s="88">
        <v>6.7530000000000001</v>
      </c>
      <c r="Y224" s="4">
        <f t="shared" ref="Y224:Y225" si="613">Z224-SUM(V224,W224,X224)</f>
        <v>8.463000000000001</v>
      </c>
      <c r="Z224" s="87">
        <v>27.623000000000001</v>
      </c>
      <c r="AA224" s="88">
        <v>6.6379999999999999</v>
      </c>
      <c r="AB224" s="88">
        <v>6.2910000000000004</v>
      </c>
      <c r="AC224" s="88">
        <v>6.0030000000000001</v>
      </c>
      <c r="AD224" s="4">
        <f t="shared" ref="AD224:AD225" si="614">AE224-SUM(AA224,AB224,AC224)</f>
        <v>-1.3850000000000016</v>
      </c>
      <c r="AE224" s="87">
        <v>17.547000000000001</v>
      </c>
      <c r="AF224" s="88">
        <v>5.7469999999999999</v>
      </c>
      <c r="AG224" s="88">
        <v>3.9830000000000001</v>
      </c>
      <c r="AH224" s="88">
        <v>4.5590000000000002</v>
      </c>
      <c r="AI224" s="4">
        <f t="shared" ref="AI224:AI225" si="615">AJ224-SUM(AF224,AG224,AH224)</f>
        <v>-5.2960000000000012</v>
      </c>
      <c r="AJ224" s="87">
        <v>8.9930000000000003</v>
      </c>
      <c r="AK224" s="2"/>
      <c r="AL224" s="2"/>
      <c r="AM224" s="2"/>
      <c r="AN224" s="2"/>
      <c r="AO224" s="86"/>
      <c r="AP224" s="2"/>
      <c r="AQ224" s="2"/>
      <c r="AR224" s="2"/>
      <c r="AS224" s="2"/>
      <c r="AT224" s="86"/>
      <c r="AU224" s="2"/>
      <c r="AV224" s="2"/>
      <c r="AW224" s="2"/>
      <c r="AX224" s="2"/>
      <c r="AY224" s="86"/>
      <c r="AZ224" s="2"/>
      <c r="BA224" s="2"/>
      <c r="BB224" s="2"/>
      <c r="BC224" s="2"/>
      <c r="BD224" s="86"/>
      <c r="BE224" s="2"/>
      <c r="BF224" s="2"/>
      <c r="BG224" s="2"/>
      <c r="BH224" s="2"/>
      <c r="BI224" s="90"/>
      <c r="BJ224" s="2"/>
      <c r="BK224" s="2"/>
      <c r="BL224" s="2"/>
      <c r="BM224" s="2"/>
      <c r="BN224" s="86"/>
      <c r="BO224" s="2"/>
      <c r="BP224" s="2"/>
      <c r="BQ224" s="2"/>
      <c r="BR224" s="2"/>
      <c r="BS224" s="86"/>
      <c r="BT224" s="86"/>
      <c r="BU224" s="86"/>
      <c r="BV224" s="86"/>
      <c r="BW224" s="4"/>
    </row>
    <row r="225" spans="1:75" ht="15.75" hidden="1" customHeight="1" outlineLevel="2" x14ac:dyDescent="0.2">
      <c r="A225" s="84" t="s">
        <v>596</v>
      </c>
      <c r="B225" s="85"/>
      <c r="C225" s="86"/>
      <c r="D225" s="86"/>
      <c r="E225" s="86"/>
      <c r="F225" s="87">
        <v>-98.078000000000003</v>
      </c>
      <c r="G225" s="88">
        <v>-26.95</v>
      </c>
      <c r="H225" s="88">
        <v>-26.654</v>
      </c>
      <c r="I225" s="88">
        <v>-27.782</v>
      </c>
      <c r="J225" s="4">
        <f t="shared" si="610"/>
        <v>-27.875</v>
      </c>
      <c r="K225" s="87">
        <v>-109.261</v>
      </c>
      <c r="L225" s="88">
        <v>-29.343</v>
      </c>
      <c r="M225" s="88">
        <v>-26.943999999999999</v>
      </c>
      <c r="N225" s="88">
        <v>-27.457000000000001</v>
      </c>
      <c r="O225" s="4">
        <f t="shared" si="611"/>
        <v>-27.281999999999996</v>
      </c>
      <c r="P225" s="87">
        <v>-111.026</v>
      </c>
      <c r="Q225" s="88">
        <v>-31.71</v>
      </c>
      <c r="R225" s="88">
        <v>-32.802</v>
      </c>
      <c r="S225" s="88">
        <v>-31.103999999999999</v>
      </c>
      <c r="T225" s="4">
        <f t="shared" si="612"/>
        <v>-32.870999999999995</v>
      </c>
      <c r="U225" s="87">
        <v>-128.48699999999999</v>
      </c>
      <c r="V225" s="88">
        <v>-33.618000000000002</v>
      </c>
      <c r="W225" s="88">
        <v>-32.863999999999997</v>
      </c>
      <c r="X225" s="88">
        <v>-33.497999999999998</v>
      </c>
      <c r="Y225" s="4">
        <f t="shared" si="613"/>
        <v>-34.707999999999998</v>
      </c>
      <c r="Z225" s="87">
        <v>-134.68799999999999</v>
      </c>
      <c r="AA225" s="88">
        <v>-33.618000000000002</v>
      </c>
      <c r="AB225" s="88">
        <v>-32.061999999999998</v>
      </c>
      <c r="AC225" s="88">
        <v>-32.182000000000002</v>
      </c>
      <c r="AD225" s="4">
        <f t="shared" si="614"/>
        <v>-30.420999999999978</v>
      </c>
      <c r="AE225" s="87">
        <v>-128.28299999999999</v>
      </c>
      <c r="AF225" s="88">
        <v>-36.313000000000002</v>
      </c>
      <c r="AG225" s="88">
        <v>-39.329000000000001</v>
      </c>
      <c r="AH225" s="88">
        <v>-33.014000000000003</v>
      </c>
      <c r="AI225" s="4">
        <f t="shared" si="615"/>
        <v>-33.59899999999999</v>
      </c>
      <c r="AJ225" s="87">
        <v>-142.255</v>
      </c>
      <c r="AK225" s="2"/>
      <c r="AL225" s="2"/>
      <c r="AM225" s="2"/>
      <c r="AN225" s="2"/>
      <c r="AO225" s="86"/>
      <c r="AP225" s="2"/>
      <c r="AQ225" s="2"/>
      <c r="AR225" s="2"/>
      <c r="AS225" s="2"/>
      <c r="AT225" s="86"/>
      <c r="AU225" s="2"/>
      <c r="AV225" s="2"/>
      <c r="AW225" s="2"/>
      <c r="AX225" s="2"/>
      <c r="AY225" s="86"/>
      <c r="AZ225" s="2"/>
      <c r="BA225" s="2"/>
      <c r="BB225" s="2"/>
      <c r="BC225" s="2"/>
      <c r="BD225" s="86"/>
      <c r="BE225" s="2"/>
      <c r="BF225" s="2"/>
      <c r="BG225" s="2"/>
      <c r="BH225" s="2"/>
      <c r="BI225" s="90"/>
      <c r="BJ225" s="2"/>
      <c r="BK225" s="2"/>
      <c r="BL225" s="2"/>
      <c r="BM225" s="2"/>
      <c r="BN225" s="86"/>
      <c r="BO225" s="2"/>
      <c r="BP225" s="2"/>
      <c r="BQ225" s="2"/>
      <c r="BR225" s="2"/>
      <c r="BS225" s="86"/>
      <c r="BT225" s="86"/>
      <c r="BU225" s="86"/>
      <c r="BV225" s="86"/>
      <c r="BW225" s="4"/>
    </row>
    <row r="226" spans="1:75" ht="15.75" customHeight="1" outlineLevel="1" collapsed="1" x14ac:dyDescent="0.2">
      <c r="A226" s="101" t="s">
        <v>597</v>
      </c>
      <c r="B226" s="102"/>
      <c r="C226" s="103"/>
      <c r="D226" s="103"/>
      <c r="E226" s="103"/>
      <c r="F226" s="104">
        <f t="shared" ref="F226:BI226" si="616">SUM(F220:F225)</f>
        <v>138.69899999999998</v>
      </c>
      <c r="G226" s="105">
        <f t="shared" si="616"/>
        <v>36.787000000000006</v>
      </c>
      <c r="H226" s="105">
        <f t="shared" si="616"/>
        <v>41.17</v>
      </c>
      <c r="I226" s="105">
        <f t="shared" si="616"/>
        <v>38.631</v>
      </c>
      <c r="J226" s="105">
        <f t="shared" si="616"/>
        <v>44.365999999999971</v>
      </c>
      <c r="K226" s="104">
        <f t="shared" si="616"/>
        <v>160.95399999999998</v>
      </c>
      <c r="L226" s="105">
        <f t="shared" si="616"/>
        <v>33.073000000000008</v>
      </c>
      <c r="M226" s="105">
        <f t="shared" si="616"/>
        <v>42.691000000000003</v>
      </c>
      <c r="N226" s="105">
        <f t="shared" si="616"/>
        <v>34.174999999999997</v>
      </c>
      <c r="O226" s="105">
        <f t="shared" si="616"/>
        <v>34.792000000000002</v>
      </c>
      <c r="P226" s="104">
        <f t="shared" si="616"/>
        <v>144.73099999999999</v>
      </c>
      <c r="Q226" s="105">
        <f t="shared" si="616"/>
        <v>41.053999999999995</v>
      </c>
      <c r="R226" s="105">
        <f t="shared" si="616"/>
        <v>49.753000000000007</v>
      </c>
      <c r="S226" s="105">
        <f t="shared" si="616"/>
        <v>35.644000000000005</v>
      </c>
      <c r="T226" s="105">
        <f t="shared" si="616"/>
        <v>38.794999999999973</v>
      </c>
      <c r="U226" s="104">
        <f t="shared" si="616"/>
        <v>165.24600000000001</v>
      </c>
      <c r="V226" s="105">
        <f t="shared" si="616"/>
        <v>43.563000000000009</v>
      </c>
      <c r="W226" s="105">
        <f t="shared" si="616"/>
        <v>55.190000000000005</v>
      </c>
      <c r="X226" s="105">
        <f t="shared" si="616"/>
        <v>50.063000000000009</v>
      </c>
      <c r="Y226" s="106">
        <f t="shared" si="616"/>
        <v>52.176999999999964</v>
      </c>
      <c r="Z226" s="103">
        <f t="shared" si="616"/>
        <v>200.99299999999999</v>
      </c>
      <c r="AA226" s="105">
        <f t="shared" si="616"/>
        <v>43.563000000000009</v>
      </c>
      <c r="AB226" s="105">
        <f t="shared" si="616"/>
        <v>50.218000000000004</v>
      </c>
      <c r="AC226" s="105">
        <f t="shared" si="616"/>
        <v>34.316999999999993</v>
      </c>
      <c r="AD226" s="106">
        <f t="shared" si="616"/>
        <v>24.747000000000014</v>
      </c>
      <c r="AE226" s="103">
        <f t="shared" si="616"/>
        <v>152.84500000000006</v>
      </c>
      <c r="AF226" s="105">
        <f t="shared" si="616"/>
        <v>31.551000000000002</v>
      </c>
      <c r="AG226" s="105">
        <f t="shared" si="616"/>
        <v>34.542999999999999</v>
      </c>
      <c r="AH226" s="105">
        <f t="shared" si="616"/>
        <v>33.494999999999997</v>
      </c>
      <c r="AI226" s="106">
        <f t="shared" si="616"/>
        <v>19.359000000000002</v>
      </c>
      <c r="AJ226" s="103">
        <f t="shared" si="616"/>
        <v>118.94800000000004</v>
      </c>
      <c r="AK226" s="105">
        <f t="shared" si="616"/>
        <v>30.147999999999996</v>
      </c>
      <c r="AL226" s="105">
        <f t="shared" si="616"/>
        <v>40.098999999999997</v>
      </c>
      <c r="AM226" s="105">
        <f t="shared" si="616"/>
        <v>26.964000000000006</v>
      </c>
      <c r="AN226" s="105">
        <f t="shared" si="616"/>
        <v>6.3869999999999933</v>
      </c>
      <c r="AO226" s="103">
        <f t="shared" si="616"/>
        <v>103.59800000000004</v>
      </c>
      <c r="AP226" s="105">
        <f t="shared" si="616"/>
        <v>-190.05799999999999</v>
      </c>
      <c r="AQ226" s="105">
        <f t="shared" si="616"/>
        <v>-83.710000000000008</v>
      </c>
      <c r="AR226" s="105">
        <f t="shared" si="616"/>
        <v>-34.858000000000004</v>
      </c>
      <c r="AS226" s="105">
        <f t="shared" si="616"/>
        <v>-38.810999999999993</v>
      </c>
      <c r="AT226" s="103">
        <f t="shared" si="616"/>
        <v>-347.43700000000001</v>
      </c>
      <c r="AU226" s="105">
        <f t="shared" si="616"/>
        <v>8.8440000000000083</v>
      </c>
      <c r="AV226" s="105">
        <f t="shared" si="616"/>
        <v>41.117999999999988</v>
      </c>
      <c r="AW226" s="105">
        <f t="shared" si="616"/>
        <v>31.377000000000002</v>
      </c>
      <c r="AX226" s="105">
        <f t="shared" si="616"/>
        <v>0.97899999999997789</v>
      </c>
      <c r="AY226" s="103">
        <f t="shared" si="616"/>
        <v>82.317999999999984</v>
      </c>
      <c r="AZ226" s="105">
        <f t="shared" si="616"/>
        <v>28.320999999999991</v>
      </c>
      <c r="BA226" s="105">
        <f t="shared" si="616"/>
        <v>27.942000000000007</v>
      </c>
      <c r="BB226" s="105">
        <f t="shared" si="616"/>
        <v>-2.2049999999999983</v>
      </c>
      <c r="BC226" s="105">
        <f t="shared" si="616"/>
        <v>-15.123000000000019</v>
      </c>
      <c r="BD226" s="103">
        <f t="shared" si="616"/>
        <v>38.935000000000002</v>
      </c>
      <c r="BE226" s="105">
        <f t="shared" si="616"/>
        <v>33.925999999999988</v>
      </c>
      <c r="BF226" s="105">
        <f t="shared" si="616"/>
        <v>47.470999999999997</v>
      </c>
      <c r="BG226" s="105">
        <f t="shared" si="616"/>
        <v>19.030000000000008</v>
      </c>
      <c r="BH226" s="105">
        <f t="shared" si="616"/>
        <v>8.1389999999999816</v>
      </c>
      <c r="BI226" s="115">
        <f t="shared" si="616"/>
        <v>108.566</v>
      </c>
      <c r="BJ226" s="106"/>
      <c r="BK226" s="106"/>
      <c r="BL226" s="106"/>
      <c r="BM226" s="106"/>
      <c r="BN226" s="885"/>
      <c r="BO226" s="106"/>
      <c r="BP226" s="106"/>
      <c r="BQ226" s="106"/>
      <c r="BR226" s="106"/>
      <c r="BS226" s="103"/>
      <c r="BT226" s="103"/>
      <c r="BU226" s="103"/>
      <c r="BV226" s="103"/>
      <c r="BW226" s="83"/>
    </row>
    <row r="227" spans="1:75" ht="15.75" customHeight="1" outlineLevel="1" x14ac:dyDescent="0.2">
      <c r="A227" s="108"/>
      <c r="B227" s="108"/>
      <c r="C227" s="109"/>
      <c r="D227" s="109"/>
      <c r="E227" s="109"/>
      <c r="F227" s="109"/>
      <c r="G227" s="110"/>
      <c r="H227" s="110"/>
      <c r="I227" s="110"/>
      <c r="J227" s="110"/>
      <c r="K227" s="109"/>
      <c r="L227" s="110"/>
      <c r="M227" s="110"/>
      <c r="N227" s="110"/>
      <c r="O227" s="110"/>
      <c r="P227" s="109"/>
      <c r="Q227" s="110"/>
      <c r="R227" s="110"/>
      <c r="S227" s="110"/>
      <c r="T227" s="110"/>
      <c r="U227" s="109"/>
      <c r="V227" s="110"/>
      <c r="W227" s="110"/>
      <c r="X227" s="110"/>
      <c r="Y227" s="110"/>
      <c r="Z227" s="109"/>
      <c r="AA227" s="110"/>
      <c r="AB227" s="110"/>
      <c r="AC227" s="110"/>
      <c r="AD227" s="110"/>
      <c r="AE227" s="109"/>
      <c r="AF227" s="110"/>
      <c r="AG227" s="110"/>
      <c r="AH227" s="110"/>
      <c r="AI227" s="110"/>
      <c r="AJ227" s="109"/>
      <c r="AK227" s="110"/>
      <c r="AL227" s="110"/>
      <c r="AM227" s="110"/>
      <c r="AN227" s="110"/>
      <c r="AO227" s="109"/>
      <c r="AP227" s="110"/>
      <c r="AQ227" s="110"/>
      <c r="AR227" s="110"/>
      <c r="AS227" s="110"/>
      <c r="AT227" s="109"/>
      <c r="AU227" s="110"/>
      <c r="AV227" s="110"/>
      <c r="AW227" s="110"/>
      <c r="AX227" s="110"/>
      <c r="AY227" s="109"/>
      <c r="AZ227" s="110"/>
      <c r="BA227" s="110"/>
      <c r="BB227" s="110"/>
      <c r="BC227" s="110"/>
      <c r="BD227" s="109"/>
      <c r="BE227" s="110"/>
      <c r="BF227" s="110"/>
      <c r="BG227" s="110"/>
      <c r="BH227" s="110"/>
      <c r="BI227" s="107"/>
      <c r="BJ227" s="110"/>
      <c r="BK227" s="110"/>
      <c r="BL227" s="110"/>
      <c r="BM227" s="110"/>
      <c r="BN227" s="109"/>
      <c r="BO227" s="110"/>
      <c r="BP227" s="110"/>
      <c r="BQ227" s="110"/>
      <c r="BR227" s="110"/>
      <c r="BS227" s="109"/>
      <c r="BT227" s="109"/>
      <c r="BU227" s="109"/>
      <c r="BV227" s="109"/>
      <c r="BW227" s="83"/>
    </row>
    <row r="228" spans="1:75" ht="15.75" customHeight="1" outlineLevel="1" x14ac:dyDescent="0.2">
      <c r="A228" s="38" t="s">
        <v>598</v>
      </c>
      <c r="B228" s="47"/>
      <c r="C228" s="189"/>
      <c r="D228" s="189"/>
      <c r="E228" s="189"/>
      <c r="F228" s="228">
        <f t="shared" ref="F228:BI230" si="617">F220/F26</f>
        <v>0.14077547396133533</v>
      </c>
      <c r="G228" s="45">
        <f t="shared" si="617"/>
        <v>0.14358709589844651</v>
      </c>
      <c r="H228" s="45">
        <f t="shared" si="617"/>
        <v>0.14762560463227764</v>
      </c>
      <c r="I228" s="45">
        <f t="shared" si="617"/>
        <v>0.14511484788888784</v>
      </c>
      <c r="J228" s="45">
        <f t="shared" si="617"/>
        <v>0.15647529349838793</v>
      </c>
      <c r="K228" s="228">
        <f t="shared" si="617"/>
        <v>0.1482373598667327</v>
      </c>
      <c r="L228" s="45">
        <f t="shared" si="617"/>
        <v>0.13281997956968067</v>
      </c>
      <c r="M228" s="45">
        <f t="shared" si="617"/>
        <v>0.14408112454425037</v>
      </c>
      <c r="N228" s="45">
        <f t="shared" si="617"/>
        <v>0.13034950503113779</v>
      </c>
      <c r="O228" s="45">
        <f t="shared" si="617"/>
        <v>0.1299190836135993</v>
      </c>
      <c r="P228" s="228">
        <f t="shared" si="617"/>
        <v>0.13430083512011406</v>
      </c>
      <c r="Q228" s="45">
        <f t="shared" si="617"/>
        <v>0.14107149277627495</v>
      </c>
      <c r="R228" s="45">
        <f t="shared" si="617"/>
        <v>0.15993047580620132</v>
      </c>
      <c r="S228" s="45">
        <f t="shared" si="617"/>
        <v>0.14025434650658108</v>
      </c>
      <c r="T228" s="45">
        <f t="shared" si="617"/>
        <v>0.13475177304964533</v>
      </c>
      <c r="U228" s="228">
        <f t="shared" si="617"/>
        <v>0.14405478644635319</v>
      </c>
      <c r="V228" s="45">
        <f t="shared" si="617"/>
        <v>0.13932603354426881</v>
      </c>
      <c r="W228" s="45">
        <f t="shared" si="617"/>
        <v>0.16073863392183904</v>
      </c>
      <c r="X228" s="45">
        <f t="shared" si="617"/>
        <v>0.15000390594484808</v>
      </c>
      <c r="Y228" s="45">
        <f t="shared" si="617"/>
        <v>0.14315573493681186</v>
      </c>
      <c r="Z228" s="228">
        <f t="shared" si="617"/>
        <v>0.14824143212759067</v>
      </c>
      <c r="AA228" s="45">
        <f t="shared" si="617"/>
        <v>0.13691448933882469</v>
      </c>
      <c r="AB228" s="45">
        <f t="shared" si="617"/>
        <v>0.14606864682408485</v>
      </c>
      <c r="AC228" s="45">
        <f t="shared" si="617"/>
        <v>0.11918703159354732</v>
      </c>
      <c r="AD228" s="45">
        <f t="shared" si="617"/>
        <v>0.10985815354849236</v>
      </c>
      <c r="AE228" s="228">
        <f t="shared" si="617"/>
        <v>0.12808773962297895</v>
      </c>
      <c r="AF228" s="45">
        <f t="shared" si="617"/>
        <v>0.11486705142453486</v>
      </c>
      <c r="AG228" s="45">
        <f t="shared" si="617"/>
        <v>0.12892223234741801</v>
      </c>
      <c r="AH228" s="45">
        <f t="shared" si="617"/>
        <v>0.11684049716150205</v>
      </c>
      <c r="AI228" s="45">
        <f t="shared" si="617"/>
        <v>0.10975044556563285</v>
      </c>
      <c r="AJ228" s="228">
        <f t="shared" si="617"/>
        <v>0.1185561170791601</v>
      </c>
      <c r="AK228" s="45">
        <f t="shared" si="617"/>
        <v>0.12018781225336425</v>
      </c>
      <c r="AL228" s="45">
        <f t="shared" si="617"/>
        <v>0.13346774997778862</v>
      </c>
      <c r="AM228" s="45">
        <f t="shared" si="617"/>
        <v>0.11985428118955198</v>
      </c>
      <c r="AN228" s="45">
        <f t="shared" si="617"/>
        <v>0.10019848373847158</v>
      </c>
      <c r="AO228" s="228">
        <f t="shared" si="617"/>
        <v>0.11847225113509122</v>
      </c>
      <c r="AP228" s="45">
        <f t="shared" si="617"/>
        <v>8.0504267397655122E-2</v>
      </c>
      <c r="AQ228" s="45">
        <f t="shared" si="617"/>
        <v>-0.11179833076144489</v>
      </c>
      <c r="AR228" s="45">
        <f t="shared" si="617"/>
        <v>4.5171997007079405E-2</v>
      </c>
      <c r="AS228" s="45">
        <f t="shared" si="617"/>
        <v>3.2682988015553555E-2</v>
      </c>
      <c r="AT228" s="228">
        <f t="shared" si="617"/>
        <v>2.8731716180612335E-2</v>
      </c>
      <c r="AU228" s="45">
        <f t="shared" si="617"/>
        <v>8.9070844572067071E-2</v>
      </c>
      <c r="AV228" s="45">
        <f t="shared" si="617"/>
        <v>0.13713406000748321</v>
      </c>
      <c r="AW228" s="45">
        <f t="shared" si="617"/>
        <v>0.1127169629823392</v>
      </c>
      <c r="AX228" s="45">
        <f t="shared" si="617"/>
        <v>8.0944852755680349E-2</v>
      </c>
      <c r="AY228" s="228">
        <f t="shared" si="617"/>
        <v>0.10578944499558482</v>
      </c>
      <c r="AZ228" s="45">
        <f t="shared" si="617"/>
        <v>0.1040379393128419</v>
      </c>
      <c r="BA228" s="45">
        <f t="shared" si="617"/>
        <v>0.10037637042839444</v>
      </c>
      <c r="BB228" s="45">
        <f t="shared" si="617"/>
        <v>6.9865417596889703E-2</v>
      </c>
      <c r="BC228" s="45">
        <f t="shared" si="617"/>
        <v>7.5425484123018582E-2</v>
      </c>
      <c r="BD228" s="228">
        <f t="shared" si="617"/>
        <v>8.7326441836630145E-2</v>
      </c>
      <c r="BE228" s="45">
        <f t="shared" si="617"/>
        <v>0.11949085365853658</v>
      </c>
      <c r="BF228" s="45">
        <f t="shared" si="617"/>
        <v>0.13130957070014301</v>
      </c>
      <c r="BG228" s="45">
        <f t="shared" si="617"/>
        <v>0.10767822459961156</v>
      </c>
      <c r="BH228" s="45">
        <f t="shared" si="617"/>
        <v>9.9268731632862317E-2</v>
      </c>
      <c r="BI228" s="230">
        <f t="shared" si="617"/>
        <v>0.11447223307615298</v>
      </c>
      <c r="BJ228" s="39"/>
      <c r="BK228" s="39"/>
      <c r="BL228" s="39"/>
      <c r="BM228" s="39"/>
      <c r="BN228" s="189"/>
      <c r="BO228" s="39"/>
      <c r="BP228" s="39"/>
      <c r="BQ228" s="39"/>
      <c r="BR228" s="39"/>
      <c r="BS228" s="189"/>
      <c r="BT228" s="189"/>
      <c r="BU228" s="189"/>
      <c r="BV228" s="189"/>
      <c r="BW228" s="45"/>
    </row>
    <row r="229" spans="1:75" ht="15.75" customHeight="1" outlineLevel="1" x14ac:dyDescent="0.2">
      <c r="A229" s="38" t="s">
        <v>599</v>
      </c>
      <c r="B229" s="47"/>
      <c r="C229" s="189"/>
      <c r="D229" s="189"/>
      <c r="E229" s="189"/>
      <c r="F229" s="189"/>
      <c r="G229" s="39"/>
      <c r="H229" s="39"/>
      <c r="I229" s="39"/>
      <c r="J229" s="39"/>
      <c r="K229" s="189"/>
      <c r="L229" s="39"/>
      <c r="M229" s="39"/>
      <c r="N229" s="39"/>
      <c r="O229" s="39"/>
      <c r="P229" s="189"/>
      <c r="Q229" s="39"/>
      <c r="R229" s="39"/>
      <c r="S229" s="39"/>
      <c r="T229" s="39"/>
      <c r="U229" s="189"/>
      <c r="V229" s="39"/>
      <c r="W229" s="39"/>
      <c r="X229" s="39"/>
      <c r="Y229" s="39"/>
      <c r="Z229" s="189"/>
      <c r="AA229" s="39"/>
      <c r="AB229" s="39"/>
      <c r="AC229" s="39"/>
      <c r="AD229" s="39"/>
      <c r="AE229" s="189"/>
      <c r="AF229" s="39"/>
      <c r="AG229" s="39"/>
      <c r="AH229" s="39"/>
      <c r="AI229" s="39"/>
      <c r="AJ229" s="189"/>
      <c r="AK229" s="39"/>
      <c r="AL229" s="39"/>
      <c r="AM229" s="39"/>
      <c r="AN229" s="45">
        <f t="shared" si="617"/>
        <v>4.559373936713168E-2</v>
      </c>
      <c r="AO229" s="228">
        <f t="shared" si="617"/>
        <v>4.559373936713168E-2</v>
      </c>
      <c r="AP229" s="45">
        <f t="shared" si="617"/>
        <v>-2.3625458835867854</v>
      </c>
      <c r="AQ229" s="45">
        <f t="shared" si="617"/>
        <v>-0.32015408096518644</v>
      </c>
      <c r="AR229" s="45">
        <f t="shared" si="617"/>
        <v>-2.9689174705251876E-2</v>
      </c>
      <c r="AS229" s="45">
        <f t="shared" si="617"/>
        <v>-1.6158818097876271E-3</v>
      </c>
      <c r="AT229" s="228">
        <f t="shared" si="617"/>
        <v>-0.75421357898328212</v>
      </c>
      <c r="AU229" s="45">
        <f t="shared" si="617"/>
        <v>1.0114858483380557E-2</v>
      </c>
      <c r="AV229" s="45">
        <f t="shared" si="617"/>
        <v>6.9457834090804749E-2</v>
      </c>
      <c r="AW229" s="45">
        <f t="shared" si="617"/>
        <v>4.4232026512162681E-2</v>
      </c>
      <c r="AX229" s="45">
        <f t="shared" si="617"/>
        <v>6.4588016811650883E-2</v>
      </c>
      <c r="AY229" s="228">
        <f t="shared" si="617"/>
        <v>5.0168410887662086E-2</v>
      </c>
      <c r="AZ229" s="45">
        <f t="shared" si="617"/>
        <v>6.9715867088727568E-2</v>
      </c>
      <c r="BA229" s="45">
        <f t="shared" si="617"/>
        <v>8.976137131476937E-2</v>
      </c>
      <c r="BB229" s="45">
        <f t="shared" si="617"/>
        <v>3.058414798662059E-2</v>
      </c>
      <c r="BC229" s="45">
        <f t="shared" si="617"/>
        <v>5.423268309063712E-2</v>
      </c>
      <c r="BD229" s="228">
        <f t="shared" si="617"/>
        <v>6.0947765306925833E-2</v>
      </c>
      <c r="BE229" s="45">
        <f t="shared" si="617"/>
        <v>7.2761164557761882E-2</v>
      </c>
      <c r="BF229" s="45">
        <f t="shared" si="617"/>
        <v>0.10050960050960051</v>
      </c>
      <c r="BG229" s="45">
        <f t="shared" si="617"/>
        <v>6.5382828396110038E-2</v>
      </c>
      <c r="BH229" s="45">
        <f t="shared" si="617"/>
        <v>4.7616922527668706E-2</v>
      </c>
      <c r="BI229" s="230">
        <f t="shared" si="617"/>
        <v>7.1520175526695984E-2</v>
      </c>
      <c r="BJ229" s="39"/>
      <c r="BK229" s="39"/>
      <c r="BL229" s="39"/>
      <c r="BM229" s="39"/>
      <c r="BN229" s="189"/>
      <c r="BO229" s="39"/>
      <c r="BP229" s="39"/>
      <c r="BQ229" s="39"/>
      <c r="BR229" s="39"/>
      <c r="BS229" s="189"/>
      <c r="BT229" s="189"/>
      <c r="BU229" s="189"/>
      <c r="BV229" s="189"/>
      <c r="BW229" s="45"/>
    </row>
    <row r="230" spans="1:75" ht="15.75" customHeight="1" outlineLevel="1" x14ac:dyDescent="0.2">
      <c r="A230" s="38" t="s">
        <v>600</v>
      </c>
      <c r="B230" s="47"/>
      <c r="C230" s="189"/>
      <c r="D230" s="189"/>
      <c r="E230" s="189"/>
      <c r="F230" s="189"/>
      <c r="G230" s="39"/>
      <c r="H230" s="39"/>
      <c r="I230" s="39"/>
      <c r="J230" s="39"/>
      <c r="K230" s="189"/>
      <c r="L230" s="39"/>
      <c r="M230" s="39"/>
      <c r="N230" s="39"/>
      <c r="O230" s="39"/>
      <c r="P230" s="189"/>
      <c r="Q230" s="39"/>
      <c r="R230" s="39"/>
      <c r="S230" s="39"/>
      <c r="T230" s="39"/>
      <c r="U230" s="189"/>
      <c r="V230" s="39"/>
      <c r="W230" s="39"/>
      <c r="X230" s="39"/>
      <c r="Y230" s="39"/>
      <c r="Z230" s="189"/>
      <c r="AA230" s="39"/>
      <c r="AB230" s="39"/>
      <c r="AC230" s="39"/>
      <c r="AD230" s="39"/>
      <c r="AE230" s="189"/>
      <c r="AF230" s="39"/>
      <c r="AG230" s="39"/>
      <c r="AH230" s="39"/>
      <c r="AI230" s="39"/>
      <c r="AJ230" s="189"/>
      <c r="AK230" s="39"/>
      <c r="AL230" s="39"/>
      <c r="AM230" s="39"/>
      <c r="AN230" s="45">
        <f t="shared" si="617"/>
        <v>0.13496885725181137</v>
      </c>
      <c r="AO230" s="228">
        <f t="shared" si="617"/>
        <v>0.13496885725181137</v>
      </c>
      <c r="AP230" s="45">
        <f t="shared" si="617"/>
        <v>-1.9662198240732935</v>
      </c>
      <c r="AQ230" s="45">
        <f t="shared" si="617"/>
        <v>-0.42693315858453468</v>
      </c>
      <c r="AR230" s="45">
        <f t="shared" si="617"/>
        <v>-9.3770038968085639E-2</v>
      </c>
      <c r="AS230" s="45">
        <f t="shared" si="617"/>
        <v>1.7713253681578213E-3</v>
      </c>
      <c r="AT230" s="228">
        <f t="shared" si="617"/>
        <v>-0.79526307095068971</v>
      </c>
      <c r="AU230" s="45">
        <f t="shared" si="617"/>
        <v>0.10720008841244404</v>
      </c>
      <c r="AV230" s="45">
        <f t="shared" si="617"/>
        <v>0.15344093724977875</v>
      </c>
      <c r="AW230" s="45">
        <f t="shared" si="617"/>
        <v>7.6772097640211159E-2</v>
      </c>
      <c r="AX230" s="45">
        <f t="shared" si="617"/>
        <v>3.2437219772312134E-2</v>
      </c>
      <c r="AY230" s="228">
        <f t="shared" si="617"/>
        <v>8.9600658707286951E-2</v>
      </c>
      <c r="AZ230" s="45">
        <f t="shared" si="617"/>
        <v>0.12457506119118847</v>
      </c>
      <c r="BA230" s="45">
        <f t="shared" si="617"/>
        <v>0.11317894035321559</v>
      </c>
      <c r="BB230" s="45">
        <f t="shared" si="617"/>
        <v>7.8727032360661392E-2</v>
      </c>
      <c r="BC230" s="45">
        <f t="shared" si="617"/>
        <v>8.0382516126122086E-2</v>
      </c>
      <c r="BD230" s="228">
        <f t="shared" si="617"/>
        <v>9.9249848454233194E-2</v>
      </c>
      <c r="BE230" s="45">
        <f t="shared" si="617"/>
        <v>0.12690850815850815</v>
      </c>
      <c r="BF230" s="45">
        <f t="shared" si="617"/>
        <v>9.2487220058422595E-2</v>
      </c>
      <c r="BG230" s="45">
        <f t="shared" si="617"/>
        <v>1.7666518877255209E-2</v>
      </c>
      <c r="BH230" s="45">
        <f t="shared" si="617"/>
        <v>5.071002496016247E-2</v>
      </c>
      <c r="BI230" s="230">
        <f t="shared" si="617"/>
        <v>7.3589645464775713E-2</v>
      </c>
      <c r="BJ230" s="39"/>
      <c r="BK230" s="39"/>
      <c r="BL230" s="39"/>
      <c r="BM230" s="39"/>
      <c r="BN230" s="189"/>
      <c r="BO230" s="39"/>
      <c r="BP230" s="39"/>
      <c r="BQ230" s="39"/>
      <c r="BR230" s="39"/>
      <c r="BS230" s="189"/>
      <c r="BT230" s="189"/>
      <c r="BU230" s="189"/>
      <c r="BV230" s="189"/>
      <c r="BW230" s="45"/>
    </row>
    <row r="231" spans="1:75" ht="15.75" customHeight="1" outlineLevel="2" x14ac:dyDescent="0.2">
      <c r="A231" s="38" t="s">
        <v>601</v>
      </c>
      <c r="B231" s="47"/>
      <c r="C231" s="189"/>
      <c r="D231" s="189"/>
      <c r="E231" s="189"/>
      <c r="F231" s="228">
        <f t="shared" ref="F231:AJ231" si="618">F224/F32</f>
        <v>5.3170545369064404E-2</v>
      </c>
      <c r="G231" s="45">
        <f t="shared" si="618"/>
        <v>8.9167178552321327E-2</v>
      </c>
      <c r="H231" s="45">
        <f t="shared" si="618"/>
        <v>0.11278245311775228</v>
      </c>
      <c r="I231" s="45">
        <f t="shared" si="618"/>
        <v>0.10595091336994285</v>
      </c>
      <c r="J231" s="45">
        <f t="shared" si="618"/>
        <v>0.11413800763343362</v>
      </c>
      <c r="K231" s="228">
        <f t="shared" si="618"/>
        <v>0.10525401055436763</v>
      </c>
      <c r="L231" s="45">
        <f t="shared" si="618"/>
        <v>9.8739542665923025E-2</v>
      </c>
      <c r="M231" s="45">
        <f t="shared" si="618"/>
        <v>0.10208667022601887</v>
      </c>
      <c r="N231" s="45">
        <f t="shared" si="618"/>
        <v>5.3921459313605244E-2</v>
      </c>
      <c r="O231" s="45">
        <f t="shared" si="618"/>
        <v>7.214274101772071E-2</v>
      </c>
      <c r="P231" s="228">
        <f t="shared" si="618"/>
        <v>8.1505537785321061E-2</v>
      </c>
      <c r="Q231" s="45">
        <f t="shared" si="618"/>
        <v>0.1342678713792187</v>
      </c>
      <c r="R231" s="45">
        <f t="shared" si="618"/>
        <v>0.11485749203439395</v>
      </c>
      <c r="S231" s="45">
        <f t="shared" si="618"/>
        <v>-1.5894939928089099E-2</v>
      </c>
      <c r="T231" s="45">
        <f t="shared" si="618"/>
        <v>0.14814667435984161</v>
      </c>
      <c r="U231" s="228">
        <f t="shared" si="618"/>
        <v>9.6584979475624971E-2</v>
      </c>
      <c r="V231" s="45">
        <f t="shared" si="618"/>
        <v>0.14011018004516959</v>
      </c>
      <c r="W231" s="45">
        <f t="shared" si="618"/>
        <v>0.12289110429447853</v>
      </c>
      <c r="X231" s="45">
        <f t="shared" si="618"/>
        <v>0.14075201133853016</v>
      </c>
      <c r="Y231" s="45">
        <f t="shared" si="618"/>
        <v>0.1529356488425466</v>
      </c>
      <c r="Z231" s="228">
        <f t="shared" si="618"/>
        <v>0.13976704648950597</v>
      </c>
      <c r="AA231" s="45">
        <f t="shared" si="618"/>
        <v>0.13774070385126161</v>
      </c>
      <c r="AB231" s="45">
        <f t="shared" si="618"/>
        <v>0.1267299208315707</v>
      </c>
      <c r="AC231" s="45">
        <f t="shared" si="618"/>
        <v>0.12553324968632371</v>
      </c>
      <c r="AD231" s="45">
        <f t="shared" si="618"/>
        <v>-2.4284186348254546E-2</v>
      </c>
      <c r="AE231" s="228">
        <f t="shared" si="618"/>
        <v>8.6572333560285361E-2</v>
      </c>
      <c r="AF231" s="45">
        <f t="shared" si="618"/>
        <v>0.11512881125045074</v>
      </c>
      <c r="AG231" s="45">
        <f t="shared" si="618"/>
        <v>7.7981830996945722E-2</v>
      </c>
      <c r="AH231" s="45">
        <f t="shared" si="618"/>
        <v>8.9970792548152836E-2</v>
      </c>
      <c r="AI231" s="45">
        <f t="shared" si="618"/>
        <v>-9.7408449668009364E-2</v>
      </c>
      <c r="AJ231" s="228">
        <f t="shared" si="618"/>
        <v>4.3871716816922299E-2</v>
      </c>
      <c r="AK231" s="39"/>
      <c r="AL231" s="39"/>
      <c r="AM231" s="39"/>
      <c r="AN231" s="39"/>
      <c r="AO231" s="189"/>
      <c r="AP231" s="39"/>
      <c r="AQ231" s="39"/>
      <c r="AR231" s="39"/>
      <c r="AS231" s="39"/>
      <c r="AT231" s="189"/>
      <c r="AU231" s="39"/>
      <c r="AV231" s="39"/>
      <c r="AW231" s="39"/>
      <c r="AX231" s="39"/>
      <c r="AY231" s="189"/>
      <c r="AZ231" s="39"/>
      <c r="BA231" s="39"/>
      <c r="BB231" s="39"/>
      <c r="BC231" s="39"/>
      <c r="BD231" s="189"/>
      <c r="BE231" s="39"/>
      <c r="BF231" s="39"/>
      <c r="BG231" s="39"/>
      <c r="BH231" s="39"/>
      <c r="BI231" s="190"/>
      <c r="BJ231" s="39"/>
      <c r="BK231" s="39"/>
      <c r="BL231" s="39"/>
      <c r="BM231" s="39"/>
      <c r="BN231" s="189"/>
      <c r="BO231" s="39"/>
      <c r="BP231" s="39"/>
      <c r="BQ231" s="39"/>
      <c r="BR231" s="39"/>
      <c r="BS231" s="189"/>
      <c r="BT231" s="189"/>
      <c r="BU231" s="189"/>
      <c r="BV231" s="189"/>
      <c r="BW231" s="45"/>
    </row>
    <row r="232" spans="1:75" ht="15.75" customHeight="1" outlineLevel="1" x14ac:dyDescent="0.2">
      <c r="A232" s="59" t="s">
        <v>602</v>
      </c>
      <c r="B232" s="200"/>
      <c r="C232" s="201"/>
      <c r="D232" s="201"/>
      <c r="E232" s="201"/>
      <c r="F232" s="231">
        <f t="shared" ref="F232:BI232" si="619">F226/F33</f>
        <v>7.6670921279346729E-2</v>
      </c>
      <c r="G232" s="232">
        <f t="shared" si="619"/>
        <v>7.9450474927540635E-2</v>
      </c>
      <c r="H232" s="232">
        <f t="shared" si="619"/>
        <v>8.757375807775919E-2</v>
      </c>
      <c r="I232" s="232">
        <f t="shared" si="619"/>
        <v>8.2246289645070567E-2</v>
      </c>
      <c r="J232" s="232">
        <f t="shared" si="619"/>
        <v>9.3387359890543545E-2</v>
      </c>
      <c r="K232" s="231">
        <f t="shared" si="619"/>
        <v>8.5709112790282801E-2</v>
      </c>
      <c r="L232" s="232">
        <f t="shared" si="619"/>
        <v>6.8697279568619402E-2</v>
      </c>
      <c r="M232" s="232">
        <f t="shared" si="619"/>
        <v>8.6000169216326958E-2</v>
      </c>
      <c r="N232" s="232">
        <f t="shared" si="619"/>
        <v>6.8471331198884419E-2</v>
      </c>
      <c r="O232" s="232">
        <f t="shared" si="619"/>
        <v>6.9629537717667361E-2</v>
      </c>
      <c r="P232" s="231">
        <f t="shared" si="619"/>
        <v>7.3221310679218707E-2</v>
      </c>
      <c r="Q232" s="232">
        <f t="shared" si="619"/>
        <v>7.925895751322945E-2</v>
      </c>
      <c r="R232" s="232">
        <f t="shared" si="619"/>
        <v>9.4032019988395554E-2</v>
      </c>
      <c r="S232" s="232">
        <f t="shared" si="619"/>
        <v>6.7675739716872241E-2</v>
      </c>
      <c r="T232" s="232">
        <f t="shared" si="619"/>
        <v>7.3637017620116832E-2</v>
      </c>
      <c r="U232" s="231">
        <f t="shared" si="619"/>
        <v>7.8665758358647433E-2</v>
      </c>
      <c r="V232" s="232">
        <f t="shared" si="619"/>
        <v>7.8677173090503247E-2</v>
      </c>
      <c r="W232" s="232">
        <f t="shared" si="619"/>
        <v>9.8754254180817458E-2</v>
      </c>
      <c r="X232" s="232">
        <f t="shared" si="619"/>
        <v>8.9395340864043688E-2</v>
      </c>
      <c r="Y232" s="60">
        <f t="shared" si="619"/>
        <v>8.650807598823497E-2</v>
      </c>
      <c r="Z232" s="201">
        <f t="shared" si="619"/>
        <v>8.8320658218347697E-2</v>
      </c>
      <c r="AA232" s="232">
        <f t="shared" si="619"/>
        <v>7.7318050640190553E-2</v>
      </c>
      <c r="AB232" s="232">
        <f t="shared" si="619"/>
        <v>8.8122006987570847E-2</v>
      </c>
      <c r="AC232" s="232">
        <f t="shared" si="619"/>
        <v>6.1788790619958497E-2</v>
      </c>
      <c r="AD232" s="60">
        <f t="shared" si="619"/>
        <v>4.3277983263817862E-2</v>
      </c>
      <c r="AE232" s="201">
        <f t="shared" si="619"/>
        <v>6.7615511952654792E-2</v>
      </c>
      <c r="AF232" s="232">
        <f t="shared" si="619"/>
        <v>5.341371376912802E-2</v>
      </c>
      <c r="AG232" s="232">
        <f t="shared" si="619"/>
        <v>5.8233784799840857E-2</v>
      </c>
      <c r="AH232" s="232">
        <f t="shared" si="619"/>
        <v>5.7662313516342378E-2</v>
      </c>
      <c r="AI232" s="60">
        <f t="shared" si="619"/>
        <v>3.3083541967512883E-2</v>
      </c>
      <c r="AJ232" s="201">
        <f t="shared" si="619"/>
        <v>5.0999622266307838E-2</v>
      </c>
      <c r="AK232" s="232">
        <f t="shared" si="619"/>
        <v>5.0290167661694023E-2</v>
      </c>
      <c r="AL232" s="232">
        <f t="shared" si="619"/>
        <v>6.6538343469206576E-2</v>
      </c>
      <c r="AM232" s="232">
        <f t="shared" si="619"/>
        <v>4.5971602766070631E-2</v>
      </c>
      <c r="AN232" s="60">
        <f t="shared" si="619"/>
        <v>9.2027722144575799E-3</v>
      </c>
      <c r="AO232" s="201">
        <f t="shared" si="619"/>
        <v>4.1728091926022254E-2</v>
      </c>
      <c r="AP232" s="232">
        <f t="shared" si="619"/>
        <v>-0.30898414257054885</v>
      </c>
      <c r="AQ232" s="232">
        <f t="shared" si="619"/>
        <v>-0.28294648319593313</v>
      </c>
      <c r="AR232" s="232">
        <f t="shared" si="619"/>
        <v>-6.7330351003252756E-2</v>
      </c>
      <c r="AS232" s="60">
        <f t="shared" si="619"/>
        <v>-6.9986223113432069E-2</v>
      </c>
      <c r="AT232" s="201">
        <f t="shared" si="619"/>
        <v>-0.17518788841407304</v>
      </c>
      <c r="AU232" s="232">
        <f t="shared" si="619"/>
        <v>1.409588838045512E-2</v>
      </c>
      <c r="AV232" s="232">
        <f t="shared" si="619"/>
        <v>5.3472500377134698E-2</v>
      </c>
      <c r="AW232" s="232">
        <f t="shared" si="619"/>
        <v>4.1587914228986028E-2</v>
      </c>
      <c r="AX232" s="60">
        <f t="shared" si="619"/>
        <v>1.2604722844160791E-3</v>
      </c>
      <c r="AY232" s="201">
        <f t="shared" si="619"/>
        <v>2.8118488560361254E-2</v>
      </c>
      <c r="AZ232" s="232">
        <f t="shared" si="619"/>
        <v>3.5681798137858906E-2</v>
      </c>
      <c r="BA232" s="232">
        <f t="shared" si="619"/>
        <v>3.3558199612559049E-2</v>
      </c>
      <c r="BB232" s="232">
        <f t="shared" si="619"/>
        <v>-2.812496412632124E-3</v>
      </c>
      <c r="BC232" s="60">
        <f t="shared" si="619"/>
        <v>-1.6938806140667267E-2</v>
      </c>
      <c r="BD232" s="201">
        <f t="shared" si="619"/>
        <v>1.1787211987565832E-2</v>
      </c>
      <c r="BE232" s="232">
        <f t="shared" si="619"/>
        <v>3.9170363254721646E-2</v>
      </c>
      <c r="BF232" s="232">
        <f t="shared" si="619"/>
        <v>5.4805638615976079E-2</v>
      </c>
      <c r="BG232" s="232">
        <f t="shared" si="619"/>
        <v>2.2921911323641016E-2</v>
      </c>
      <c r="BH232" s="60">
        <f t="shared" si="619"/>
        <v>9.2804064724535153E-3</v>
      </c>
      <c r="BI232" s="202">
        <f t="shared" si="619"/>
        <v>3.1564444049038479E-2</v>
      </c>
      <c r="BJ232" s="60"/>
      <c r="BK232" s="60"/>
      <c r="BL232" s="60"/>
      <c r="BM232" s="60"/>
      <c r="BN232" s="201"/>
      <c r="BO232" s="60"/>
      <c r="BP232" s="60"/>
      <c r="BQ232" s="60"/>
      <c r="BR232" s="60"/>
      <c r="BS232" s="201"/>
      <c r="BT232" s="201"/>
      <c r="BU232" s="201"/>
      <c r="BV232" s="201"/>
      <c r="BW232" s="37"/>
    </row>
    <row r="233" spans="1:75" ht="15.75" customHeight="1" x14ac:dyDescent="0.2">
      <c r="A233" s="117"/>
      <c r="B233" s="117"/>
      <c r="C233" s="122"/>
      <c r="D233" s="122"/>
      <c r="E233" s="122"/>
      <c r="F233" s="122"/>
      <c r="G233" s="121"/>
      <c r="H233" s="121"/>
      <c r="I233" s="121"/>
      <c r="J233" s="121"/>
      <c r="K233" s="122"/>
      <c r="L233" s="121"/>
      <c r="M233" s="121"/>
      <c r="N233" s="121"/>
      <c r="O233" s="121"/>
      <c r="P233" s="122"/>
      <c r="Q233" s="121"/>
      <c r="R233" s="121"/>
      <c r="S233" s="121"/>
      <c r="T233" s="121"/>
      <c r="U233" s="122"/>
      <c r="V233" s="121"/>
      <c r="W233" s="121"/>
      <c r="X233" s="121"/>
      <c r="Y233" s="121"/>
      <c r="Z233" s="122"/>
      <c r="AA233" s="121"/>
      <c r="AB233" s="121"/>
      <c r="AC233" s="121"/>
      <c r="AD233" s="121"/>
      <c r="AE233" s="122"/>
      <c r="AF233" s="121"/>
      <c r="AG233" s="121"/>
      <c r="AH233" s="121"/>
      <c r="AI233" s="121"/>
      <c r="AJ233" s="122"/>
      <c r="AK233" s="121"/>
      <c r="AL233" s="121"/>
      <c r="AM233" s="121"/>
      <c r="AN233" s="121"/>
      <c r="AO233" s="122"/>
      <c r="AP233" s="121"/>
      <c r="AQ233" s="121"/>
      <c r="AR233" s="121"/>
      <c r="AS233" s="121"/>
      <c r="AT233" s="122"/>
      <c r="AU233" s="121"/>
      <c r="AV233" s="121"/>
      <c r="AW233" s="121"/>
      <c r="AX233" s="121"/>
      <c r="AY233" s="122"/>
      <c r="AZ233" s="121"/>
      <c r="BA233" s="121"/>
      <c r="BB233" s="121"/>
      <c r="BC233" s="121"/>
      <c r="BD233" s="122"/>
      <c r="BE233" s="121"/>
      <c r="BF233" s="121"/>
      <c r="BG233" s="121"/>
      <c r="BH233" s="121"/>
      <c r="BI233" s="123"/>
      <c r="BJ233" s="121"/>
      <c r="BK233" s="121"/>
      <c r="BL233" s="121"/>
      <c r="BM233" s="121"/>
      <c r="BN233" s="122"/>
      <c r="BO233" s="121"/>
      <c r="BP233" s="121"/>
      <c r="BQ233" s="121"/>
      <c r="BR233" s="121"/>
      <c r="BS233" s="122"/>
      <c r="BT233" s="122"/>
      <c r="BU233" s="122"/>
      <c r="BV233" s="122"/>
      <c r="BW233" s="120"/>
    </row>
    <row r="234" spans="1:75" ht="15.75" customHeight="1" x14ac:dyDescent="0.2">
      <c r="A234" s="81" t="s">
        <v>603</v>
      </c>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2"/>
      <c r="BJ234" s="81"/>
      <c r="BK234" s="81"/>
      <c r="BL234" s="81"/>
      <c r="BM234" s="81"/>
      <c r="BN234" s="81"/>
      <c r="BO234" s="81"/>
      <c r="BP234" s="81"/>
      <c r="BQ234" s="81"/>
      <c r="BR234" s="81"/>
      <c r="BS234" s="81"/>
      <c r="BT234" s="81"/>
      <c r="BU234" s="81"/>
      <c r="BV234" s="81"/>
      <c r="BW234" s="83"/>
    </row>
    <row r="235" spans="1:75" ht="15.75" customHeight="1" outlineLevel="1" x14ac:dyDescent="0.2">
      <c r="A235" s="117" t="s">
        <v>604</v>
      </c>
      <c r="B235" s="117"/>
      <c r="C235" s="122">
        <f t="shared" ref="C235:BV237" si="620">C54+C103+C148+C181</f>
        <v>159</v>
      </c>
      <c r="D235" s="122">
        <f t="shared" si="620"/>
        <v>160</v>
      </c>
      <c r="E235" s="122">
        <f t="shared" si="620"/>
        <v>163</v>
      </c>
      <c r="F235" s="122">
        <f t="shared" si="620"/>
        <v>170</v>
      </c>
      <c r="G235" s="121">
        <f t="shared" si="620"/>
        <v>177</v>
      </c>
      <c r="H235" s="121">
        <f t="shared" si="620"/>
        <v>174</v>
      </c>
      <c r="I235" s="121">
        <f t="shared" si="620"/>
        <v>175</v>
      </c>
      <c r="J235" s="121">
        <f t="shared" si="620"/>
        <v>177</v>
      </c>
      <c r="K235" s="122">
        <f t="shared" si="620"/>
        <v>177</v>
      </c>
      <c r="L235" s="121">
        <f t="shared" si="620"/>
        <v>180</v>
      </c>
      <c r="M235" s="121">
        <f t="shared" si="620"/>
        <v>181</v>
      </c>
      <c r="N235" s="121">
        <f t="shared" si="620"/>
        <v>182</v>
      </c>
      <c r="O235" s="121">
        <f t="shared" si="620"/>
        <v>184</v>
      </c>
      <c r="P235" s="122">
        <f t="shared" si="620"/>
        <v>180</v>
      </c>
      <c r="Q235" s="121">
        <f t="shared" si="620"/>
        <v>189</v>
      </c>
      <c r="R235" s="121">
        <f t="shared" si="620"/>
        <v>189</v>
      </c>
      <c r="S235" s="121">
        <f t="shared" si="620"/>
        <v>192</v>
      </c>
      <c r="T235" s="121">
        <f t="shared" si="620"/>
        <v>194</v>
      </c>
      <c r="U235" s="122">
        <f t="shared" si="620"/>
        <v>189</v>
      </c>
      <c r="V235" s="121">
        <f t="shared" si="620"/>
        <v>200</v>
      </c>
      <c r="W235" s="121">
        <f t="shared" si="620"/>
        <v>201</v>
      </c>
      <c r="X235" s="121">
        <f t="shared" si="620"/>
        <v>202</v>
      </c>
      <c r="Y235" s="121">
        <f t="shared" si="620"/>
        <v>202</v>
      </c>
      <c r="Z235" s="122">
        <f t="shared" si="620"/>
        <v>200</v>
      </c>
      <c r="AA235" s="121">
        <f t="shared" si="620"/>
        <v>208</v>
      </c>
      <c r="AB235" s="121">
        <f t="shared" si="620"/>
        <v>208</v>
      </c>
      <c r="AC235" s="121">
        <f t="shared" si="620"/>
        <v>207</v>
      </c>
      <c r="AD235" s="121">
        <f t="shared" si="620"/>
        <v>208</v>
      </c>
      <c r="AE235" s="122">
        <f t="shared" si="620"/>
        <v>208</v>
      </c>
      <c r="AF235" s="121">
        <f t="shared" si="620"/>
        <v>214</v>
      </c>
      <c r="AG235" s="121">
        <f t="shared" si="620"/>
        <v>214</v>
      </c>
      <c r="AH235" s="121">
        <f t="shared" si="620"/>
        <v>213</v>
      </c>
      <c r="AI235" s="121">
        <f t="shared" si="620"/>
        <v>215</v>
      </c>
      <c r="AJ235" s="122">
        <f t="shared" si="620"/>
        <v>214</v>
      </c>
      <c r="AK235" s="121">
        <f t="shared" si="620"/>
        <v>218</v>
      </c>
      <c r="AL235" s="121">
        <f t="shared" si="620"/>
        <v>218</v>
      </c>
      <c r="AM235" s="121">
        <f t="shared" si="620"/>
        <v>219</v>
      </c>
      <c r="AN235" s="121">
        <f t="shared" si="620"/>
        <v>288</v>
      </c>
      <c r="AO235" s="122">
        <f t="shared" si="620"/>
        <v>218</v>
      </c>
      <c r="AP235" s="121">
        <f t="shared" si="620"/>
        <v>292</v>
      </c>
      <c r="AQ235" s="121">
        <f t="shared" si="620"/>
        <v>294</v>
      </c>
      <c r="AR235" s="121">
        <f t="shared" si="620"/>
        <v>294</v>
      </c>
      <c r="AS235" s="121">
        <f t="shared" si="620"/>
        <v>294</v>
      </c>
      <c r="AT235" s="122">
        <f t="shared" si="620"/>
        <v>292</v>
      </c>
      <c r="AU235" s="121">
        <f t="shared" si="620"/>
        <v>295</v>
      </c>
      <c r="AV235" s="121">
        <f t="shared" si="620"/>
        <v>297</v>
      </c>
      <c r="AW235" s="121">
        <f t="shared" si="620"/>
        <v>300</v>
      </c>
      <c r="AX235" s="121">
        <f t="shared" si="620"/>
        <v>304</v>
      </c>
      <c r="AY235" s="122">
        <f t="shared" si="620"/>
        <v>295</v>
      </c>
      <c r="AZ235" s="121">
        <f t="shared" si="620"/>
        <v>308</v>
      </c>
      <c r="BA235" s="121">
        <f t="shared" si="620"/>
        <v>306</v>
      </c>
      <c r="BB235" s="121">
        <f t="shared" si="620"/>
        <v>308</v>
      </c>
      <c r="BC235" s="121">
        <f t="shared" si="620"/>
        <v>311</v>
      </c>
      <c r="BD235" s="122">
        <f t="shared" si="620"/>
        <v>308</v>
      </c>
      <c r="BE235" s="121">
        <f t="shared" si="620"/>
        <v>318</v>
      </c>
      <c r="BF235" s="121">
        <f t="shared" si="620"/>
        <v>318</v>
      </c>
      <c r="BG235" s="121">
        <f t="shared" si="620"/>
        <v>321</v>
      </c>
      <c r="BH235" s="121">
        <f t="shared" si="620"/>
        <v>323</v>
      </c>
      <c r="BI235" s="123">
        <f t="shared" si="620"/>
        <v>318</v>
      </c>
      <c r="BJ235" s="121">
        <f t="shared" si="620"/>
        <v>331</v>
      </c>
      <c r="BK235" s="121">
        <f t="shared" si="620"/>
        <v>336</v>
      </c>
      <c r="BL235" s="121">
        <f t="shared" si="620"/>
        <v>341</v>
      </c>
      <c r="BM235" s="121">
        <f t="shared" si="620"/>
        <v>346</v>
      </c>
      <c r="BN235" s="122">
        <f t="shared" si="620"/>
        <v>331.875</v>
      </c>
      <c r="BO235" s="121">
        <f t="shared" si="620"/>
        <v>352.875</v>
      </c>
      <c r="BP235" s="121">
        <f t="shared" si="620"/>
        <v>355.875</v>
      </c>
      <c r="BQ235" s="121">
        <f t="shared" si="620"/>
        <v>360.875</v>
      </c>
      <c r="BR235" s="121">
        <f t="shared" si="620"/>
        <v>366.875</v>
      </c>
      <c r="BS235" s="122">
        <f t="shared" si="620"/>
        <v>349.5</v>
      </c>
      <c r="BT235" s="122">
        <f t="shared" si="620"/>
        <v>368.5</v>
      </c>
      <c r="BU235" s="122">
        <f t="shared" si="620"/>
        <v>387.5</v>
      </c>
      <c r="BV235" s="122">
        <f t="shared" si="620"/>
        <v>406.5</v>
      </c>
      <c r="BW235" s="120"/>
    </row>
    <row r="236" spans="1:75" ht="15.75" customHeight="1" outlineLevel="1" x14ac:dyDescent="0.2">
      <c r="A236" s="125" t="s">
        <v>605</v>
      </c>
      <c r="B236" s="125"/>
      <c r="C236" s="130">
        <f t="shared" si="620"/>
        <v>1</v>
      </c>
      <c r="D236" s="130">
        <f t="shared" si="620"/>
        <v>3</v>
      </c>
      <c r="E236" s="130">
        <f t="shared" si="620"/>
        <v>7</v>
      </c>
      <c r="F236" s="130">
        <f t="shared" si="620"/>
        <v>8</v>
      </c>
      <c r="G236" s="154">
        <f t="shared" si="620"/>
        <v>0</v>
      </c>
      <c r="H236" s="154">
        <f t="shared" si="620"/>
        <v>1</v>
      </c>
      <c r="I236" s="154">
        <f t="shared" si="620"/>
        <v>2</v>
      </c>
      <c r="J236" s="154">
        <f t="shared" si="620"/>
        <v>6</v>
      </c>
      <c r="K236" s="130">
        <f t="shared" si="620"/>
        <v>9</v>
      </c>
      <c r="L236" s="154">
        <f t="shared" si="620"/>
        <v>1</v>
      </c>
      <c r="M236" s="154">
        <f t="shared" si="620"/>
        <v>2</v>
      </c>
      <c r="N236" s="154">
        <f t="shared" si="620"/>
        <v>2</v>
      </c>
      <c r="O236" s="154">
        <f t="shared" si="620"/>
        <v>5</v>
      </c>
      <c r="P236" s="130">
        <f t="shared" si="620"/>
        <v>10</v>
      </c>
      <c r="Q236" s="154">
        <f t="shared" si="620"/>
        <v>0</v>
      </c>
      <c r="R236" s="154">
        <f t="shared" si="620"/>
        <v>3</v>
      </c>
      <c r="S236" s="154">
        <f t="shared" si="620"/>
        <v>2</v>
      </c>
      <c r="T236" s="154">
        <f t="shared" si="620"/>
        <v>6</v>
      </c>
      <c r="U236" s="130">
        <f t="shared" si="620"/>
        <v>11</v>
      </c>
      <c r="V236" s="154">
        <f t="shared" si="620"/>
        <v>1</v>
      </c>
      <c r="W236" s="154">
        <f t="shared" si="620"/>
        <v>1</v>
      </c>
      <c r="X236" s="154">
        <f t="shared" si="620"/>
        <v>0</v>
      </c>
      <c r="Y236" s="154">
        <f t="shared" si="620"/>
        <v>6</v>
      </c>
      <c r="Z236" s="130">
        <f t="shared" si="620"/>
        <v>8</v>
      </c>
      <c r="AA236" s="154">
        <f t="shared" si="620"/>
        <v>0</v>
      </c>
      <c r="AB236" s="154">
        <f t="shared" si="620"/>
        <v>1</v>
      </c>
      <c r="AC236" s="154">
        <f t="shared" si="620"/>
        <v>1</v>
      </c>
      <c r="AD236" s="154">
        <f t="shared" si="620"/>
        <v>6</v>
      </c>
      <c r="AE236" s="130">
        <f t="shared" si="620"/>
        <v>8</v>
      </c>
      <c r="AF236" s="154">
        <f t="shared" si="620"/>
        <v>0</v>
      </c>
      <c r="AG236" s="154">
        <f t="shared" si="620"/>
        <v>0</v>
      </c>
      <c r="AH236" s="154">
        <f t="shared" si="620"/>
        <v>2</v>
      </c>
      <c r="AI236" s="154">
        <f t="shared" si="620"/>
        <v>4</v>
      </c>
      <c r="AJ236" s="130">
        <f t="shared" si="620"/>
        <v>6</v>
      </c>
      <c r="AK236" s="154">
        <f t="shared" si="620"/>
        <v>0</v>
      </c>
      <c r="AL236" s="154">
        <f t="shared" si="620"/>
        <v>1</v>
      </c>
      <c r="AM236" s="154">
        <f>AM55+AM104+AM149+AM182+AM106+AM151</f>
        <v>47</v>
      </c>
      <c r="AN236" s="154">
        <f t="shared" si="620"/>
        <v>6</v>
      </c>
      <c r="AO236" s="130">
        <f t="shared" si="620"/>
        <v>76</v>
      </c>
      <c r="AP236" s="154">
        <f t="shared" si="620"/>
        <v>2</v>
      </c>
      <c r="AQ236" s="154">
        <f t="shared" si="620"/>
        <v>0</v>
      </c>
      <c r="AR236" s="154">
        <f t="shared" si="620"/>
        <v>2</v>
      </c>
      <c r="AS236" s="154">
        <f t="shared" si="620"/>
        <v>3</v>
      </c>
      <c r="AT236" s="130">
        <f t="shared" si="620"/>
        <v>7</v>
      </c>
      <c r="AU236" s="154">
        <f t="shared" si="620"/>
        <v>3</v>
      </c>
      <c r="AV236" s="154">
        <f t="shared" si="620"/>
        <v>3</v>
      </c>
      <c r="AW236" s="154">
        <f t="shared" si="620"/>
        <v>4</v>
      </c>
      <c r="AX236" s="154">
        <f t="shared" si="620"/>
        <v>4</v>
      </c>
      <c r="AY236" s="130">
        <f t="shared" si="620"/>
        <v>14</v>
      </c>
      <c r="AZ236" s="154">
        <f t="shared" si="620"/>
        <v>0</v>
      </c>
      <c r="BA236" s="154">
        <f t="shared" si="620"/>
        <v>2</v>
      </c>
      <c r="BB236" s="154">
        <f t="shared" si="620"/>
        <v>3</v>
      </c>
      <c r="BC236" s="154">
        <f t="shared" si="620"/>
        <v>8</v>
      </c>
      <c r="BD236" s="130">
        <f t="shared" si="620"/>
        <v>13</v>
      </c>
      <c r="BE236" s="154">
        <f t="shared" si="620"/>
        <v>2</v>
      </c>
      <c r="BF236" s="154">
        <f t="shared" si="620"/>
        <v>3</v>
      </c>
      <c r="BG236" s="154">
        <f t="shared" si="620"/>
        <v>2</v>
      </c>
      <c r="BH236" s="154">
        <f t="shared" si="620"/>
        <v>9</v>
      </c>
      <c r="BI236" s="155">
        <f t="shared" si="620"/>
        <v>16</v>
      </c>
      <c r="BJ236" s="154">
        <f t="shared" si="620"/>
        <v>5</v>
      </c>
      <c r="BK236" s="154">
        <f t="shared" si="620"/>
        <v>6</v>
      </c>
      <c r="BL236" s="154">
        <f t="shared" si="620"/>
        <v>5</v>
      </c>
      <c r="BM236" s="154">
        <f t="shared" si="620"/>
        <v>6</v>
      </c>
      <c r="BN236" s="130">
        <f t="shared" si="620"/>
        <v>22</v>
      </c>
      <c r="BO236" s="154">
        <f t="shared" si="620"/>
        <v>3</v>
      </c>
      <c r="BP236" s="154">
        <f t="shared" si="620"/>
        <v>6</v>
      </c>
      <c r="BQ236" s="154">
        <f t="shared" si="620"/>
        <v>6</v>
      </c>
      <c r="BR236" s="154">
        <f t="shared" si="620"/>
        <v>5</v>
      </c>
      <c r="BS236" s="130">
        <f t="shared" si="620"/>
        <v>20</v>
      </c>
      <c r="BT236" s="130">
        <f t="shared" si="620"/>
        <v>20</v>
      </c>
      <c r="BU236" s="130">
        <f t="shared" si="620"/>
        <v>20</v>
      </c>
      <c r="BV236" s="130">
        <f t="shared" si="620"/>
        <v>20</v>
      </c>
      <c r="BW236" s="131"/>
    </row>
    <row r="237" spans="1:75" ht="15.75" customHeight="1" outlineLevel="1" x14ac:dyDescent="0.2">
      <c r="A237" s="125" t="s">
        <v>606</v>
      </c>
      <c r="B237" s="125"/>
      <c r="C237" s="130">
        <f t="shared" si="620"/>
        <v>0</v>
      </c>
      <c r="D237" s="130">
        <f t="shared" si="620"/>
        <v>0</v>
      </c>
      <c r="E237" s="130">
        <f t="shared" si="620"/>
        <v>0</v>
      </c>
      <c r="F237" s="130">
        <f t="shared" si="620"/>
        <v>-1</v>
      </c>
      <c r="G237" s="154">
        <f t="shared" si="620"/>
        <v>-3</v>
      </c>
      <c r="H237" s="154">
        <f t="shared" si="620"/>
        <v>0</v>
      </c>
      <c r="I237" s="154">
        <f t="shared" si="620"/>
        <v>0</v>
      </c>
      <c r="J237" s="154">
        <f t="shared" si="620"/>
        <v>-3</v>
      </c>
      <c r="K237" s="130">
        <f t="shared" si="620"/>
        <v>-6</v>
      </c>
      <c r="L237" s="154">
        <f t="shared" si="620"/>
        <v>0</v>
      </c>
      <c r="M237" s="154">
        <f t="shared" si="620"/>
        <v>-1</v>
      </c>
      <c r="N237" s="154">
        <f t="shared" si="620"/>
        <v>0</v>
      </c>
      <c r="O237" s="154">
        <f t="shared" si="620"/>
        <v>0</v>
      </c>
      <c r="P237" s="130">
        <f t="shared" si="620"/>
        <v>-1</v>
      </c>
      <c r="Q237" s="154">
        <f t="shared" si="620"/>
        <v>0</v>
      </c>
      <c r="R237" s="154">
        <f t="shared" si="620"/>
        <v>0</v>
      </c>
      <c r="S237" s="154">
        <f t="shared" si="620"/>
        <v>0</v>
      </c>
      <c r="T237" s="154">
        <f t="shared" si="620"/>
        <v>0</v>
      </c>
      <c r="U237" s="130">
        <f t="shared" si="620"/>
        <v>0</v>
      </c>
      <c r="V237" s="154">
        <f t="shared" si="620"/>
        <v>0</v>
      </c>
      <c r="W237" s="154">
        <f t="shared" si="620"/>
        <v>0</v>
      </c>
      <c r="X237" s="154">
        <f t="shared" si="620"/>
        <v>0</v>
      </c>
      <c r="Y237" s="154">
        <f t="shared" si="620"/>
        <v>0</v>
      </c>
      <c r="Z237" s="130">
        <f t="shared" si="620"/>
        <v>0</v>
      </c>
      <c r="AA237" s="154">
        <f t="shared" si="620"/>
        <v>0</v>
      </c>
      <c r="AB237" s="154">
        <f t="shared" si="620"/>
        <v>-2</v>
      </c>
      <c r="AC237" s="154">
        <f t="shared" si="620"/>
        <v>0</v>
      </c>
      <c r="AD237" s="154">
        <f t="shared" si="620"/>
        <v>0</v>
      </c>
      <c r="AE237" s="130">
        <f t="shared" si="620"/>
        <v>-2</v>
      </c>
      <c r="AF237" s="154">
        <f t="shared" si="620"/>
        <v>0</v>
      </c>
      <c r="AG237" s="154">
        <f t="shared" si="620"/>
        <v>-1</v>
      </c>
      <c r="AH237" s="154">
        <f t="shared" si="620"/>
        <v>0</v>
      </c>
      <c r="AI237" s="154">
        <f t="shared" si="620"/>
        <v>-1</v>
      </c>
      <c r="AJ237" s="130">
        <f t="shared" si="620"/>
        <v>-2</v>
      </c>
      <c r="AK237" s="154">
        <f t="shared" si="620"/>
        <v>0</v>
      </c>
      <c r="AL237" s="154">
        <f t="shared" si="620"/>
        <v>0</v>
      </c>
      <c r="AM237" s="154">
        <f t="shared" si="620"/>
        <v>0</v>
      </c>
      <c r="AN237" s="154">
        <f t="shared" si="620"/>
        <v>-2</v>
      </c>
      <c r="AO237" s="130">
        <f t="shared" si="620"/>
        <v>-2</v>
      </c>
      <c r="AP237" s="154">
        <f t="shared" si="620"/>
        <v>0</v>
      </c>
      <c r="AQ237" s="154">
        <f t="shared" si="620"/>
        <v>0</v>
      </c>
      <c r="AR237" s="154">
        <f t="shared" si="620"/>
        <v>-2</v>
      </c>
      <c r="AS237" s="154">
        <f t="shared" si="620"/>
        <v>-2</v>
      </c>
      <c r="AT237" s="130">
        <f t="shared" si="620"/>
        <v>-4</v>
      </c>
      <c r="AU237" s="154">
        <f t="shared" si="620"/>
        <v>-1</v>
      </c>
      <c r="AV237" s="154">
        <f t="shared" si="620"/>
        <v>0</v>
      </c>
      <c r="AW237" s="154">
        <f t="shared" si="620"/>
        <v>0</v>
      </c>
      <c r="AX237" s="154">
        <f t="shared" si="620"/>
        <v>0</v>
      </c>
      <c r="AY237" s="130">
        <f t="shared" si="620"/>
        <v>-1</v>
      </c>
      <c r="AZ237" s="154">
        <f t="shared" si="620"/>
        <v>-2</v>
      </c>
      <c r="BA237" s="154">
        <f t="shared" si="620"/>
        <v>0</v>
      </c>
      <c r="BB237" s="154">
        <f t="shared" si="620"/>
        <v>0</v>
      </c>
      <c r="BC237" s="154">
        <f t="shared" si="620"/>
        <v>-1</v>
      </c>
      <c r="BD237" s="130">
        <f t="shared" si="620"/>
        <v>-3</v>
      </c>
      <c r="BE237" s="154">
        <f t="shared" si="620"/>
        <v>-2</v>
      </c>
      <c r="BF237" s="154">
        <f t="shared" si="620"/>
        <v>0</v>
      </c>
      <c r="BG237" s="154">
        <f t="shared" si="620"/>
        <v>0</v>
      </c>
      <c r="BH237" s="154">
        <f t="shared" si="620"/>
        <v>-1</v>
      </c>
      <c r="BI237" s="155">
        <f t="shared" si="620"/>
        <v>-3</v>
      </c>
      <c r="BJ237" s="154">
        <f t="shared" si="620"/>
        <v>0</v>
      </c>
      <c r="BK237" s="154">
        <f t="shared" si="620"/>
        <v>-1</v>
      </c>
      <c r="BL237" s="154">
        <f t="shared" si="620"/>
        <v>0</v>
      </c>
      <c r="BM237" s="154">
        <f t="shared" si="620"/>
        <v>0</v>
      </c>
      <c r="BN237" s="130">
        <f t="shared" si="620"/>
        <v>-1</v>
      </c>
      <c r="BO237" s="154">
        <f t="shared" si="620"/>
        <v>0</v>
      </c>
      <c r="BP237" s="154">
        <f t="shared" si="620"/>
        <v>-1</v>
      </c>
      <c r="BQ237" s="154">
        <f t="shared" si="620"/>
        <v>0</v>
      </c>
      <c r="BR237" s="154">
        <f t="shared" si="620"/>
        <v>0</v>
      </c>
      <c r="BS237" s="130">
        <f t="shared" si="620"/>
        <v>-1</v>
      </c>
      <c r="BT237" s="130">
        <f t="shared" si="620"/>
        <v>-1</v>
      </c>
      <c r="BU237" s="130">
        <f t="shared" si="620"/>
        <v>-1</v>
      </c>
      <c r="BV237" s="130">
        <f t="shared" si="620"/>
        <v>-1</v>
      </c>
      <c r="BW237" s="131"/>
    </row>
    <row r="238" spans="1:75" ht="15.75" customHeight="1" outlineLevel="1" x14ac:dyDescent="0.2">
      <c r="A238" s="233" t="s">
        <v>607</v>
      </c>
      <c r="B238" s="233"/>
      <c r="C238" s="234">
        <f t="shared" ref="C238:BV238" si="621">C236+C237</f>
        <v>1</v>
      </c>
      <c r="D238" s="234">
        <f t="shared" si="621"/>
        <v>3</v>
      </c>
      <c r="E238" s="234">
        <f t="shared" si="621"/>
        <v>7</v>
      </c>
      <c r="F238" s="234">
        <f t="shared" si="621"/>
        <v>7</v>
      </c>
      <c r="G238" s="235">
        <f t="shared" si="621"/>
        <v>-3</v>
      </c>
      <c r="H238" s="235">
        <f t="shared" si="621"/>
        <v>1</v>
      </c>
      <c r="I238" s="235">
        <f t="shared" si="621"/>
        <v>2</v>
      </c>
      <c r="J238" s="235">
        <f t="shared" si="621"/>
        <v>3</v>
      </c>
      <c r="K238" s="234">
        <f t="shared" si="621"/>
        <v>3</v>
      </c>
      <c r="L238" s="235">
        <f t="shared" si="621"/>
        <v>1</v>
      </c>
      <c r="M238" s="235">
        <f t="shared" si="621"/>
        <v>1</v>
      </c>
      <c r="N238" s="235">
        <f t="shared" si="621"/>
        <v>2</v>
      </c>
      <c r="O238" s="235">
        <f t="shared" si="621"/>
        <v>5</v>
      </c>
      <c r="P238" s="234">
        <f t="shared" si="621"/>
        <v>9</v>
      </c>
      <c r="Q238" s="235">
        <f t="shared" si="621"/>
        <v>0</v>
      </c>
      <c r="R238" s="235">
        <f t="shared" si="621"/>
        <v>3</v>
      </c>
      <c r="S238" s="235">
        <f t="shared" si="621"/>
        <v>2</v>
      </c>
      <c r="T238" s="235">
        <f t="shared" si="621"/>
        <v>6</v>
      </c>
      <c r="U238" s="234">
        <f t="shared" si="621"/>
        <v>11</v>
      </c>
      <c r="V238" s="235">
        <f t="shared" si="621"/>
        <v>1</v>
      </c>
      <c r="W238" s="235">
        <f t="shared" si="621"/>
        <v>1</v>
      </c>
      <c r="X238" s="235">
        <f t="shared" si="621"/>
        <v>0</v>
      </c>
      <c r="Y238" s="235">
        <f t="shared" si="621"/>
        <v>6</v>
      </c>
      <c r="Z238" s="234">
        <f t="shared" si="621"/>
        <v>8</v>
      </c>
      <c r="AA238" s="235">
        <f t="shared" si="621"/>
        <v>0</v>
      </c>
      <c r="AB238" s="235">
        <f t="shared" si="621"/>
        <v>-1</v>
      </c>
      <c r="AC238" s="235">
        <f t="shared" si="621"/>
        <v>1</v>
      </c>
      <c r="AD238" s="235">
        <f t="shared" si="621"/>
        <v>6</v>
      </c>
      <c r="AE238" s="234">
        <f t="shared" si="621"/>
        <v>6</v>
      </c>
      <c r="AF238" s="235">
        <f t="shared" si="621"/>
        <v>0</v>
      </c>
      <c r="AG238" s="235">
        <f t="shared" si="621"/>
        <v>-1</v>
      </c>
      <c r="AH238" s="235">
        <f t="shared" si="621"/>
        <v>2</v>
      </c>
      <c r="AI238" s="235">
        <f t="shared" si="621"/>
        <v>3</v>
      </c>
      <c r="AJ238" s="234">
        <f t="shared" si="621"/>
        <v>4</v>
      </c>
      <c r="AK238" s="235">
        <f t="shared" si="621"/>
        <v>0</v>
      </c>
      <c r="AL238" s="235">
        <f t="shared" si="621"/>
        <v>1</v>
      </c>
      <c r="AM238" s="235">
        <f t="shared" si="621"/>
        <v>47</v>
      </c>
      <c r="AN238" s="235">
        <f t="shared" si="621"/>
        <v>4</v>
      </c>
      <c r="AO238" s="234">
        <f t="shared" si="621"/>
        <v>74</v>
      </c>
      <c r="AP238" s="235">
        <f t="shared" si="621"/>
        <v>2</v>
      </c>
      <c r="AQ238" s="235">
        <f t="shared" si="621"/>
        <v>0</v>
      </c>
      <c r="AR238" s="235">
        <f t="shared" si="621"/>
        <v>0</v>
      </c>
      <c r="AS238" s="235">
        <f t="shared" si="621"/>
        <v>1</v>
      </c>
      <c r="AT238" s="234">
        <f t="shared" si="621"/>
        <v>3</v>
      </c>
      <c r="AU238" s="235">
        <f t="shared" si="621"/>
        <v>2</v>
      </c>
      <c r="AV238" s="235">
        <f t="shared" si="621"/>
        <v>3</v>
      </c>
      <c r="AW238" s="235">
        <f t="shared" si="621"/>
        <v>4</v>
      </c>
      <c r="AX238" s="235">
        <f t="shared" si="621"/>
        <v>4</v>
      </c>
      <c r="AY238" s="234">
        <f t="shared" si="621"/>
        <v>13</v>
      </c>
      <c r="AZ238" s="235">
        <f t="shared" si="621"/>
        <v>-2</v>
      </c>
      <c r="BA238" s="235">
        <f t="shared" si="621"/>
        <v>2</v>
      </c>
      <c r="BB238" s="235">
        <f t="shared" si="621"/>
        <v>3</v>
      </c>
      <c r="BC238" s="235">
        <f t="shared" si="621"/>
        <v>7</v>
      </c>
      <c r="BD238" s="234">
        <f t="shared" si="621"/>
        <v>10</v>
      </c>
      <c r="BE238" s="235">
        <f t="shared" si="621"/>
        <v>0</v>
      </c>
      <c r="BF238" s="235">
        <f t="shared" si="621"/>
        <v>3</v>
      </c>
      <c r="BG238" s="235">
        <f t="shared" si="621"/>
        <v>2</v>
      </c>
      <c r="BH238" s="235">
        <f t="shared" si="621"/>
        <v>8</v>
      </c>
      <c r="BI238" s="236">
        <f t="shared" si="621"/>
        <v>13</v>
      </c>
      <c r="BJ238" s="235">
        <f t="shared" si="621"/>
        <v>5</v>
      </c>
      <c r="BK238" s="235">
        <f t="shared" si="621"/>
        <v>5</v>
      </c>
      <c r="BL238" s="235">
        <f t="shared" si="621"/>
        <v>5</v>
      </c>
      <c r="BM238" s="235">
        <f t="shared" si="621"/>
        <v>6</v>
      </c>
      <c r="BN238" s="234">
        <f t="shared" si="621"/>
        <v>21</v>
      </c>
      <c r="BO238" s="235">
        <f t="shared" si="621"/>
        <v>3</v>
      </c>
      <c r="BP238" s="235">
        <f t="shared" si="621"/>
        <v>5</v>
      </c>
      <c r="BQ238" s="235">
        <f t="shared" si="621"/>
        <v>6</v>
      </c>
      <c r="BR238" s="235">
        <f t="shared" si="621"/>
        <v>5</v>
      </c>
      <c r="BS238" s="234">
        <f t="shared" si="621"/>
        <v>19</v>
      </c>
      <c r="BT238" s="234">
        <f t="shared" si="621"/>
        <v>19</v>
      </c>
      <c r="BU238" s="234">
        <f t="shared" si="621"/>
        <v>19</v>
      </c>
      <c r="BV238" s="234">
        <f t="shared" si="621"/>
        <v>19</v>
      </c>
      <c r="BW238" s="131"/>
    </row>
    <row r="239" spans="1:75" ht="15.75" customHeight="1" outlineLevel="1" x14ac:dyDescent="0.2">
      <c r="A239" s="141" t="s">
        <v>608</v>
      </c>
      <c r="B239" s="141"/>
      <c r="C239" s="145">
        <f t="shared" ref="C239:BV239" si="622">C57+C106+C151+C184</f>
        <v>160</v>
      </c>
      <c r="D239" s="145">
        <f t="shared" si="622"/>
        <v>163</v>
      </c>
      <c r="E239" s="145">
        <f t="shared" si="622"/>
        <v>170</v>
      </c>
      <c r="F239" s="145">
        <f t="shared" si="622"/>
        <v>177</v>
      </c>
      <c r="G239" s="147">
        <f t="shared" si="622"/>
        <v>174</v>
      </c>
      <c r="H239" s="147">
        <f t="shared" si="622"/>
        <v>175</v>
      </c>
      <c r="I239" s="147">
        <f t="shared" si="622"/>
        <v>177</v>
      </c>
      <c r="J239" s="147">
        <f t="shared" si="622"/>
        <v>180</v>
      </c>
      <c r="K239" s="145">
        <f t="shared" si="622"/>
        <v>180</v>
      </c>
      <c r="L239" s="147">
        <f t="shared" si="622"/>
        <v>181</v>
      </c>
      <c r="M239" s="147">
        <f t="shared" si="622"/>
        <v>182</v>
      </c>
      <c r="N239" s="147">
        <f t="shared" si="622"/>
        <v>184</v>
      </c>
      <c r="O239" s="147">
        <f t="shared" si="622"/>
        <v>189</v>
      </c>
      <c r="P239" s="145">
        <f t="shared" si="622"/>
        <v>189</v>
      </c>
      <c r="Q239" s="147">
        <f t="shared" si="622"/>
        <v>189</v>
      </c>
      <c r="R239" s="147">
        <f t="shared" si="622"/>
        <v>192</v>
      </c>
      <c r="S239" s="147">
        <f t="shared" si="622"/>
        <v>194</v>
      </c>
      <c r="T239" s="147">
        <f t="shared" si="622"/>
        <v>200</v>
      </c>
      <c r="U239" s="145">
        <f t="shared" si="622"/>
        <v>200</v>
      </c>
      <c r="V239" s="147">
        <f t="shared" si="622"/>
        <v>201</v>
      </c>
      <c r="W239" s="147">
        <f t="shared" si="622"/>
        <v>202</v>
      </c>
      <c r="X239" s="147">
        <f t="shared" si="622"/>
        <v>202</v>
      </c>
      <c r="Y239" s="147">
        <f t="shared" si="622"/>
        <v>208</v>
      </c>
      <c r="Z239" s="145">
        <f t="shared" si="622"/>
        <v>208</v>
      </c>
      <c r="AA239" s="147">
        <f t="shared" si="622"/>
        <v>208</v>
      </c>
      <c r="AB239" s="147">
        <f t="shared" si="622"/>
        <v>207</v>
      </c>
      <c r="AC239" s="147">
        <f t="shared" si="622"/>
        <v>208</v>
      </c>
      <c r="AD239" s="147">
        <f t="shared" si="622"/>
        <v>214</v>
      </c>
      <c r="AE239" s="145">
        <f t="shared" si="622"/>
        <v>214</v>
      </c>
      <c r="AF239" s="147">
        <f t="shared" si="622"/>
        <v>214</v>
      </c>
      <c r="AG239" s="147">
        <f t="shared" si="622"/>
        <v>213</v>
      </c>
      <c r="AH239" s="147">
        <f t="shared" si="622"/>
        <v>215</v>
      </c>
      <c r="AI239" s="147">
        <f t="shared" si="622"/>
        <v>218</v>
      </c>
      <c r="AJ239" s="145">
        <f t="shared" si="622"/>
        <v>218</v>
      </c>
      <c r="AK239" s="147">
        <f t="shared" si="622"/>
        <v>218</v>
      </c>
      <c r="AL239" s="147">
        <f t="shared" si="622"/>
        <v>219</v>
      </c>
      <c r="AM239" s="147">
        <f t="shared" si="622"/>
        <v>266</v>
      </c>
      <c r="AN239" s="147">
        <f t="shared" si="622"/>
        <v>292</v>
      </c>
      <c r="AO239" s="145">
        <f t="shared" si="622"/>
        <v>292</v>
      </c>
      <c r="AP239" s="147">
        <f t="shared" si="622"/>
        <v>294</v>
      </c>
      <c r="AQ239" s="147">
        <f t="shared" si="622"/>
        <v>294</v>
      </c>
      <c r="AR239" s="147">
        <f t="shared" si="622"/>
        <v>294</v>
      </c>
      <c r="AS239" s="147">
        <f t="shared" si="622"/>
        <v>295</v>
      </c>
      <c r="AT239" s="145">
        <f t="shared" si="622"/>
        <v>295</v>
      </c>
      <c r="AU239" s="147">
        <f t="shared" si="622"/>
        <v>297</v>
      </c>
      <c r="AV239" s="147">
        <f t="shared" si="622"/>
        <v>300</v>
      </c>
      <c r="AW239" s="147">
        <f t="shared" si="622"/>
        <v>304</v>
      </c>
      <c r="AX239" s="147">
        <f t="shared" si="622"/>
        <v>308</v>
      </c>
      <c r="AY239" s="145">
        <f t="shared" si="622"/>
        <v>308</v>
      </c>
      <c r="AZ239" s="147">
        <f t="shared" si="622"/>
        <v>306</v>
      </c>
      <c r="BA239" s="147">
        <f t="shared" si="622"/>
        <v>308</v>
      </c>
      <c r="BB239" s="147">
        <f t="shared" si="622"/>
        <v>311</v>
      </c>
      <c r="BC239" s="147">
        <f t="shared" si="622"/>
        <v>318</v>
      </c>
      <c r="BD239" s="145">
        <f t="shared" si="622"/>
        <v>318</v>
      </c>
      <c r="BE239" s="147">
        <f t="shared" si="622"/>
        <v>318</v>
      </c>
      <c r="BF239" s="147">
        <f t="shared" si="622"/>
        <v>321</v>
      </c>
      <c r="BG239" s="147">
        <f t="shared" si="622"/>
        <v>323</v>
      </c>
      <c r="BH239" s="147">
        <f t="shared" si="622"/>
        <v>331</v>
      </c>
      <c r="BI239" s="146">
        <f t="shared" si="622"/>
        <v>331</v>
      </c>
      <c r="BJ239" s="147">
        <f t="shared" si="622"/>
        <v>336</v>
      </c>
      <c r="BK239" s="147">
        <f t="shared" si="622"/>
        <v>341</v>
      </c>
      <c r="BL239" s="147">
        <f t="shared" si="622"/>
        <v>346</v>
      </c>
      <c r="BM239" s="147">
        <f t="shared" si="622"/>
        <v>352</v>
      </c>
      <c r="BN239" s="145">
        <f t="shared" si="622"/>
        <v>352.875</v>
      </c>
      <c r="BO239" s="147">
        <f t="shared" si="622"/>
        <v>355.875</v>
      </c>
      <c r="BP239" s="147">
        <f t="shared" si="622"/>
        <v>360.875</v>
      </c>
      <c r="BQ239" s="147">
        <f t="shared" si="622"/>
        <v>366.875</v>
      </c>
      <c r="BR239" s="147">
        <f t="shared" si="622"/>
        <v>371.875</v>
      </c>
      <c r="BS239" s="145">
        <f t="shared" si="622"/>
        <v>368.5</v>
      </c>
      <c r="BT239" s="145">
        <f t="shared" si="622"/>
        <v>387.5</v>
      </c>
      <c r="BU239" s="145">
        <f t="shared" si="622"/>
        <v>406.5</v>
      </c>
      <c r="BV239" s="145">
        <f t="shared" si="622"/>
        <v>425.5</v>
      </c>
      <c r="BW239" s="120"/>
    </row>
    <row r="240" spans="1:75" ht="15.75" customHeight="1" outlineLevel="1" x14ac:dyDescent="0.2">
      <c r="A240" s="116" t="s">
        <v>609</v>
      </c>
      <c r="B240" s="117"/>
      <c r="C240" s="119">
        <f t="shared" ref="C240:J240" si="623">AVERAGE(C235,C239)</f>
        <v>159.5</v>
      </c>
      <c r="D240" s="119">
        <f t="shared" si="623"/>
        <v>161.5</v>
      </c>
      <c r="E240" s="119">
        <f t="shared" si="623"/>
        <v>166.5</v>
      </c>
      <c r="F240" s="119">
        <f t="shared" si="623"/>
        <v>173.5</v>
      </c>
      <c r="G240" s="120">
        <f t="shared" si="623"/>
        <v>175.5</v>
      </c>
      <c r="H240" s="120">
        <f t="shared" si="623"/>
        <v>174.5</v>
      </c>
      <c r="I240" s="120">
        <f t="shared" si="623"/>
        <v>176</v>
      </c>
      <c r="J240" s="120">
        <f t="shared" si="623"/>
        <v>178.5</v>
      </c>
      <c r="K240" s="122">
        <f>AVERAGE(G240,H240,I240,J240)</f>
        <v>176.125</v>
      </c>
      <c r="L240" s="120">
        <f t="shared" ref="L240:O240" si="624">AVERAGE(L235,L239)</f>
        <v>180.5</v>
      </c>
      <c r="M240" s="120">
        <f t="shared" si="624"/>
        <v>181.5</v>
      </c>
      <c r="N240" s="120">
        <f t="shared" si="624"/>
        <v>183</v>
      </c>
      <c r="O240" s="120">
        <f t="shared" si="624"/>
        <v>186.5</v>
      </c>
      <c r="P240" s="122">
        <f>AVERAGE(L240,M240,N240,O240)</f>
        <v>182.875</v>
      </c>
      <c r="Q240" s="120">
        <f t="shared" ref="Q240:T240" si="625">AVERAGE(Q235,Q239)</f>
        <v>189</v>
      </c>
      <c r="R240" s="120">
        <f t="shared" si="625"/>
        <v>190.5</v>
      </c>
      <c r="S240" s="120">
        <f t="shared" si="625"/>
        <v>193</v>
      </c>
      <c r="T240" s="120">
        <f t="shared" si="625"/>
        <v>197</v>
      </c>
      <c r="U240" s="122">
        <f>AVERAGE(Q240,R240,S240,T240)</f>
        <v>192.375</v>
      </c>
      <c r="V240" s="120">
        <f t="shared" ref="V240:Y240" si="626">AVERAGE(V235,V239)</f>
        <v>200.5</v>
      </c>
      <c r="W240" s="120">
        <f t="shared" si="626"/>
        <v>201.5</v>
      </c>
      <c r="X240" s="120">
        <f t="shared" si="626"/>
        <v>202</v>
      </c>
      <c r="Y240" s="120">
        <f t="shared" si="626"/>
        <v>205</v>
      </c>
      <c r="Z240" s="122">
        <f>AVERAGE(V240,W240,X240,Y240)</f>
        <v>202.25</v>
      </c>
      <c r="AA240" s="120">
        <f t="shared" ref="AA240:AD240" si="627">AVERAGE(AA235,AA239)</f>
        <v>208</v>
      </c>
      <c r="AB240" s="120">
        <f t="shared" si="627"/>
        <v>207.5</v>
      </c>
      <c r="AC240" s="120">
        <f t="shared" si="627"/>
        <v>207.5</v>
      </c>
      <c r="AD240" s="120">
        <f t="shared" si="627"/>
        <v>211</v>
      </c>
      <c r="AE240" s="122">
        <f>AVERAGE(AA240,AB240,AC240,AD240)</f>
        <v>208.5</v>
      </c>
      <c r="AF240" s="120">
        <f t="shared" ref="AF240:AI240" si="628">AVERAGE(AF235,AF239)</f>
        <v>214</v>
      </c>
      <c r="AG240" s="120">
        <f t="shared" si="628"/>
        <v>213.5</v>
      </c>
      <c r="AH240" s="120">
        <f t="shared" si="628"/>
        <v>214</v>
      </c>
      <c r="AI240" s="120">
        <f t="shared" si="628"/>
        <v>216.5</v>
      </c>
      <c r="AJ240" s="122">
        <f>AVERAGE(AF240,AG240,AH240,AI240)</f>
        <v>214.5</v>
      </c>
      <c r="AK240" s="120">
        <f t="shared" ref="AK240:AN240" si="629">AVERAGE(AK235,AK239)</f>
        <v>218</v>
      </c>
      <c r="AL240" s="120">
        <f t="shared" si="629"/>
        <v>218.5</v>
      </c>
      <c r="AM240" s="120">
        <f t="shared" si="629"/>
        <v>242.5</v>
      </c>
      <c r="AN240" s="120">
        <f t="shared" si="629"/>
        <v>290</v>
      </c>
      <c r="AO240" s="119">
        <f>AVERAGE(AK240,AL240,AM240,AN240)</f>
        <v>242.25</v>
      </c>
      <c r="AP240" s="120">
        <f t="shared" ref="AP240:AS240" si="630">AVERAGE(AP235,AP239)</f>
        <v>293</v>
      </c>
      <c r="AQ240" s="120">
        <f t="shared" si="630"/>
        <v>294</v>
      </c>
      <c r="AR240" s="120">
        <f t="shared" si="630"/>
        <v>294</v>
      </c>
      <c r="AS240" s="120">
        <f t="shared" si="630"/>
        <v>294.5</v>
      </c>
      <c r="AT240" s="119">
        <f>AVERAGE(AP240,AQ240,AR240,AS240)</f>
        <v>293.875</v>
      </c>
      <c r="AU240" s="120">
        <f t="shared" ref="AU240:AX240" si="631">AVERAGE(AU235,AU239)</f>
        <v>296</v>
      </c>
      <c r="AV240" s="120">
        <f t="shared" si="631"/>
        <v>298.5</v>
      </c>
      <c r="AW240" s="120">
        <f t="shared" si="631"/>
        <v>302</v>
      </c>
      <c r="AX240" s="120">
        <f t="shared" si="631"/>
        <v>306</v>
      </c>
      <c r="AY240" s="119">
        <f>AVERAGE(AU240,AV240,AW240,AX240)</f>
        <v>300.625</v>
      </c>
      <c r="AZ240" s="120">
        <f t="shared" ref="AZ240:BC240" si="632">AVERAGE(AZ235,AZ239)</f>
        <v>307</v>
      </c>
      <c r="BA240" s="120">
        <f t="shared" si="632"/>
        <v>307</v>
      </c>
      <c r="BB240" s="120">
        <f t="shared" si="632"/>
        <v>309.5</v>
      </c>
      <c r="BC240" s="120">
        <f t="shared" si="632"/>
        <v>314.5</v>
      </c>
      <c r="BD240" s="119">
        <f>AVERAGE(AZ240,BA240,BB240,BC240)</f>
        <v>309.5</v>
      </c>
      <c r="BE240" s="120">
        <f t="shared" ref="BE240:BH240" si="633">AVERAGE(BE235,BE239)</f>
        <v>318</v>
      </c>
      <c r="BF240" s="120">
        <f t="shared" si="633"/>
        <v>319.5</v>
      </c>
      <c r="BG240" s="120">
        <f t="shared" si="633"/>
        <v>322</v>
      </c>
      <c r="BH240" s="120">
        <f t="shared" si="633"/>
        <v>327</v>
      </c>
      <c r="BI240" s="208">
        <f>AVERAGE(BE240,BF240,BG240,BH240)</f>
        <v>321.625</v>
      </c>
      <c r="BJ240" s="121">
        <f t="shared" ref="BJ240:BM240" si="634">AVERAGE(BJ235,BJ239)</f>
        <v>333.5</v>
      </c>
      <c r="BK240" s="121">
        <f t="shared" si="634"/>
        <v>338.5</v>
      </c>
      <c r="BL240" s="121">
        <f t="shared" si="634"/>
        <v>343.5</v>
      </c>
      <c r="BM240" s="121">
        <f t="shared" si="634"/>
        <v>349</v>
      </c>
      <c r="BN240" s="122">
        <f>AVERAGE(BJ240,BK240,BL240,BM240)</f>
        <v>341.125</v>
      </c>
      <c r="BO240" s="121">
        <f t="shared" ref="BO240:BR240" si="635">AVERAGE(BO235,BO239)</f>
        <v>354.375</v>
      </c>
      <c r="BP240" s="121">
        <f t="shared" si="635"/>
        <v>358.375</v>
      </c>
      <c r="BQ240" s="121">
        <f t="shared" si="635"/>
        <v>363.875</v>
      </c>
      <c r="BR240" s="121">
        <f t="shared" si="635"/>
        <v>369.375</v>
      </c>
      <c r="BS240" s="122">
        <f>AVERAGE(BO240,BP240,BQ240,BR240)</f>
        <v>361.5</v>
      </c>
      <c r="BT240" s="122">
        <f t="shared" ref="BT240:BV240" si="636">AVERAGE(BT235,BT239)</f>
        <v>378</v>
      </c>
      <c r="BU240" s="122">
        <f t="shared" si="636"/>
        <v>397</v>
      </c>
      <c r="BV240" s="122">
        <f t="shared" si="636"/>
        <v>416</v>
      </c>
      <c r="BW240" s="120"/>
    </row>
    <row r="241" spans="1:75" ht="15.75" customHeight="1" outlineLevel="1" x14ac:dyDescent="0.2">
      <c r="A241" s="117"/>
      <c r="B241" s="117"/>
      <c r="C241" s="122"/>
      <c r="D241" s="122"/>
      <c r="E241" s="122"/>
      <c r="F241" s="122"/>
      <c r="G241" s="121"/>
      <c r="H241" s="121"/>
      <c r="I241" s="121"/>
      <c r="J241" s="121"/>
      <c r="K241" s="122"/>
      <c r="L241" s="121"/>
      <c r="M241" s="121"/>
      <c r="N241" s="121"/>
      <c r="O241" s="121"/>
      <c r="P241" s="122"/>
      <c r="Q241" s="121"/>
      <c r="R241" s="121"/>
      <c r="S241" s="121"/>
      <c r="T241" s="121"/>
      <c r="U241" s="122"/>
      <c r="V241" s="121"/>
      <c r="W241" s="121"/>
      <c r="X241" s="121"/>
      <c r="Y241" s="121"/>
      <c r="Z241" s="122"/>
      <c r="AA241" s="121"/>
      <c r="AB241" s="121"/>
      <c r="AC241" s="121"/>
      <c r="AD241" s="121"/>
      <c r="AE241" s="122"/>
      <c r="AF241" s="121"/>
      <c r="AG241" s="121"/>
      <c r="AH241" s="121"/>
      <c r="AI241" s="121"/>
      <c r="AJ241" s="122"/>
      <c r="AK241" s="121"/>
      <c r="AL241" s="121"/>
      <c r="AM241" s="121"/>
      <c r="AN241" s="121"/>
      <c r="AO241" s="122"/>
      <c r="AP241" s="121"/>
      <c r="AQ241" s="121"/>
      <c r="AR241" s="121"/>
      <c r="AS241" s="121"/>
      <c r="AT241" s="122"/>
      <c r="AU241" s="121"/>
      <c r="AV241" s="121"/>
      <c r="AW241" s="121"/>
      <c r="AX241" s="121"/>
      <c r="AY241" s="122"/>
      <c r="AZ241" s="121"/>
      <c r="BA241" s="121"/>
      <c r="BB241" s="121"/>
      <c r="BC241" s="121"/>
      <c r="BD241" s="122"/>
      <c r="BE241" s="121"/>
      <c r="BF241" s="121"/>
      <c r="BG241" s="121"/>
      <c r="BH241" s="121"/>
      <c r="BI241" s="123"/>
      <c r="BJ241" s="121"/>
      <c r="BK241" s="121"/>
      <c r="BL241" s="121"/>
      <c r="BM241" s="121"/>
      <c r="BN241" s="122"/>
      <c r="BO241" s="121"/>
      <c r="BP241" s="121"/>
      <c r="BQ241" s="121"/>
      <c r="BR241" s="121"/>
      <c r="BS241" s="122"/>
      <c r="BT241" s="122"/>
      <c r="BU241" s="122"/>
      <c r="BV241" s="122"/>
      <c r="BW241" s="120"/>
    </row>
    <row r="242" spans="1:75" ht="15.75" customHeight="1" outlineLevel="1" x14ac:dyDescent="0.2">
      <c r="A242" s="116" t="s">
        <v>610</v>
      </c>
      <c r="B242" s="117"/>
      <c r="C242" s="122"/>
      <c r="D242" s="122"/>
      <c r="E242" s="122"/>
      <c r="F242" s="122"/>
      <c r="G242" s="121"/>
      <c r="H242" s="121"/>
      <c r="I242" s="121"/>
      <c r="J242" s="121"/>
      <c r="K242" s="122"/>
      <c r="L242" s="121"/>
      <c r="M242" s="121"/>
      <c r="N242" s="121"/>
      <c r="O242" s="121"/>
      <c r="P242" s="119">
        <f>P235+K209</f>
        <v>180</v>
      </c>
      <c r="Q242" s="120">
        <f>Q235+O209</f>
        <v>189</v>
      </c>
      <c r="R242" s="120">
        <f t="shared" ref="R242:T242" si="637">R235+Q209</f>
        <v>198</v>
      </c>
      <c r="S242" s="120">
        <f t="shared" si="637"/>
        <v>201</v>
      </c>
      <c r="T242" s="120">
        <f t="shared" si="637"/>
        <v>203</v>
      </c>
      <c r="U242" s="119">
        <f>U235+P209</f>
        <v>197</v>
      </c>
      <c r="V242" s="120">
        <f>V235+T209</f>
        <v>211</v>
      </c>
      <c r="W242" s="120">
        <f t="shared" ref="W242:Y242" si="638">W235+V209</f>
        <v>212</v>
      </c>
      <c r="X242" s="120">
        <f t="shared" si="638"/>
        <v>214</v>
      </c>
      <c r="Y242" s="120">
        <f t="shared" si="638"/>
        <v>215</v>
      </c>
      <c r="Z242" s="119">
        <f>Z235+U209</f>
        <v>211</v>
      </c>
      <c r="AA242" s="120">
        <f>AA235+Y209</f>
        <v>223</v>
      </c>
      <c r="AB242" s="120">
        <f t="shared" ref="AB242:AD242" si="639">AB235+AA209</f>
        <v>224</v>
      </c>
      <c r="AC242" s="120">
        <f t="shared" si="639"/>
        <v>223</v>
      </c>
      <c r="AD242" s="120">
        <f t="shared" si="639"/>
        <v>226</v>
      </c>
      <c r="AE242" s="119">
        <f>AE235+Z209</f>
        <v>223</v>
      </c>
      <c r="AF242" s="120">
        <f>AF235+AD209</f>
        <v>234</v>
      </c>
      <c r="AG242" s="120">
        <f t="shared" ref="AG242:AI242" si="640">AG235+AF209</f>
        <v>235</v>
      </c>
      <c r="AH242" s="120">
        <f t="shared" si="640"/>
        <v>234</v>
      </c>
      <c r="AI242" s="120">
        <f t="shared" si="640"/>
        <v>236</v>
      </c>
      <c r="AJ242" s="119">
        <f>AJ235+AE209</f>
        <v>234</v>
      </c>
      <c r="AK242" s="120">
        <f>AK235+AI209</f>
        <v>239</v>
      </c>
      <c r="AL242" s="120">
        <f t="shared" ref="AL242:AN242" si="641">AL235+AK209</f>
        <v>238</v>
      </c>
      <c r="AM242" s="120">
        <f t="shared" si="641"/>
        <v>240</v>
      </c>
      <c r="AN242" s="120">
        <f t="shared" si="641"/>
        <v>311</v>
      </c>
      <c r="AO242" s="119">
        <f>AO235+AJ209</f>
        <v>239</v>
      </c>
      <c r="AP242" s="120">
        <f>AP235+AN209</f>
        <v>318</v>
      </c>
      <c r="AQ242" s="120">
        <f t="shared" ref="AQ242:AS242" si="642">AQ235+AP209</f>
        <v>320</v>
      </c>
      <c r="AR242" s="120">
        <f t="shared" si="642"/>
        <v>320</v>
      </c>
      <c r="AS242" s="120">
        <f t="shared" si="642"/>
        <v>320</v>
      </c>
      <c r="AT242" s="119">
        <f>AT235+AO209</f>
        <v>318</v>
      </c>
      <c r="AU242" s="120">
        <f>AU235+AS209</f>
        <v>322</v>
      </c>
      <c r="AV242" s="120">
        <f t="shared" ref="AV242:AX242" si="643">AV235+AU209</f>
        <v>324</v>
      </c>
      <c r="AW242" s="120">
        <f t="shared" si="643"/>
        <v>328</v>
      </c>
      <c r="AX242" s="120">
        <f t="shared" si="643"/>
        <v>333</v>
      </c>
      <c r="AY242" s="119">
        <f>AY235+AT209</f>
        <v>322</v>
      </c>
      <c r="AZ242" s="120">
        <f>AZ235+AX209</f>
        <v>337</v>
      </c>
      <c r="BA242" s="120">
        <f t="shared" ref="BA242:BC242" si="644">BA235+AZ209</f>
        <v>335</v>
      </c>
      <c r="BB242" s="120">
        <f t="shared" si="644"/>
        <v>337</v>
      </c>
      <c r="BC242" s="120">
        <f t="shared" si="644"/>
        <v>340</v>
      </c>
      <c r="BD242" s="119">
        <f>BD235+AY209</f>
        <v>337</v>
      </c>
      <c r="BE242" s="120">
        <f>BE235+BC209</f>
        <v>348</v>
      </c>
      <c r="BF242" s="120">
        <f t="shared" ref="BF242:BH242" si="645">BF235+BE209</f>
        <v>348</v>
      </c>
      <c r="BG242" s="120">
        <f t="shared" si="645"/>
        <v>351</v>
      </c>
      <c r="BH242" s="120">
        <f t="shared" si="645"/>
        <v>353</v>
      </c>
      <c r="BI242" s="208">
        <f>BI235+BD209</f>
        <v>348</v>
      </c>
      <c r="BJ242" s="121">
        <f>BJ235+BH209</f>
        <v>363</v>
      </c>
      <c r="BK242" s="121">
        <f t="shared" ref="BK242:BM242" si="646">BK235+BJ209</f>
        <v>369</v>
      </c>
      <c r="BL242" s="121">
        <f t="shared" si="646"/>
        <v>374</v>
      </c>
      <c r="BM242" s="121">
        <f t="shared" si="646"/>
        <v>379</v>
      </c>
      <c r="BN242" s="122">
        <f>BN235+BI209</f>
        <v>363.875</v>
      </c>
      <c r="BO242" s="121">
        <f>BO235+BM209</f>
        <v>385.875</v>
      </c>
      <c r="BP242" s="121">
        <f t="shared" ref="BP242:BR242" si="647">BP235+BO209</f>
        <v>388.875</v>
      </c>
      <c r="BQ242" s="121">
        <f t="shared" si="647"/>
        <v>393.875</v>
      </c>
      <c r="BR242" s="121">
        <f t="shared" si="647"/>
        <v>399.875</v>
      </c>
      <c r="BS242" s="122">
        <f>BS235+BN209</f>
        <v>382.5</v>
      </c>
      <c r="BT242" s="122">
        <f t="shared" ref="BT242:BV242" si="648">BT235+BS209</f>
        <v>401.5</v>
      </c>
      <c r="BU242" s="122">
        <f t="shared" si="648"/>
        <v>420.5</v>
      </c>
      <c r="BV242" s="122">
        <f t="shared" si="648"/>
        <v>439.5</v>
      </c>
      <c r="BW242" s="120"/>
    </row>
    <row r="243" spans="1:75" ht="15.75" customHeight="1" outlineLevel="1" x14ac:dyDescent="0.2">
      <c r="A243" s="132" t="s">
        <v>611</v>
      </c>
      <c r="B243" s="133"/>
      <c r="C243" s="138"/>
      <c r="D243" s="138"/>
      <c r="E243" s="138"/>
      <c r="F243" s="138"/>
      <c r="G243" s="174"/>
      <c r="H243" s="174"/>
      <c r="I243" s="174"/>
      <c r="J243" s="174"/>
      <c r="K243" s="138"/>
      <c r="L243" s="174"/>
      <c r="M243" s="174"/>
      <c r="N243" s="174"/>
      <c r="O243" s="174"/>
      <c r="P243" s="138">
        <f t="shared" ref="P243:BV243" si="649">P238+P210</f>
        <v>17</v>
      </c>
      <c r="Q243" s="135">
        <f t="shared" si="649"/>
        <v>9</v>
      </c>
      <c r="R243" s="135">
        <f t="shared" si="649"/>
        <v>3</v>
      </c>
      <c r="S243" s="135">
        <f t="shared" si="649"/>
        <v>2</v>
      </c>
      <c r="T243" s="135">
        <f t="shared" si="649"/>
        <v>8</v>
      </c>
      <c r="U243" s="138">
        <f t="shared" si="649"/>
        <v>14</v>
      </c>
      <c r="V243" s="135">
        <f t="shared" si="649"/>
        <v>1</v>
      </c>
      <c r="W243" s="135">
        <f t="shared" si="649"/>
        <v>2</v>
      </c>
      <c r="X243" s="135">
        <f t="shared" si="649"/>
        <v>1</v>
      </c>
      <c r="Y243" s="135">
        <f t="shared" si="649"/>
        <v>8</v>
      </c>
      <c r="Z243" s="138">
        <f t="shared" si="649"/>
        <v>12</v>
      </c>
      <c r="AA243" s="135">
        <f t="shared" si="649"/>
        <v>1</v>
      </c>
      <c r="AB243" s="135">
        <f t="shared" si="649"/>
        <v>-1</v>
      </c>
      <c r="AC243" s="135">
        <f t="shared" si="649"/>
        <v>3</v>
      </c>
      <c r="AD243" s="135">
        <f t="shared" si="649"/>
        <v>8</v>
      </c>
      <c r="AE243" s="138">
        <f t="shared" si="649"/>
        <v>11</v>
      </c>
      <c r="AF243" s="135">
        <f t="shared" si="649"/>
        <v>1</v>
      </c>
      <c r="AG243" s="135">
        <f t="shared" si="649"/>
        <v>-1</v>
      </c>
      <c r="AH243" s="135">
        <f t="shared" si="649"/>
        <v>2</v>
      </c>
      <c r="AI243" s="135">
        <f t="shared" si="649"/>
        <v>3</v>
      </c>
      <c r="AJ243" s="138">
        <f t="shared" si="649"/>
        <v>5</v>
      </c>
      <c r="AK243" s="135">
        <f t="shared" si="649"/>
        <v>-1</v>
      </c>
      <c r="AL243" s="135">
        <f t="shared" si="649"/>
        <v>2</v>
      </c>
      <c r="AM243" s="135">
        <f t="shared" si="649"/>
        <v>49</v>
      </c>
      <c r="AN243" s="135">
        <f t="shared" si="649"/>
        <v>7</v>
      </c>
      <c r="AO243" s="134">
        <f t="shared" si="649"/>
        <v>79</v>
      </c>
      <c r="AP243" s="135">
        <f t="shared" si="649"/>
        <v>2</v>
      </c>
      <c r="AQ243" s="135">
        <f t="shared" si="649"/>
        <v>0</v>
      </c>
      <c r="AR243" s="135">
        <f t="shared" si="649"/>
        <v>0</v>
      </c>
      <c r="AS243" s="135">
        <f t="shared" si="649"/>
        <v>2</v>
      </c>
      <c r="AT243" s="134">
        <f t="shared" si="649"/>
        <v>4</v>
      </c>
      <c r="AU243" s="135">
        <f t="shared" si="649"/>
        <v>2</v>
      </c>
      <c r="AV243" s="135">
        <f t="shared" si="649"/>
        <v>4</v>
      </c>
      <c r="AW243" s="131">
        <f t="shared" si="649"/>
        <v>5</v>
      </c>
      <c r="AX243" s="135">
        <f t="shared" si="649"/>
        <v>4</v>
      </c>
      <c r="AY243" s="134">
        <f t="shared" si="649"/>
        <v>15</v>
      </c>
      <c r="AZ243" s="135">
        <f t="shared" si="649"/>
        <v>-2</v>
      </c>
      <c r="BA243" s="135">
        <f t="shared" si="649"/>
        <v>2</v>
      </c>
      <c r="BB243" s="131">
        <f t="shared" si="649"/>
        <v>3</v>
      </c>
      <c r="BC243" s="135">
        <f t="shared" si="649"/>
        <v>8</v>
      </c>
      <c r="BD243" s="134">
        <f t="shared" si="649"/>
        <v>11</v>
      </c>
      <c r="BE243" s="135">
        <f t="shared" si="649"/>
        <v>0</v>
      </c>
      <c r="BF243" s="135">
        <f t="shared" si="649"/>
        <v>3</v>
      </c>
      <c r="BG243" s="131">
        <f t="shared" si="649"/>
        <v>2</v>
      </c>
      <c r="BH243" s="135">
        <f t="shared" si="649"/>
        <v>10</v>
      </c>
      <c r="BI243" s="136">
        <f t="shared" si="649"/>
        <v>15</v>
      </c>
      <c r="BJ243" s="174">
        <f t="shared" si="649"/>
        <v>6</v>
      </c>
      <c r="BK243" s="174">
        <f t="shared" si="649"/>
        <v>5</v>
      </c>
      <c r="BL243" s="174">
        <f t="shared" si="649"/>
        <v>5</v>
      </c>
      <c r="BM243" s="174">
        <f t="shared" si="649"/>
        <v>6</v>
      </c>
      <c r="BN243" s="138">
        <f t="shared" si="649"/>
        <v>22</v>
      </c>
      <c r="BO243" s="174">
        <f t="shared" si="649"/>
        <v>3</v>
      </c>
      <c r="BP243" s="174">
        <f t="shared" si="649"/>
        <v>5</v>
      </c>
      <c r="BQ243" s="174">
        <f t="shared" si="649"/>
        <v>6</v>
      </c>
      <c r="BR243" s="174">
        <f t="shared" si="649"/>
        <v>5</v>
      </c>
      <c r="BS243" s="138">
        <f t="shared" si="649"/>
        <v>19</v>
      </c>
      <c r="BT243" s="138">
        <f t="shared" si="649"/>
        <v>19</v>
      </c>
      <c r="BU243" s="138">
        <f t="shared" si="649"/>
        <v>19</v>
      </c>
      <c r="BV243" s="138">
        <f t="shared" si="649"/>
        <v>19</v>
      </c>
      <c r="BW243" s="131"/>
    </row>
    <row r="244" spans="1:75" ht="15.75" customHeight="1" outlineLevel="1" x14ac:dyDescent="0.2">
      <c r="A244" s="116" t="s">
        <v>612</v>
      </c>
      <c r="B244" s="117"/>
      <c r="C244" s="122"/>
      <c r="D244" s="122"/>
      <c r="E244" s="122"/>
      <c r="F244" s="122"/>
      <c r="G244" s="121"/>
      <c r="H244" s="121"/>
      <c r="I244" s="121"/>
      <c r="J244" s="121"/>
      <c r="K244" s="122"/>
      <c r="L244" s="121"/>
      <c r="M244" s="121"/>
      <c r="N244" s="121"/>
      <c r="O244" s="121"/>
      <c r="P244" s="122">
        <f t="shared" ref="P244:BV244" si="650">P239+P209</f>
        <v>197</v>
      </c>
      <c r="Q244" s="120">
        <f t="shared" si="650"/>
        <v>198</v>
      </c>
      <c r="R244" s="120">
        <f t="shared" si="650"/>
        <v>201</v>
      </c>
      <c r="S244" s="120">
        <f t="shared" si="650"/>
        <v>203</v>
      </c>
      <c r="T244" s="120">
        <f t="shared" si="650"/>
        <v>211</v>
      </c>
      <c r="U244" s="122">
        <f t="shared" si="650"/>
        <v>211</v>
      </c>
      <c r="V244" s="120">
        <f t="shared" si="650"/>
        <v>212</v>
      </c>
      <c r="W244" s="120">
        <f t="shared" si="650"/>
        <v>214</v>
      </c>
      <c r="X244" s="120">
        <f t="shared" si="650"/>
        <v>215</v>
      </c>
      <c r="Y244" s="120">
        <f t="shared" si="650"/>
        <v>223</v>
      </c>
      <c r="Z244" s="122">
        <f t="shared" si="650"/>
        <v>223</v>
      </c>
      <c r="AA244" s="120">
        <f t="shared" si="650"/>
        <v>224</v>
      </c>
      <c r="AB244" s="120">
        <f t="shared" si="650"/>
        <v>223</v>
      </c>
      <c r="AC244" s="120">
        <f t="shared" si="650"/>
        <v>226</v>
      </c>
      <c r="AD244" s="120">
        <f t="shared" si="650"/>
        <v>234</v>
      </c>
      <c r="AE244" s="122">
        <f t="shared" si="650"/>
        <v>234</v>
      </c>
      <c r="AF244" s="120">
        <f t="shared" si="650"/>
        <v>235</v>
      </c>
      <c r="AG244" s="120">
        <f t="shared" si="650"/>
        <v>234</v>
      </c>
      <c r="AH244" s="120">
        <f t="shared" si="650"/>
        <v>236</v>
      </c>
      <c r="AI244" s="120">
        <f t="shared" si="650"/>
        <v>239</v>
      </c>
      <c r="AJ244" s="122">
        <f t="shared" si="650"/>
        <v>239</v>
      </c>
      <c r="AK244" s="120">
        <f t="shared" si="650"/>
        <v>238</v>
      </c>
      <c r="AL244" s="120">
        <f t="shared" si="650"/>
        <v>240</v>
      </c>
      <c r="AM244" s="120">
        <f t="shared" si="650"/>
        <v>289</v>
      </c>
      <c r="AN244" s="120">
        <f t="shared" si="650"/>
        <v>318</v>
      </c>
      <c r="AO244" s="119">
        <f t="shared" si="650"/>
        <v>318</v>
      </c>
      <c r="AP244" s="120">
        <f t="shared" si="650"/>
        <v>320</v>
      </c>
      <c r="AQ244" s="120">
        <f t="shared" si="650"/>
        <v>320</v>
      </c>
      <c r="AR244" s="120">
        <f t="shared" si="650"/>
        <v>320</v>
      </c>
      <c r="AS244" s="120">
        <f t="shared" si="650"/>
        <v>322</v>
      </c>
      <c r="AT244" s="119">
        <f t="shared" si="650"/>
        <v>322</v>
      </c>
      <c r="AU244" s="120">
        <f t="shared" si="650"/>
        <v>324</v>
      </c>
      <c r="AV244" s="120">
        <f t="shared" si="650"/>
        <v>328</v>
      </c>
      <c r="AW244" s="144">
        <f t="shared" si="650"/>
        <v>333</v>
      </c>
      <c r="AX244" s="120">
        <f t="shared" si="650"/>
        <v>337</v>
      </c>
      <c r="AY244" s="119">
        <f t="shared" si="650"/>
        <v>337</v>
      </c>
      <c r="AZ244" s="120">
        <f t="shared" si="650"/>
        <v>335</v>
      </c>
      <c r="BA244" s="120">
        <f t="shared" si="650"/>
        <v>337</v>
      </c>
      <c r="BB244" s="144">
        <f t="shared" si="650"/>
        <v>340</v>
      </c>
      <c r="BC244" s="120">
        <f t="shared" si="650"/>
        <v>348</v>
      </c>
      <c r="BD244" s="119">
        <f t="shared" si="650"/>
        <v>348</v>
      </c>
      <c r="BE244" s="120">
        <f t="shared" si="650"/>
        <v>348</v>
      </c>
      <c r="BF244" s="120">
        <f t="shared" si="650"/>
        <v>351</v>
      </c>
      <c r="BG244" s="144">
        <f t="shared" si="650"/>
        <v>353</v>
      </c>
      <c r="BH244" s="120">
        <f t="shared" si="650"/>
        <v>363</v>
      </c>
      <c r="BI244" s="208">
        <f t="shared" si="650"/>
        <v>363</v>
      </c>
      <c r="BJ244" s="121">
        <f t="shared" si="650"/>
        <v>369</v>
      </c>
      <c r="BK244" s="121">
        <f t="shared" si="650"/>
        <v>374</v>
      </c>
      <c r="BL244" s="121">
        <f t="shared" si="650"/>
        <v>379</v>
      </c>
      <c r="BM244" s="121">
        <f t="shared" si="650"/>
        <v>385</v>
      </c>
      <c r="BN244" s="122">
        <f t="shared" si="650"/>
        <v>385.875</v>
      </c>
      <c r="BO244" s="121">
        <f t="shared" si="650"/>
        <v>388.875</v>
      </c>
      <c r="BP244" s="121">
        <f t="shared" si="650"/>
        <v>393.875</v>
      </c>
      <c r="BQ244" s="121">
        <f t="shared" si="650"/>
        <v>399.875</v>
      </c>
      <c r="BR244" s="121">
        <f t="shared" si="650"/>
        <v>404.875</v>
      </c>
      <c r="BS244" s="122">
        <f t="shared" si="650"/>
        <v>401.5</v>
      </c>
      <c r="BT244" s="122">
        <f t="shared" si="650"/>
        <v>420.5</v>
      </c>
      <c r="BU244" s="122">
        <f t="shared" si="650"/>
        <v>439.5</v>
      </c>
      <c r="BV244" s="122">
        <f t="shared" si="650"/>
        <v>458.5</v>
      </c>
      <c r="BW244" s="120"/>
    </row>
    <row r="245" spans="1:75" ht="15.75" customHeight="1" outlineLevel="1" x14ac:dyDescent="0.2">
      <c r="A245" s="116" t="s">
        <v>613</v>
      </c>
      <c r="B245" s="117"/>
      <c r="C245" s="122"/>
      <c r="D245" s="122"/>
      <c r="E245" s="122"/>
      <c r="F245" s="122"/>
      <c r="G245" s="121"/>
      <c r="H245" s="121"/>
      <c r="I245" s="121"/>
      <c r="J245" s="121"/>
      <c r="K245" s="122"/>
      <c r="L245" s="121"/>
      <c r="M245" s="121"/>
      <c r="N245" s="121"/>
      <c r="O245" s="121"/>
      <c r="P245" s="122">
        <f t="shared" ref="P245:BV245" si="651">AVERAGE(P244,P242)</f>
        <v>188.5</v>
      </c>
      <c r="Q245" s="120">
        <f t="shared" si="651"/>
        <v>193.5</v>
      </c>
      <c r="R245" s="120">
        <f t="shared" si="651"/>
        <v>199.5</v>
      </c>
      <c r="S245" s="120">
        <f t="shared" si="651"/>
        <v>202</v>
      </c>
      <c r="T245" s="120">
        <f t="shared" si="651"/>
        <v>207</v>
      </c>
      <c r="U245" s="122">
        <f t="shared" si="651"/>
        <v>204</v>
      </c>
      <c r="V245" s="120">
        <f t="shared" si="651"/>
        <v>211.5</v>
      </c>
      <c r="W245" s="120">
        <f t="shared" si="651"/>
        <v>213</v>
      </c>
      <c r="X245" s="120">
        <f t="shared" si="651"/>
        <v>214.5</v>
      </c>
      <c r="Y245" s="120">
        <f t="shared" si="651"/>
        <v>219</v>
      </c>
      <c r="Z245" s="122">
        <f t="shared" si="651"/>
        <v>217</v>
      </c>
      <c r="AA245" s="120">
        <f t="shared" si="651"/>
        <v>223.5</v>
      </c>
      <c r="AB245" s="120">
        <f t="shared" si="651"/>
        <v>223.5</v>
      </c>
      <c r="AC245" s="120">
        <f t="shared" si="651"/>
        <v>224.5</v>
      </c>
      <c r="AD245" s="120">
        <f t="shared" si="651"/>
        <v>230</v>
      </c>
      <c r="AE245" s="122">
        <f t="shared" si="651"/>
        <v>228.5</v>
      </c>
      <c r="AF245" s="120">
        <f t="shared" si="651"/>
        <v>234.5</v>
      </c>
      <c r="AG245" s="120">
        <f t="shared" si="651"/>
        <v>234.5</v>
      </c>
      <c r="AH245" s="120">
        <f t="shared" si="651"/>
        <v>235</v>
      </c>
      <c r="AI245" s="120">
        <f t="shared" si="651"/>
        <v>237.5</v>
      </c>
      <c r="AJ245" s="122">
        <f t="shared" si="651"/>
        <v>236.5</v>
      </c>
      <c r="AK245" s="120">
        <f t="shared" si="651"/>
        <v>238.5</v>
      </c>
      <c r="AL245" s="120">
        <f t="shared" si="651"/>
        <v>239</v>
      </c>
      <c r="AM245" s="120">
        <f t="shared" si="651"/>
        <v>264.5</v>
      </c>
      <c r="AN245" s="120">
        <f t="shared" si="651"/>
        <v>314.5</v>
      </c>
      <c r="AO245" s="119">
        <f t="shared" si="651"/>
        <v>278.5</v>
      </c>
      <c r="AP245" s="120">
        <f t="shared" si="651"/>
        <v>319</v>
      </c>
      <c r="AQ245" s="120">
        <f t="shared" si="651"/>
        <v>320</v>
      </c>
      <c r="AR245" s="120">
        <f t="shared" si="651"/>
        <v>320</v>
      </c>
      <c r="AS245" s="120">
        <f t="shared" si="651"/>
        <v>321</v>
      </c>
      <c r="AT245" s="119">
        <f t="shared" si="651"/>
        <v>320</v>
      </c>
      <c r="AU245" s="120">
        <f t="shared" si="651"/>
        <v>323</v>
      </c>
      <c r="AV245" s="120">
        <f t="shared" si="651"/>
        <v>326</v>
      </c>
      <c r="AW245" s="120">
        <f t="shared" si="651"/>
        <v>330.5</v>
      </c>
      <c r="AX245" s="120">
        <f t="shared" si="651"/>
        <v>335</v>
      </c>
      <c r="AY245" s="119">
        <f t="shared" si="651"/>
        <v>329.5</v>
      </c>
      <c r="AZ245" s="120">
        <f t="shared" si="651"/>
        <v>336</v>
      </c>
      <c r="BA245" s="120">
        <f t="shared" si="651"/>
        <v>336</v>
      </c>
      <c r="BB245" s="120">
        <f t="shared" si="651"/>
        <v>338.5</v>
      </c>
      <c r="BC245" s="120">
        <f t="shared" si="651"/>
        <v>344</v>
      </c>
      <c r="BD245" s="119">
        <f t="shared" si="651"/>
        <v>342.5</v>
      </c>
      <c r="BE245" s="120">
        <f t="shared" si="651"/>
        <v>348</v>
      </c>
      <c r="BF245" s="120">
        <f t="shared" si="651"/>
        <v>349.5</v>
      </c>
      <c r="BG245" s="120">
        <f t="shared" si="651"/>
        <v>352</v>
      </c>
      <c r="BH245" s="120">
        <f t="shared" si="651"/>
        <v>358</v>
      </c>
      <c r="BI245" s="208">
        <f t="shared" si="651"/>
        <v>355.5</v>
      </c>
      <c r="BJ245" s="121">
        <f t="shared" si="651"/>
        <v>366</v>
      </c>
      <c r="BK245" s="121">
        <f t="shared" si="651"/>
        <v>371.5</v>
      </c>
      <c r="BL245" s="121">
        <f t="shared" si="651"/>
        <v>376.5</v>
      </c>
      <c r="BM245" s="121">
        <f t="shared" si="651"/>
        <v>382</v>
      </c>
      <c r="BN245" s="122">
        <f t="shared" si="651"/>
        <v>374.875</v>
      </c>
      <c r="BO245" s="121">
        <f t="shared" si="651"/>
        <v>387.375</v>
      </c>
      <c r="BP245" s="121">
        <f t="shared" si="651"/>
        <v>391.375</v>
      </c>
      <c r="BQ245" s="121">
        <f t="shared" si="651"/>
        <v>396.875</v>
      </c>
      <c r="BR245" s="121">
        <f t="shared" si="651"/>
        <v>402.375</v>
      </c>
      <c r="BS245" s="122">
        <f t="shared" si="651"/>
        <v>392</v>
      </c>
      <c r="BT245" s="122">
        <f t="shared" si="651"/>
        <v>411</v>
      </c>
      <c r="BU245" s="122">
        <f t="shared" si="651"/>
        <v>430</v>
      </c>
      <c r="BV245" s="122">
        <f t="shared" si="651"/>
        <v>449</v>
      </c>
      <c r="BW245" s="120"/>
    </row>
    <row r="246" spans="1:75" ht="15.75" customHeight="1" x14ac:dyDescent="0.2">
      <c r="A246" s="47"/>
      <c r="B246" s="39"/>
      <c r="C246" s="40"/>
      <c r="D246" s="40"/>
      <c r="E246" s="40"/>
      <c r="F246" s="40"/>
      <c r="G246" s="41"/>
      <c r="H246" s="41"/>
      <c r="I246" s="41"/>
      <c r="J246" s="41"/>
      <c r="K246" s="40"/>
      <c r="L246" s="41"/>
      <c r="M246" s="41"/>
      <c r="N246" s="41"/>
      <c r="O246" s="41"/>
      <c r="P246" s="40"/>
      <c r="Q246" s="41"/>
      <c r="R246" s="41"/>
      <c r="S246" s="41"/>
      <c r="T246" s="41"/>
      <c r="U246" s="40"/>
      <c r="V246" s="41"/>
      <c r="W246" s="41"/>
      <c r="X246" s="41"/>
      <c r="Y246" s="41"/>
      <c r="Z246" s="40"/>
      <c r="AA246" s="41"/>
      <c r="AB246" s="41"/>
      <c r="AC246" s="41"/>
      <c r="AD246" s="41"/>
      <c r="AE246" s="40"/>
      <c r="AF246" s="41"/>
      <c r="AG246" s="41"/>
      <c r="AH246" s="41"/>
      <c r="AI246" s="41"/>
      <c r="AJ246" s="40"/>
      <c r="AK246" s="41"/>
      <c r="AL246" s="41"/>
      <c r="AM246" s="41"/>
      <c r="AN246" s="41"/>
      <c r="AO246" s="40"/>
      <c r="AP246" s="41"/>
      <c r="AQ246" s="41"/>
      <c r="AR246" s="41"/>
      <c r="AS246" s="41"/>
      <c r="AT246" s="40"/>
      <c r="AU246" s="41"/>
      <c r="AV246" s="41"/>
      <c r="AW246" s="41"/>
      <c r="AX246" s="41"/>
      <c r="AY246" s="40"/>
      <c r="AZ246" s="41"/>
      <c r="BA246" s="41"/>
      <c r="BB246" s="41"/>
      <c r="BC246" s="41"/>
      <c r="BD246" s="40"/>
      <c r="BE246" s="41"/>
      <c r="BF246" s="41"/>
      <c r="BG246" s="41"/>
      <c r="BH246" s="41"/>
      <c r="BI246" s="46"/>
      <c r="BJ246" s="41"/>
      <c r="BK246" s="41"/>
      <c r="BL246" s="41"/>
      <c r="BM246" s="41"/>
      <c r="BN246" s="40"/>
      <c r="BO246" s="41"/>
      <c r="BP246" s="41"/>
      <c r="BQ246" s="41"/>
      <c r="BR246" s="41"/>
      <c r="BS246" s="40"/>
      <c r="BT246" s="40"/>
      <c r="BU246" s="40"/>
      <c r="BV246" s="40"/>
      <c r="BW246" s="45"/>
    </row>
    <row r="247" spans="1:75" ht="15.75" customHeight="1" x14ac:dyDescent="0.2">
      <c r="A247" s="81" t="s">
        <v>614</v>
      </c>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2"/>
      <c r="BJ247" s="81"/>
      <c r="BK247" s="81"/>
      <c r="BL247" s="81"/>
      <c r="BM247" s="81"/>
      <c r="BN247" s="81"/>
      <c r="BO247" s="81"/>
      <c r="BP247" s="81"/>
      <c r="BQ247" s="81"/>
      <c r="BR247" s="81"/>
      <c r="BS247" s="81"/>
      <c r="BT247" s="81"/>
      <c r="BU247" s="81"/>
      <c r="BV247" s="81"/>
      <c r="BW247" s="83"/>
    </row>
    <row r="248" spans="1:75" ht="15.75" customHeight="1" outlineLevel="1" x14ac:dyDescent="0.2">
      <c r="A248" s="38" t="s">
        <v>269</v>
      </c>
      <c r="B248" s="39"/>
      <c r="C248" s="40"/>
      <c r="D248" s="40"/>
      <c r="E248" s="40"/>
      <c r="F248" s="40"/>
      <c r="G248" s="41"/>
      <c r="H248" s="41"/>
      <c r="I248" s="41"/>
      <c r="J248" s="41"/>
      <c r="K248" s="40"/>
      <c r="L248" s="41"/>
      <c r="M248" s="41"/>
      <c r="N248" s="41"/>
      <c r="O248" s="41"/>
      <c r="P248" s="40"/>
      <c r="Q248" s="41"/>
      <c r="R248" s="41"/>
      <c r="S248" s="41"/>
      <c r="T248" s="41"/>
      <c r="U248" s="49">
        <v>0.09</v>
      </c>
      <c r="V248" s="41"/>
      <c r="W248" s="41"/>
      <c r="X248" s="41"/>
      <c r="Y248" s="41"/>
      <c r="Z248" s="49">
        <v>0.11</v>
      </c>
      <c r="AA248" s="41"/>
      <c r="AB248" s="41"/>
      <c r="AC248" s="41"/>
      <c r="AD248" s="41"/>
      <c r="AE248" s="49">
        <v>0.12</v>
      </c>
      <c r="AF248" s="41"/>
      <c r="AG248" s="41"/>
      <c r="AH248" s="48">
        <v>0.13500000000000001</v>
      </c>
      <c r="AI248" s="48">
        <v>0.15</v>
      </c>
      <c r="AJ248" s="49">
        <v>0.14000000000000001</v>
      </c>
      <c r="AK248" s="48">
        <v>0.16</v>
      </c>
      <c r="AL248" s="48">
        <v>0.16</v>
      </c>
      <c r="AM248" s="48">
        <v>0.16</v>
      </c>
      <c r="AN248" s="48">
        <v>0.17</v>
      </c>
      <c r="AO248" s="49">
        <v>0.16</v>
      </c>
      <c r="AP248" s="48">
        <v>0.22</v>
      </c>
      <c r="AQ248" s="48">
        <v>0.79</v>
      </c>
      <c r="AR248" s="48">
        <v>0.45</v>
      </c>
      <c r="AS248" s="41">
        <f>(AT248*AT26-SUM(AP26*AP248,AQ26*AQ248,AR26*AR248))/AS26</f>
        <v>0.44700115169276011</v>
      </c>
      <c r="AT248" s="49">
        <v>0.43</v>
      </c>
      <c r="AU248" s="48">
        <v>0.43</v>
      </c>
      <c r="AV248" s="48">
        <v>0.31</v>
      </c>
      <c r="AW248" s="48">
        <v>0.28000000000000003</v>
      </c>
      <c r="AX248" s="41">
        <f>(AY248*AY26-SUM(AU26*AU248,AV26*AV248,AW26*AW248))/AX26</f>
        <v>0.27767893842816044</v>
      </c>
      <c r="AY248" s="49">
        <v>0.32</v>
      </c>
      <c r="AZ248" s="48">
        <v>0.28000000000000003</v>
      </c>
      <c r="BA248" s="48">
        <v>0.25</v>
      </c>
      <c r="BB248" s="48">
        <v>0.23</v>
      </c>
      <c r="BC248" s="41">
        <f>(BD248*BD26-SUM(AZ26*AZ248,BA26*BA248,BB26*BB248))/BC26</f>
        <v>0.24075352834163863</v>
      </c>
      <c r="BD248" s="49">
        <v>0.25</v>
      </c>
      <c r="BE248" s="48">
        <v>0.23</v>
      </c>
      <c r="BF248" s="48">
        <v>0.22</v>
      </c>
      <c r="BG248" s="48">
        <v>0.21</v>
      </c>
      <c r="BH248" s="48">
        <v>0.22</v>
      </c>
      <c r="BI248" s="71">
        <v>0.22</v>
      </c>
      <c r="BJ248" s="41"/>
      <c r="BK248" s="41"/>
      <c r="BL248" s="41"/>
      <c r="BM248" s="41"/>
      <c r="BN248" s="40"/>
      <c r="BO248" s="41"/>
      <c r="BP248" s="41"/>
      <c r="BQ248" s="41"/>
      <c r="BR248" s="41"/>
      <c r="BS248" s="40"/>
      <c r="BT248" s="40"/>
      <c r="BU248" s="40"/>
      <c r="BV248" s="40"/>
      <c r="BW248" s="45"/>
    </row>
    <row r="249" spans="1:75" ht="15.75" customHeight="1" outlineLevel="1" x14ac:dyDescent="0.2">
      <c r="A249" s="38" t="s">
        <v>270</v>
      </c>
      <c r="B249" s="39"/>
      <c r="C249" s="40"/>
      <c r="D249" s="40"/>
      <c r="E249" s="40"/>
      <c r="F249" s="40"/>
      <c r="G249" s="41"/>
      <c r="H249" s="41"/>
      <c r="I249" s="41"/>
      <c r="J249" s="41"/>
      <c r="K249" s="40"/>
      <c r="L249" s="41"/>
      <c r="M249" s="41"/>
      <c r="N249" s="41"/>
      <c r="O249" s="41"/>
      <c r="P249" s="40"/>
      <c r="Q249" s="41"/>
      <c r="R249" s="41"/>
      <c r="S249" s="41"/>
      <c r="T249" s="41"/>
      <c r="U249" s="49">
        <v>0.13</v>
      </c>
      <c r="V249" s="41"/>
      <c r="W249" s="41"/>
      <c r="X249" s="41"/>
      <c r="Y249" s="41"/>
      <c r="Z249" s="49">
        <v>0.13</v>
      </c>
      <c r="AA249" s="41"/>
      <c r="AB249" s="41"/>
      <c r="AC249" s="41"/>
      <c r="AD249" s="41"/>
      <c r="AE249" s="49">
        <v>0.13</v>
      </c>
      <c r="AF249" s="41"/>
      <c r="AG249" s="41"/>
      <c r="AH249" s="41"/>
      <c r="AI249" s="41"/>
      <c r="AJ249" s="49">
        <v>0.12</v>
      </c>
      <c r="AK249" s="41"/>
      <c r="AL249" s="41"/>
      <c r="AM249" s="41"/>
      <c r="AN249" s="41"/>
      <c r="AO249" s="49">
        <v>0.12</v>
      </c>
      <c r="AP249" s="41"/>
      <c r="AQ249" s="41"/>
      <c r="AR249" s="41"/>
      <c r="AS249" s="41"/>
      <c r="AT249" s="49">
        <v>0.09</v>
      </c>
      <c r="AU249" s="41"/>
      <c r="AV249" s="41"/>
      <c r="AW249" s="41"/>
      <c r="AX249" s="41"/>
      <c r="AY249" s="49">
        <v>0.11</v>
      </c>
      <c r="AZ249" s="41"/>
      <c r="BA249" s="41"/>
      <c r="BB249" s="41"/>
      <c r="BC249" s="41"/>
      <c r="BD249" s="49">
        <v>0.12</v>
      </c>
      <c r="BE249" s="41"/>
      <c r="BF249" s="41"/>
      <c r="BG249" s="41"/>
      <c r="BH249" s="41"/>
      <c r="BI249" s="71">
        <v>0.11</v>
      </c>
      <c r="BJ249" s="41"/>
      <c r="BK249" s="41"/>
      <c r="BL249" s="41"/>
      <c r="BM249" s="41"/>
      <c r="BN249" s="40"/>
      <c r="BO249" s="41"/>
      <c r="BP249" s="41"/>
      <c r="BQ249" s="41"/>
      <c r="BR249" s="41"/>
      <c r="BS249" s="40"/>
      <c r="BT249" s="40"/>
      <c r="BU249" s="40"/>
      <c r="BV249" s="40"/>
      <c r="BW249" s="45"/>
    </row>
    <row r="250" spans="1:75" ht="15.75" customHeight="1" outlineLevel="1" x14ac:dyDescent="0.2">
      <c r="A250" s="38" t="s">
        <v>272</v>
      </c>
      <c r="B250" s="39"/>
      <c r="C250" s="40"/>
      <c r="D250" s="40"/>
      <c r="E250" s="40"/>
      <c r="F250" s="40"/>
      <c r="G250" s="41"/>
      <c r="H250" s="41"/>
      <c r="I250" s="41"/>
      <c r="J250" s="41"/>
      <c r="K250" s="40"/>
      <c r="L250" s="41"/>
      <c r="M250" s="41"/>
      <c r="N250" s="41"/>
      <c r="O250" s="41"/>
      <c r="P250" s="40"/>
      <c r="Q250" s="41"/>
      <c r="R250" s="41"/>
      <c r="S250" s="41"/>
      <c r="T250" s="41"/>
      <c r="U250" s="49">
        <v>0.16</v>
      </c>
      <c r="V250" s="41"/>
      <c r="W250" s="41"/>
      <c r="X250" s="41"/>
      <c r="Y250" s="41"/>
      <c r="Z250" s="49">
        <v>0.16</v>
      </c>
      <c r="AA250" s="41"/>
      <c r="AB250" s="41"/>
      <c r="AC250" s="41"/>
      <c r="AD250" s="41"/>
      <c r="AE250" s="49">
        <v>0.16</v>
      </c>
      <c r="AF250" s="41"/>
      <c r="AG250" s="41"/>
      <c r="AH250" s="41"/>
      <c r="AI250" s="41"/>
      <c r="AJ250" s="49">
        <v>0.16</v>
      </c>
      <c r="AK250" s="41"/>
      <c r="AL250" s="41"/>
      <c r="AM250" s="41"/>
      <c r="AN250" s="41"/>
      <c r="AO250" s="49">
        <v>0.16</v>
      </c>
      <c r="AP250" s="41"/>
      <c r="AQ250" s="41"/>
      <c r="AR250" s="41"/>
      <c r="AS250" s="41"/>
      <c r="AT250" s="49">
        <v>0.21</v>
      </c>
      <c r="AU250" s="41"/>
      <c r="AV250" s="41"/>
      <c r="AW250" s="41"/>
      <c r="AX250" s="41"/>
      <c r="AY250" s="49">
        <v>0.19</v>
      </c>
      <c r="AZ250" s="41"/>
      <c r="BA250" s="41"/>
      <c r="BB250" s="41"/>
      <c r="BC250" s="41"/>
      <c r="BD250" s="49">
        <v>0.17</v>
      </c>
      <c r="BE250" s="41"/>
      <c r="BF250" s="41"/>
      <c r="BG250" s="41"/>
      <c r="BH250" s="41"/>
      <c r="BI250" s="71">
        <v>0.17</v>
      </c>
      <c r="BJ250" s="41"/>
      <c r="BK250" s="41"/>
      <c r="BL250" s="41"/>
      <c r="BM250" s="41"/>
      <c r="BN250" s="40"/>
      <c r="BO250" s="41"/>
      <c r="BP250" s="41"/>
      <c r="BQ250" s="41"/>
      <c r="BR250" s="41"/>
      <c r="BS250" s="40"/>
      <c r="BT250" s="40"/>
      <c r="BU250" s="40"/>
      <c r="BV250" s="40"/>
      <c r="BW250" s="45"/>
    </row>
    <row r="251" spans="1:75" ht="15.75" customHeight="1" outlineLevel="1" x14ac:dyDescent="0.2">
      <c r="A251" s="47"/>
      <c r="B251" s="39"/>
      <c r="C251" s="40"/>
      <c r="D251" s="40"/>
      <c r="E251" s="40"/>
      <c r="F251" s="40"/>
      <c r="G251" s="41"/>
      <c r="H251" s="41"/>
      <c r="I251" s="41"/>
      <c r="J251" s="41"/>
      <c r="K251" s="40"/>
      <c r="L251" s="41"/>
      <c r="M251" s="41"/>
      <c r="N251" s="41"/>
      <c r="O251" s="41"/>
      <c r="P251" s="40"/>
      <c r="Q251" s="41"/>
      <c r="R251" s="41"/>
      <c r="S251" s="41"/>
      <c r="T251" s="41"/>
      <c r="U251" s="40"/>
      <c r="V251" s="41"/>
      <c r="W251" s="41"/>
      <c r="X251" s="41"/>
      <c r="Y251" s="41"/>
      <c r="Z251" s="40"/>
      <c r="AA251" s="41"/>
      <c r="AB251" s="41"/>
      <c r="AC251" s="41"/>
      <c r="AD251" s="41"/>
      <c r="AE251" s="40"/>
      <c r="AF251" s="41"/>
      <c r="AG251" s="41"/>
      <c r="AH251" s="41"/>
      <c r="AI251" s="41"/>
      <c r="AJ251" s="40"/>
      <c r="AK251" s="41"/>
      <c r="AL251" s="41"/>
      <c r="AM251" s="41"/>
      <c r="AN251" s="41"/>
      <c r="AO251" s="40"/>
      <c r="AP251" s="41"/>
      <c r="AQ251" s="41"/>
      <c r="AR251" s="41"/>
      <c r="AS251" s="41"/>
      <c r="AT251" s="40"/>
      <c r="AU251" s="41"/>
      <c r="AV251" s="41"/>
      <c r="AW251" s="41"/>
      <c r="AX251" s="41"/>
      <c r="AY251" s="40"/>
      <c r="AZ251" s="41"/>
      <c r="BA251" s="41"/>
      <c r="BB251" s="41"/>
      <c r="BC251" s="41"/>
      <c r="BD251" s="40"/>
      <c r="BE251" s="41"/>
      <c r="BF251" s="41"/>
      <c r="BG251" s="41"/>
      <c r="BH251" s="41"/>
      <c r="BI251" s="46"/>
      <c r="BJ251" s="41"/>
      <c r="BK251" s="41"/>
      <c r="BL251" s="41"/>
      <c r="BM251" s="41"/>
      <c r="BN251" s="40"/>
      <c r="BO251" s="41"/>
      <c r="BP251" s="41"/>
      <c r="BQ251" s="41"/>
      <c r="BR251" s="41"/>
      <c r="BS251" s="40"/>
      <c r="BT251" s="40"/>
      <c r="BU251" s="40"/>
      <c r="BV251" s="40"/>
      <c r="BW251" s="45"/>
    </row>
    <row r="252" spans="1:75" ht="15.75" customHeight="1" outlineLevel="1" x14ac:dyDescent="0.2">
      <c r="A252" s="84" t="s">
        <v>275</v>
      </c>
      <c r="B252" s="2"/>
      <c r="C252" s="237"/>
      <c r="D252" s="237"/>
      <c r="E252" s="237"/>
      <c r="F252" s="238">
        <v>10.1</v>
      </c>
      <c r="G252" s="239"/>
      <c r="H252" s="239"/>
      <c r="I252" s="239"/>
      <c r="J252" s="239"/>
      <c r="K252" s="238">
        <v>10.3</v>
      </c>
      <c r="L252" s="239"/>
      <c r="M252" s="239"/>
      <c r="N252" s="239"/>
      <c r="O252" s="239"/>
      <c r="P252" s="238">
        <v>10.5</v>
      </c>
      <c r="Q252" s="239"/>
      <c r="R252" s="239"/>
      <c r="S252" s="239"/>
      <c r="T252" s="239"/>
      <c r="U252" s="238">
        <v>10.6</v>
      </c>
      <c r="V252" s="239"/>
      <c r="W252" s="239"/>
      <c r="X252" s="239"/>
      <c r="Y252" s="239"/>
      <c r="Z252" s="238">
        <v>10.7</v>
      </c>
      <c r="AA252" s="239"/>
      <c r="AB252" s="239"/>
      <c r="AC252" s="239"/>
      <c r="AD252" s="239"/>
      <c r="AE252" s="238">
        <v>10.6</v>
      </c>
      <c r="AF252" s="239"/>
      <c r="AG252" s="239"/>
      <c r="AH252" s="239"/>
      <c r="AI252" s="239"/>
      <c r="AJ252" s="238">
        <v>10.7</v>
      </c>
      <c r="AK252" s="239"/>
      <c r="AL252" s="239"/>
      <c r="AM252" s="239"/>
      <c r="AN252" s="239"/>
      <c r="AO252" s="238">
        <v>10.7</v>
      </c>
      <c r="AP252" s="239"/>
      <c r="AQ252" s="239"/>
      <c r="AR252" s="239"/>
      <c r="AS252" s="239"/>
      <c r="AT252" s="238">
        <v>7.8</v>
      </c>
      <c r="AU252" s="239"/>
      <c r="AV252" s="239"/>
      <c r="AW252" s="239"/>
      <c r="AX252" s="239"/>
      <c r="AY252" s="238">
        <v>11.1</v>
      </c>
      <c r="AZ252" s="239"/>
      <c r="BA252" s="239"/>
      <c r="BB252" s="239"/>
      <c r="BC252" s="239"/>
      <c r="BD252" s="238">
        <v>12.1</v>
      </c>
      <c r="BE252" s="239"/>
      <c r="BF252" s="239"/>
      <c r="BG252" s="239"/>
      <c r="BH252" s="239"/>
      <c r="BI252" s="240">
        <v>12.2</v>
      </c>
      <c r="BJ252" s="239"/>
      <c r="BK252" s="239"/>
      <c r="BL252" s="239"/>
      <c r="BM252" s="239"/>
      <c r="BN252" s="237"/>
      <c r="BO252" s="239"/>
      <c r="BP252" s="239"/>
      <c r="BQ252" s="239"/>
      <c r="BR252" s="239"/>
      <c r="BS252" s="237"/>
      <c r="BT252" s="237"/>
      <c r="BU252" s="237"/>
      <c r="BV252" s="237"/>
      <c r="BW252" s="4"/>
    </row>
    <row r="253" spans="1:75" ht="15.75" customHeight="1" outlineLevel="1" x14ac:dyDescent="0.2">
      <c r="A253" s="241" t="s">
        <v>276</v>
      </c>
      <c r="B253" s="242"/>
      <c r="C253" s="243"/>
      <c r="D253" s="243"/>
      <c r="E253" s="243"/>
      <c r="F253" s="244">
        <v>902</v>
      </c>
      <c r="G253" s="245"/>
      <c r="H253" s="245"/>
      <c r="I253" s="245"/>
      <c r="J253" s="245"/>
      <c r="K253" s="244">
        <v>921</v>
      </c>
      <c r="L253" s="245"/>
      <c r="M253" s="245"/>
      <c r="N253" s="245"/>
      <c r="O253" s="245"/>
      <c r="P253" s="244">
        <v>942</v>
      </c>
      <c r="Q253" s="245"/>
      <c r="R253" s="245"/>
      <c r="S253" s="245"/>
      <c r="T253" s="245"/>
      <c r="U253" s="244">
        <v>967</v>
      </c>
      <c r="V253" s="245"/>
      <c r="W253" s="245"/>
      <c r="X253" s="245"/>
      <c r="Y253" s="245"/>
      <c r="Z253" s="244">
        <v>971</v>
      </c>
      <c r="AA253" s="245"/>
      <c r="AB253" s="245"/>
      <c r="AC253" s="245"/>
      <c r="AD253" s="245"/>
      <c r="AE253" s="244">
        <v>962</v>
      </c>
      <c r="AF253" s="245"/>
      <c r="AG253" s="245"/>
      <c r="AH253" s="245"/>
      <c r="AI253" s="245"/>
      <c r="AJ253" s="244">
        <v>978</v>
      </c>
      <c r="AK253" s="245"/>
      <c r="AL253" s="245"/>
      <c r="AM253" s="245"/>
      <c r="AN253" s="245"/>
      <c r="AO253" s="244">
        <v>986</v>
      </c>
      <c r="AP253" s="245"/>
      <c r="AQ253" s="245"/>
      <c r="AR253" s="245"/>
      <c r="AS253" s="245"/>
      <c r="AT253" s="244">
        <v>716</v>
      </c>
      <c r="AU253" s="245"/>
      <c r="AV253" s="245"/>
      <c r="AW253" s="245"/>
      <c r="AX253" s="245"/>
      <c r="AY253" s="244">
        <v>1019</v>
      </c>
      <c r="AZ253" s="245"/>
      <c r="BA253" s="245"/>
      <c r="BB253" s="245"/>
      <c r="BC253" s="245"/>
      <c r="BD253" s="244">
        <v>1116</v>
      </c>
      <c r="BE253" s="245"/>
      <c r="BF253" s="245"/>
      <c r="BG253" s="245"/>
      <c r="BH253" s="245"/>
      <c r="BI253" s="246">
        <v>1132</v>
      </c>
      <c r="BJ253" s="245"/>
      <c r="BK253" s="245"/>
      <c r="BL253" s="245"/>
      <c r="BM253" s="245"/>
      <c r="BN253" s="243"/>
      <c r="BO253" s="245"/>
      <c r="BP253" s="245"/>
      <c r="BQ253" s="245"/>
      <c r="BR253" s="245"/>
      <c r="BS253" s="243"/>
      <c r="BT253" s="243"/>
      <c r="BU253" s="243"/>
      <c r="BV253" s="243"/>
      <c r="BW253" s="247"/>
    </row>
    <row r="254" spans="1:75" ht="15.75" customHeight="1" outlineLevel="1" x14ac:dyDescent="0.2">
      <c r="A254" s="248" t="s">
        <v>277</v>
      </c>
      <c r="B254" s="178"/>
      <c r="C254" s="249"/>
      <c r="D254" s="249"/>
      <c r="E254" s="249"/>
      <c r="F254" s="249"/>
      <c r="G254" s="250"/>
      <c r="H254" s="250"/>
      <c r="I254" s="250"/>
      <c r="J254" s="250"/>
      <c r="K254" s="249"/>
      <c r="L254" s="250"/>
      <c r="M254" s="250"/>
      <c r="N254" s="250"/>
      <c r="O254" s="250"/>
      <c r="P254" s="249"/>
      <c r="Q254" s="250"/>
      <c r="R254" s="250"/>
      <c r="S254" s="250"/>
      <c r="T254" s="250"/>
      <c r="U254" s="251">
        <v>20.8</v>
      </c>
      <c r="V254" s="250"/>
      <c r="W254" s="250"/>
      <c r="X254" s="250"/>
      <c r="Y254" s="250"/>
      <c r="Z254" s="251">
        <v>21.4</v>
      </c>
      <c r="AA254" s="250"/>
      <c r="AB254" s="250"/>
      <c r="AC254" s="250"/>
      <c r="AD254" s="250"/>
      <c r="AE254" s="251">
        <v>21.85</v>
      </c>
      <c r="AF254" s="250"/>
      <c r="AG254" s="250"/>
      <c r="AH254" s="250"/>
      <c r="AI254" s="250"/>
      <c r="AJ254" s="251">
        <v>22.6</v>
      </c>
      <c r="AK254" s="250"/>
      <c r="AL254" s="250"/>
      <c r="AM254" s="250"/>
      <c r="AN254" s="250"/>
      <c r="AO254" s="251">
        <v>23.5</v>
      </c>
      <c r="AP254" s="250"/>
      <c r="AQ254" s="250"/>
      <c r="AR254" s="250"/>
      <c r="AS254" s="250"/>
      <c r="AT254" s="251">
        <v>28.9</v>
      </c>
      <c r="AU254" s="250"/>
      <c r="AV254" s="250"/>
      <c r="AW254" s="250"/>
      <c r="AX254" s="250"/>
      <c r="AY254" s="251">
        <v>29.3</v>
      </c>
      <c r="AZ254" s="250"/>
      <c r="BA254" s="250"/>
      <c r="BB254" s="250"/>
      <c r="BC254" s="250"/>
      <c r="BD254" s="251">
        <v>29.4</v>
      </c>
      <c r="BE254" s="250"/>
      <c r="BF254" s="250"/>
      <c r="BG254" s="250"/>
      <c r="BH254" s="250"/>
      <c r="BI254" s="252">
        <v>30.54</v>
      </c>
      <c r="BJ254" s="250"/>
      <c r="BK254" s="250"/>
      <c r="BL254" s="250"/>
      <c r="BM254" s="250"/>
      <c r="BN254" s="249"/>
      <c r="BO254" s="250"/>
      <c r="BP254" s="250"/>
      <c r="BQ254" s="250"/>
      <c r="BR254" s="250"/>
      <c r="BS254" s="249"/>
      <c r="BT254" s="249"/>
      <c r="BU254" s="249"/>
      <c r="BV254" s="249"/>
      <c r="BW254" s="179"/>
    </row>
    <row r="255" spans="1:75" ht="15.75" customHeight="1" outlineLevel="1" x14ac:dyDescent="0.2">
      <c r="A255" s="176"/>
      <c r="B255" s="178"/>
      <c r="C255" s="249"/>
      <c r="D255" s="249"/>
      <c r="E255" s="249"/>
      <c r="F255" s="249"/>
      <c r="G255" s="250"/>
      <c r="H255" s="250"/>
      <c r="I255" s="250"/>
      <c r="J255" s="250"/>
      <c r="K255" s="249"/>
      <c r="L255" s="250"/>
      <c r="M255" s="250"/>
      <c r="N255" s="250"/>
      <c r="O255" s="250"/>
      <c r="P255" s="249"/>
      <c r="Q255" s="250"/>
      <c r="R255" s="250"/>
      <c r="S255" s="250"/>
      <c r="T255" s="250"/>
      <c r="U255" s="249"/>
      <c r="V255" s="250"/>
      <c r="W255" s="250"/>
      <c r="X255" s="250"/>
      <c r="Y255" s="250"/>
      <c r="Z255" s="249"/>
      <c r="AA255" s="250"/>
      <c r="AB255" s="250"/>
      <c r="AC255" s="250"/>
      <c r="AD255" s="250"/>
      <c r="AE255" s="249"/>
      <c r="AF255" s="250"/>
      <c r="AG255" s="250"/>
      <c r="AH255" s="250"/>
      <c r="AI255" s="250"/>
      <c r="AJ255" s="249"/>
      <c r="AK255" s="250"/>
      <c r="AL255" s="250"/>
      <c r="AM255" s="250"/>
      <c r="AN255" s="250"/>
      <c r="AO255" s="249"/>
      <c r="AP255" s="250"/>
      <c r="AQ255" s="250"/>
      <c r="AR255" s="250"/>
      <c r="AS255" s="250"/>
      <c r="AT255" s="249"/>
      <c r="AU255" s="250"/>
      <c r="AV255" s="250"/>
      <c r="AW255" s="250"/>
      <c r="AX255" s="250"/>
      <c r="AY255" s="249"/>
      <c r="AZ255" s="250"/>
      <c r="BA255" s="250"/>
      <c r="BB255" s="250"/>
      <c r="BC255" s="250"/>
      <c r="BD255" s="249"/>
      <c r="BE255" s="250"/>
      <c r="BF255" s="250"/>
      <c r="BG255" s="250"/>
      <c r="BH255" s="250"/>
      <c r="BI255" s="253"/>
      <c r="BJ255" s="250"/>
      <c r="BK255" s="250"/>
      <c r="BL255" s="250"/>
      <c r="BM255" s="250"/>
      <c r="BN255" s="249"/>
      <c r="BO255" s="250"/>
      <c r="BP255" s="250"/>
      <c r="BQ255" s="250"/>
      <c r="BR255" s="250"/>
      <c r="BS255" s="249"/>
      <c r="BT255" s="249"/>
      <c r="BU255" s="249"/>
      <c r="BV255" s="249"/>
      <c r="BW255" s="179"/>
    </row>
    <row r="256" spans="1:75" ht="15.75" customHeight="1" outlineLevel="1" x14ac:dyDescent="0.2">
      <c r="A256" s="38" t="s">
        <v>615</v>
      </c>
      <c r="B256" s="39"/>
      <c r="C256" s="40"/>
      <c r="D256" s="40"/>
      <c r="E256" s="40"/>
      <c r="F256" s="40"/>
      <c r="G256" s="41"/>
      <c r="H256" s="41"/>
      <c r="I256" s="41"/>
      <c r="J256" s="41"/>
      <c r="K256" s="49">
        <v>0.23</v>
      </c>
      <c r="L256" s="41"/>
      <c r="M256" s="41"/>
      <c r="N256" s="41"/>
      <c r="O256" s="41"/>
      <c r="P256" s="49">
        <v>0.23</v>
      </c>
      <c r="Q256" s="41"/>
      <c r="R256" s="41"/>
      <c r="S256" s="41"/>
      <c r="T256" s="41"/>
      <c r="U256" s="49">
        <v>0.24</v>
      </c>
      <c r="V256" s="41"/>
      <c r="W256" s="41"/>
      <c r="X256" s="41"/>
      <c r="Y256" s="41"/>
      <c r="Z256" s="49">
        <v>0.24</v>
      </c>
      <c r="AA256" s="41"/>
      <c r="AB256" s="41"/>
      <c r="AC256" s="41"/>
      <c r="AD256" s="41"/>
      <c r="AE256" s="49">
        <v>0.27</v>
      </c>
      <c r="AF256" s="41"/>
      <c r="AG256" s="41"/>
      <c r="AH256" s="41"/>
      <c r="AI256" s="41"/>
      <c r="AJ256" s="40"/>
      <c r="AK256" s="41"/>
      <c r="AL256" s="41"/>
      <c r="AM256" s="41"/>
      <c r="AN256" s="41"/>
      <c r="AO256" s="40"/>
      <c r="AP256" s="41"/>
      <c r="AQ256" s="41"/>
      <c r="AR256" s="41"/>
      <c r="AS256" s="41"/>
      <c r="AT256" s="40"/>
      <c r="AU256" s="41"/>
      <c r="AV256" s="41"/>
      <c r="AW256" s="41"/>
      <c r="AX256" s="41"/>
      <c r="AY256" s="40"/>
      <c r="AZ256" s="41"/>
      <c r="BA256" s="41"/>
      <c r="BB256" s="41"/>
      <c r="BC256" s="41"/>
      <c r="BD256" s="40"/>
      <c r="BE256" s="41"/>
      <c r="BF256" s="41"/>
      <c r="BG256" s="41"/>
      <c r="BH256" s="41"/>
      <c r="BI256" s="46"/>
      <c r="BJ256" s="41"/>
      <c r="BK256" s="41"/>
      <c r="BL256" s="41"/>
      <c r="BM256" s="41"/>
      <c r="BN256" s="40"/>
      <c r="BO256" s="41"/>
      <c r="BP256" s="41"/>
      <c r="BQ256" s="41"/>
      <c r="BR256" s="41"/>
      <c r="BS256" s="40"/>
      <c r="BT256" s="40"/>
      <c r="BU256" s="40"/>
      <c r="BV256" s="40"/>
      <c r="BW256" s="45"/>
    </row>
    <row r="257" spans="1:75" ht="15.75" customHeight="1" outlineLevel="1" x14ac:dyDescent="0.2">
      <c r="A257" s="47"/>
      <c r="B257" s="39"/>
      <c r="C257" s="40"/>
      <c r="D257" s="40"/>
      <c r="E257" s="40"/>
      <c r="F257" s="40"/>
      <c r="G257" s="41"/>
      <c r="H257" s="41"/>
      <c r="I257" s="41"/>
      <c r="J257" s="41"/>
      <c r="K257" s="40"/>
      <c r="L257" s="41"/>
      <c r="M257" s="41"/>
      <c r="N257" s="41"/>
      <c r="O257" s="41"/>
      <c r="P257" s="40"/>
      <c r="Q257" s="41"/>
      <c r="R257" s="41"/>
      <c r="S257" s="41"/>
      <c r="T257" s="41"/>
      <c r="U257" s="40"/>
      <c r="V257" s="41"/>
      <c r="W257" s="41"/>
      <c r="X257" s="41"/>
      <c r="Y257" s="41"/>
      <c r="Z257" s="40"/>
      <c r="AA257" s="41"/>
      <c r="AB257" s="41"/>
      <c r="AC257" s="41"/>
      <c r="AD257" s="41"/>
      <c r="AE257" s="40"/>
      <c r="AF257" s="41"/>
      <c r="AG257" s="41"/>
      <c r="AH257" s="41"/>
      <c r="AI257" s="41"/>
      <c r="AJ257" s="40"/>
      <c r="AK257" s="41"/>
      <c r="AL257" s="41"/>
      <c r="AM257" s="41"/>
      <c r="AN257" s="41"/>
      <c r="AO257" s="40"/>
      <c r="AP257" s="41"/>
      <c r="AQ257" s="41"/>
      <c r="AR257" s="41"/>
      <c r="AS257" s="41"/>
      <c r="AT257" s="40"/>
      <c r="AU257" s="41"/>
      <c r="AV257" s="41"/>
      <c r="AW257" s="41"/>
      <c r="AX257" s="41"/>
      <c r="AY257" s="40"/>
      <c r="AZ257" s="41"/>
      <c r="BA257" s="41"/>
      <c r="BB257" s="41"/>
      <c r="BC257" s="41"/>
      <c r="BD257" s="40"/>
      <c r="BE257" s="41"/>
      <c r="BF257" s="41"/>
      <c r="BG257" s="41"/>
      <c r="BH257" s="41"/>
      <c r="BI257" s="46"/>
      <c r="BJ257" s="41"/>
      <c r="BK257" s="41"/>
      <c r="BL257" s="41"/>
      <c r="BM257" s="41"/>
      <c r="BN257" s="40"/>
      <c r="BO257" s="41"/>
      <c r="BP257" s="41"/>
      <c r="BQ257" s="41"/>
      <c r="BR257" s="41"/>
      <c r="BS257" s="40"/>
      <c r="BT257" s="40"/>
      <c r="BU257" s="40"/>
      <c r="BV257" s="40"/>
      <c r="BW257" s="45"/>
    </row>
    <row r="258" spans="1:75" ht="15.75" customHeight="1" outlineLevel="1" x14ac:dyDescent="0.2">
      <c r="A258" s="38" t="s">
        <v>616</v>
      </c>
      <c r="B258" s="39"/>
      <c r="C258" s="40"/>
      <c r="D258" s="40"/>
      <c r="E258" s="40"/>
      <c r="F258" s="40"/>
      <c r="G258" s="41"/>
      <c r="H258" s="41"/>
      <c r="I258" s="41"/>
      <c r="J258" s="41"/>
      <c r="K258" s="40"/>
      <c r="L258" s="41"/>
      <c r="M258" s="41"/>
      <c r="N258" s="41"/>
      <c r="O258" s="41"/>
      <c r="P258" s="40"/>
      <c r="Q258" s="41"/>
      <c r="R258" s="41"/>
      <c r="S258" s="41"/>
      <c r="T258" s="41"/>
      <c r="U258" s="49">
        <v>0.01</v>
      </c>
      <c r="V258" s="41"/>
      <c r="W258" s="41"/>
      <c r="X258" s="41"/>
      <c r="Y258" s="41"/>
      <c r="Z258" s="49">
        <v>-1.4E-2</v>
      </c>
      <c r="AA258" s="48">
        <v>-8.9999999999999993E-3</v>
      </c>
      <c r="AB258" s="41"/>
      <c r="AC258" s="41"/>
      <c r="AD258" s="41"/>
      <c r="AE258" s="49">
        <v>-8.0000000000000002E-3</v>
      </c>
      <c r="AF258" s="48">
        <v>1E-3</v>
      </c>
      <c r="AG258" s="48">
        <v>1.2E-2</v>
      </c>
      <c r="AH258" s="48">
        <v>1.9E-2</v>
      </c>
      <c r="AI258" s="41"/>
      <c r="AJ258" s="49">
        <v>1.2999999999999999E-2</v>
      </c>
      <c r="AK258" s="48">
        <v>8.9999999999999993E-3</v>
      </c>
      <c r="AL258" s="48">
        <v>1E-3</v>
      </c>
      <c r="AM258" s="48">
        <v>-8.0000000000000002E-3</v>
      </c>
      <c r="AN258" s="41"/>
      <c r="AO258" s="49">
        <v>0</v>
      </c>
      <c r="AP258" s="41"/>
      <c r="AQ258" s="41"/>
      <c r="AR258" s="41"/>
      <c r="AS258" s="41"/>
      <c r="AT258" s="40"/>
      <c r="AU258" s="41"/>
      <c r="AV258" s="41"/>
      <c r="AW258" s="41"/>
      <c r="AX258" s="41"/>
      <c r="AY258" s="40"/>
      <c r="AZ258" s="41"/>
      <c r="BA258" s="41"/>
      <c r="BB258" s="41"/>
      <c r="BC258" s="41"/>
      <c r="BD258" s="40"/>
      <c r="BE258" s="41"/>
      <c r="BF258" s="41"/>
      <c r="BG258" s="41"/>
      <c r="BH258" s="41"/>
      <c r="BI258" s="46"/>
      <c r="BJ258" s="41"/>
      <c r="BK258" s="41"/>
      <c r="BL258" s="41"/>
      <c r="BM258" s="41"/>
      <c r="BN258" s="40"/>
      <c r="BO258" s="41"/>
      <c r="BP258" s="41"/>
      <c r="BQ258" s="41"/>
      <c r="BR258" s="41"/>
      <c r="BS258" s="40"/>
      <c r="BT258" s="40"/>
      <c r="BU258" s="40"/>
      <c r="BV258" s="40"/>
      <c r="BW258" s="45"/>
    </row>
    <row r="259" spans="1:75" ht="15.75" customHeight="1" x14ac:dyDescent="0.2">
      <c r="A259" s="254"/>
      <c r="B259" s="242"/>
      <c r="C259" s="243"/>
      <c r="D259" s="243"/>
      <c r="E259" s="243"/>
      <c r="F259" s="243"/>
      <c r="G259" s="245"/>
      <c r="H259" s="245"/>
      <c r="I259" s="245"/>
      <c r="J259" s="245"/>
      <c r="K259" s="243"/>
      <c r="L259" s="245"/>
      <c r="M259" s="245"/>
      <c r="N259" s="245"/>
      <c r="O259" s="245"/>
      <c r="P259" s="243"/>
      <c r="Q259" s="245"/>
      <c r="R259" s="245"/>
      <c r="S259" s="245"/>
      <c r="T259" s="245"/>
      <c r="U259" s="243"/>
      <c r="V259" s="245"/>
      <c r="W259" s="245"/>
      <c r="X259" s="245"/>
      <c r="Y259" s="245"/>
      <c r="Z259" s="243"/>
      <c r="AA259" s="245"/>
      <c r="AB259" s="245"/>
      <c r="AC259" s="245"/>
      <c r="AD259" s="245"/>
      <c r="AE259" s="243"/>
      <c r="AF259" s="245"/>
      <c r="AG259" s="245"/>
      <c r="AH259" s="245"/>
      <c r="AI259" s="245"/>
      <c r="AJ259" s="243"/>
      <c r="AK259" s="245"/>
      <c r="AL259" s="245"/>
      <c r="AM259" s="245"/>
      <c r="AN259" s="245"/>
      <c r="AO259" s="243"/>
      <c r="AP259" s="245"/>
      <c r="AQ259" s="245"/>
      <c r="AR259" s="245"/>
      <c r="AS259" s="245"/>
      <c r="AT259" s="243"/>
      <c r="AU259" s="245"/>
      <c r="AV259" s="245"/>
      <c r="AW259" s="245"/>
      <c r="AX259" s="245"/>
      <c r="AY259" s="243"/>
      <c r="AZ259" s="245"/>
      <c r="BA259" s="245"/>
      <c r="BB259" s="245"/>
      <c r="BC259" s="245"/>
      <c r="BD259" s="243"/>
      <c r="BE259" s="245"/>
      <c r="BF259" s="245"/>
      <c r="BG259" s="245"/>
      <c r="BH259" s="245"/>
      <c r="BI259" s="255"/>
      <c r="BJ259" s="245"/>
      <c r="BK259" s="245"/>
      <c r="BL259" s="245"/>
      <c r="BM259" s="245"/>
      <c r="BN259" s="243"/>
      <c r="BO259" s="245"/>
      <c r="BP259" s="245"/>
      <c r="BQ259" s="245"/>
      <c r="BR259" s="245"/>
      <c r="BS259" s="243"/>
      <c r="BT259" s="243"/>
      <c r="BU259" s="243"/>
      <c r="BV259" s="243"/>
      <c r="BW259" s="247"/>
    </row>
    <row r="260" spans="1:75" ht="15.75" customHeight="1" x14ac:dyDescent="0.2">
      <c r="A260" s="81" t="s">
        <v>617</v>
      </c>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2"/>
      <c r="BJ260" s="81"/>
      <c r="BK260" s="81"/>
      <c r="BL260" s="81"/>
      <c r="BM260" s="81"/>
      <c r="BN260" s="81"/>
      <c r="BO260" s="81"/>
      <c r="BP260" s="81"/>
      <c r="BQ260" s="81"/>
      <c r="BR260" s="81"/>
      <c r="BS260" s="81"/>
      <c r="BT260" s="81"/>
      <c r="BU260" s="81"/>
      <c r="BV260" s="81"/>
      <c r="BW260" s="83"/>
    </row>
    <row r="261" spans="1:75" ht="15.75" customHeight="1" outlineLevel="1" x14ac:dyDescent="0.2">
      <c r="A261" s="85" t="s">
        <v>618</v>
      </c>
      <c r="B261" s="2"/>
      <c r="C261" s="237"/>
      <c r="D261" s="237"/>
      <c r="E261" s="237"/>
      <c r="F261" s="237"/>
      <c r="G261" s="239"/>
      <c r="H261" s="239"/>
      <c r="I261" s="239"/>
      <c r="J261" s="239"/>
      <c r="K261" s="237"/>
      <c r="L261" s="239"/>
      <c r="M261" s="239"/>
      <c r="N261" s="239"/>
      <c r="O261" s="239"/>
      <c r="P261" s="237"/>
      <c r="Q261" s="239"/>
      <c r="R261" s="239"/>
      <c r="S261" s="239"/>
      <c r="T261" s="239"/>
      <c r="U261" s="237"/>
      <c r="V261" s="239"/>
      <c r="W261" s="239"/>
      <c r="X261" s="239"/>
      <c r="Y261" s="239"/>
      <c r="Z261" s="237"/>
      <c r="AA261" s="239"/>
      <c r="AB261" s="239"/>
      <c r="AC261" s="239"/>
      <c r="AD261" s="239"/>
      <c r="AE261" s="237"/>
      <c r="AF261" s="239"/>
      <c r="AG261" s="239"/>
      <c r="AH261" s="239"/>
      <c r="AI261" s="239"/>
      <c r="AJ261" s="237"/>
      <c r="AK261" s="256">
        <v>26.427</v>
      </c>
      <c r="AL261" s="256">
        <v>25.841999999999999</v>
      </c>
      <c r="AM261" s="256">
        <v>26.27</v>
      </c>
      <c r="AN261" s="239">
        <f t="shared" ref="AN261:AN263" si="652">AO261-SUM(AK261,AL261,AM261)</f>
        <v>33.509</v>
      </c>
      <c r="AO261" s="238">
        <v>112.048</v>
      </c>
      <c r="AP261" s="256">
        <v>33.040999999999997</v>
      </c>
      <c r="AQ261" s="256">
        <v>32.914999999999999</v>
      </c>
      <c r="AR261" s="256">
        <v>31.266999999999999</v>
      </c>
      <c r="AS261" s="239">
        <f t="shared" ref="AS261:AS263" si="653">AT261-SUM(AP261,AQ261,AR261)</f>
        <v>32.208000000000027</v>
      </c>
      <c r="AT261" s="238">
        <v>129.43100000000001</v>
      </c>
      <c r="AU261" s="256">
        <v>32.393999999999998</v>
      </c>
      <c r="AV261" s="256">
        <v>32.46</v>
      </c>
      <c r="AW261" s="256">
        <v>33.033999999999999</v>
      </c>
      <c r="AX261" s="239">
        <f t="shared" ref="AX261:AX263" si="654">AY261-SUM(AU261,AV261,AW261)</f>
        <v>33.945999999999998</v>
      </c>
      <c r="AY261" s="238">
        <v>131.834</v>
      </c>
      <c r="AZ261" s="256">
        <v>32.875999999999998</v>
      </c>
      <c r="BA261" s="256">
        <v>34.777000000000001</v>
      </c>
      <c r="BB261" s="256">
        <v>34.628999999999998</v>
      </c>
      <c r="BC261" s="239">
        <f t="shared" ref="BC261:BC263" si="655">BD261-SUM(AZ261,BA261,BB261)</f>
        <v>38.069000000000017</v>
      </c>
      <c r="BD261" s="238">
        <v>140.351</v>
      </c>
      <c r="BE261" s="256">
        <v>35.372</v>
      </c>
      <c r="BF261" s="256">
        <v>35.896999999999998</v>
      </c>
      <c r="BG261" s="256">
        <v>36.619999999999997</v>
      </c>
      <c r="BH261" s="239">
        <f t="shared" ref="BH261:BH263" si="656">BI261-SUM(BE261,BF261,BG261)</f>
        <v>37.884999999999991</v>
      </c>
      <c r="BI261" s="240">
        <v>145.774</v>
      </c>
      <c r="BJ261" s="239"/>
      <c r="BK261" s="239"/>
      <c r="BL261" s="239"/>
      <c r="BM261" s="239"/>
      <c r="BN261" s="237"/>
      <c r="BO261" s="239"/>
      <c r="BP261" s="239"/>
      <c r="BQ261" s="239"/>
      <c r="BR261" s="239"/>
      <c r="BS261" s="237"/>
      <c r="BT261" s="237"/>
      <c r="BU261" s="237"/>
      <c r="BV261" s="237"/>
      <c r="BW261" s="4"/>
    </row>
    <row r="262" spans="1:75" ht="15.75" customHeight="1" outlineLevel="1" x14ac:dyDescent="0.2">
      <c r="A262" s="85" t="s">
        <v>619</v>
      </c>
      <c r="B262" s="2"/>
      <c r="C262" s="237"/>
      <c r="D262" s="237"/>
      <c r="E262" s="237"/>
      <c r="F262" s="237"/>
      <c r="G262" s="239"/>
      <c r="H262" s="239"/>
      <c r="I262" s="239"/>
      <c r="J262" s="239"/>
      <c r="K262" s="237"/>
      <c r="L262" s="239"/>
      <c r="M262" s="239"/>
      <c r="N262" s="239"/>
      <c r="O262" s="239"/>
      <c r="P262" s="237"/>
      <c r="Q262" s="239"/>
      <c r="R262" s="239"/>
      <c r="S262" s="239"/>
      <c r="T262" s="239"/>
      <c r="U262" s="237"/>
      <c r="V262" s="239"/>
      <c r="W262" s="239"/>
      <c r="X262" s="239"/>
      <c r="Y262" s="239"/>
      <c r="Z262" s="237"/>
      <c r="AA262" s="239"/>
      <c r="AB262" s="239"/>
      <c r="AC262" s="239"/>
      <c r="AD262" s="239"/>
      <c r="AE262" s="237"/>
      <c r="AF262" s="239"/>
      <c r="AG262" s="239"/>
      <c r="AH262" s="239"/>
      <c r="AI262" s="239"/>
      <c r="AJ262" s="237"/>
      <c r="AK262" s="256">
        <v>16.335000000000001</v>
      </c>
      <c r="AL262" s="256">
        <v>16.425999999999998</v>
      </c>
      <c r="AM262" s="256">
        <v>15.768000000000001</v>
      </c>
      <c r="AN262" s="239">
        <f t="shared" si="652"/>
        <v>18.159999999999997</v>
      </c>
      <c r="AO262" s="238">
        <v>66.688999999999993</v>
      </c>
      <c r="AP262" s="256">
        <v>15.827999999999999</v>
      </c>
      <c r="AQ262" s="256">
        <v>11.16</v>
      </c>
      <c r="AR262" s="256">
        <v>15.304</v>
      </c>
      <c r="AS262" s="239">
        <f t="shared" si="653"/>
        <v>16.570999999999998</v>
      </c>
      <c r="AT262" s="238">
        <v>58.863</v>
      </c>
      <c r="AU262" s="256">
        <v>16.481000000000002</v>
      </c>
      <c r="AV262" s="256">
        <v>19.212</v>
      </c>
      <c r="AW262" s="256">
        <v>18.972000000000001</v>
      </c>
      <c r="AX262" s="239">
        <f t="shared" si="654"/>
        <v>19.244000000000007</v>
      </c>
      <c r="AY262" s="238">
        <v>73.909000000000006</v>
      </c>
      <c r="AZ262" s="256">
        <v>19.654</v>
      </c>
      <c r="BA262" s="256">
        <v>20.695</v>
      </c>
      <c r="BB262" s="256">
        <v>19.722999999999999</v>
      </c>
      <c r="BC262" s="239">
        <f t="shared" si="655"/>
        <v>21.512999999999991</v>
      </c>
      <c r="BD262" s="238">
        <v>81.584999999999994</v>
      </c>
      <c r="BE262" s="256">
        <v>22.199000000000002</v>
      </c>
      <c r="BF262" s="256">
        <v>22.111999999999998</v>
      </c>
      <c r="BG262" s="256">
        <v>20.414000000000001</v>
      </c>
      <c r="BH262" s="239">
        <f t="shared" si="656"/>
        <v>22.322000000000003</v>
      </c>
      <c r="BI262" s="240">
        <v>87.046999999999997</v>
      </c>
      <c r="BJ262" s="239"/>
      <c r="BK262" s="239"/>
      <c r="BL262" s="239"/>
      <c r="BM262" s="239"/>
      <c r="BN262" s="237"/>
      <c r="BO262" s="239"/>
      <c r="BP262" s="239"/>
      <c r="BQ262" s="239"/>
      <c r="BR262" s="239"/>
      <c r="BS262" s="237"/>
      <c r="BT262" s="237"/>
      <c r="BU262" s="237"/>
      <c r="BV262" s="237"/>
      <c r="BW262" s="4"/>
    </row>
    <row r="263" spans="1:75" ht="15.75" customHeight="1" outlineLevel="1" x14ac:dyDescent="0.2">
      <c r="A263" s="85" t="s">
        <v>620</v>
      </c>
      <c r="B263" s="2"/>
      <c r="C263" s="237"/>
      <c r="D263" s="237"/>
      <c r="E263" s="237"/>
      <c r="F263" s="237"/>
      <c r="G263" s="239"/>
      <c r="H263" s="239"/>
      <c r="I263" s="239"/>
      <c r="J263" s="239"/>
      <c r="K263" s="237"/>
      <c r="L263" s="239"/>
      <c r="M263" s="239"/>
      <c r="N263" s="239"/>
      <c r="O263" s="239"/>
      <c r="P263" s="237"/>
      <c r="Q263" s="239"/>
      <c r="R263" s="239"/>
      <c r="S263" s="239"/>
      <c r="T263" s="239"/>
      <c r="U263" s="237"/>
      <c r="V263" s="239"/>
      <c r="W263" s="239"/>
      <c r="X263" s="239"/>
      <c r="Y263" s="239"/>
      <c r="Z263" s="237"/>
      <c r="AA263" s="239"/>
      <c r="AB263" s="239"/>
      <c r="AC263" s="239"/>
      <c r="AD263" s="239"/>
      <c r="AE263" s="237"/>
      <c r="AF263" s="239"/>
      <c r="AG263" s="239"/>
      <c r="AH263" s="239"/>
      <c r="AI263" s="239"/>
      <c r="AJ263" s="237"/>
      <c r="AK263" s="256">
        <v>7.6999999999999999E-2</v>
      </c>
      <c r="AL263" s="256">
        <v>7.5999999999999998E-2</v>
      </c>
      <c r="AM263" s="256">
        <v>8.1000000000000003E-2</v>
      </c>
      <c r="AN263" s="239">
        <f t="shared" si="652"/>
        <v>0.13400000000000001</v>
      </c>
      <c r="AO263" s="238">
        <v>0.36799999999999999</v>
      </c>
      <c r="AP263" s="256">
        <v>0.129</v>
      </c>
      <c r="AQ263" s="256">
        <v>0.123</v>
      </c>
      <c r="AR263" s="256">
        <v>9.2999999999999999E-2</v>
      </c>
      <c r="AS263" s="239">
        <f t="shared" si="653"/>
        <v>6.9000000000000006E-2</v>
      </c>
      <c r="AT263" s="238">
        <v>0.41399999999999998</v>
      </c>
      <c r="AU263" s="256">
        <v>7.0000000000000007E-2</v>
      </c>
      <c r="AV263" s="256">
        <v>7.0999999999999994E-2</v>
      </c>
      <c r="AW263" s="256">
        <v>7.0999999999999994E-2</v>
      </c>
      <c r="AX263" s="239">
        <f t="shared" si="654"/>
        <v>7.0999999999999952E-2</v>
      </c>
      <c r="AY263" s="238">
        <v>0.28299999999999997</v>
      </c>
      <c r="AZ263" s="256">
        <v>2.5999999999999999E-2</v>
      </c>
      <c r="BA263" s="256">
        <v>2.7E-2</v>
      </c>
      <c r="BB263" s="256">
        <v>2.7E-2</v>
      </c>
      <c r="BC263" s="239">
        <f t="shared" si="655"/>
        <v>3.6000000000000004E-2</v>
      </c>
      <c r="BD263" s="238">
        <v>0.11600000000000001</v>
      </c>
      <c r="BE263" s="256">
        <v>4.2000000000000003E-2</v>
      </c>
      <c r="BF263" s="256">
        <v>3.7999999999999999E-2</v>
      </c>
      <c r="BG263" s="257">
        <v>3.2000000000000001E-2</v>
      </c>
      <c r="BH263" s="239">
        <f t="shared" si="656"/>
        <v>2.9999999999999985E-2</v>
      </c>
      <c r="BI263" s="258">
        <v>0.14199999999999999</v>
      </c>
      <c r="BJ263" s="239"/>
      <c r="BK263" s="239"/>
      <c r="BL263" s="239"/>
      <c r="BM263" s="239"/>
      <c r="BN263" s="237"/>
      <c r="BO263" s="239"/>
      <c r="BP263" s="239"/>
      <c r="BQ263" s="239"/>
      <c r="BR263" s="239"/>
      <c r="BS263" s="237"/>
      <c r="BT263" s="237"/>
      <c r="BU263" s="237"/>
      <c r="BV263" s="237"/>
      <c r="BW263" s="4"/>
    </row>
    <row r="264" spans="1:75" ht="15.75" customHeight="1" outlineLevel="1" x14ac:dyDescent="0.2">
      <c r="A264" s="102" t="s">
        <v>621</v>
      </c>
      <c r="B264" s="102"/>
      <c r="C264" s="103"/>
      <c r="D264" s="103"/>
      <c r="E264" s="103"/>
      <c r="F264" s="103"/>
      <c r="G264" s="106"/>
      <c r="H264" s="106"/>
      <c r="I264" s="106"/>
      <c r="J264" s="106"/>
      <c r="K264" s="103"/>
      <c r="L264" s="106"/>
      <c r="M264" s="106"/>
      <c r="N264" s="106"/>
      <c r="O264" s="106"/>
      <c r="P264" s="103"/>
      <c r="Q264" s="106"/>
      <c r="R264" s="106"/>
      <c r="S264" s="106"/>
      <c r="T264" s="106"/>
      <c r="U264" s="103"/>
      <c r="V264" s="106"/>
      <c r="W264" s="106"/>
      <c r="X264" s="106"/>
      <c r="Y264" s="106"/>
      <c r="Z264" s="103"/>
      <c r="AA264" s="106"/>
      <c r="AB264" s="106"/>
      <c r="AC264" s="106"/>
      <c r="AD264" s="106"/>
      <c r="AE264" s="103"/>
      <c r="AF264" s="106"/>
      <c r="AG264" s="106"/>
      <c r="AH264" s="106"/>
      <c r="AI264" s="106"/>
      <c r="AJ264" s="103"/>
      <c r="AK264" s="106">
        <f t="shared" ref="AK264:BI264" si="657">SUM(AK261:AK263)</f>
        <v>42.838999999999999</v>
      </c>
      <c r="AL264" s="106">
        <f t="shared" si="657"/>
        <v>42.344000000000001</v>
      </c>
      <c r="AM264" s="106">
        <f t="shared" si="657"/>
        <v>42.119</v>
      </c>
      <c r="AN264" s="106">
        <f t="shared" si="657"/>
        <v>51.802999999999997</v>
      </c>
      <c r="AO264" s="103">
        <f t="shared" si="657"/>
        <v>179.10499999999999</v>
      </c>
      <c r="AP264" s="106">
        <f t="shared" si="657"/>
        <v>48.997999999999998</v>
      </c>
      <c r="AQ264" s="106">
        <f t="shared" si="657"/>
        <v>44.198</v>
      </c>
      <c r="AR264" s="106">
        <f t="shared" si="657"/>
        <v>46.664000000000001</v>
      </c>
      <c r="AS264" s="106">
        <f t="shared" si="657"/>
        <v>48.848000000000027</v>
      </c>
      <c r="AT264" s="103">
        <f t="shared" si="657"/>
        <v>188.708</v>
      </c>
      <c r="AU264" s="106">
        <f t="shared" si="657"/>
        <v>48.945</v>
      </c>
      <c r="AV264" s="106">
        <f t="shared" si="657"/>
        <v>51.742999999999995</v>
      </c>
      <c r="AW264" s="106">
        <f t="shared" si="657"/>
        <v>52.076999999999998</v>
      </c>
      <c r="AX264" s="106">
        <f t="shared" si="657"/>
        <v>53.261000000000003</v>
      </c>
      <c r="AY264" s="103">
        <f t="shared" si="657"/>
        <v>206.02599999999998</v>
      </c>
      <c r="AZ264" s="106">
        <f t="shared" si="657"/>
        <v>52.556000000000004</v>
      </c>
      <c r="BA264" s="106">
        <f t="shared" si="657"/>
        <v>55.499000000000002</v>
      </c>
      <c r="BB264" s="106">
        <f t="shared" si="657"/>
        <v>54.378999999999998</v>
      </c>
      <c r="BC264" s="106">
        <f t="shared" si="657"/>
        <v>59.618000000000009</v>
      </c>
      <c r="BD264" s="103">
        <f t="shared" si="657"/>
        <v>222.05199999999999</v>
      </c>
      <c r="BE264" s="106">
        <f t="shared" si="657"/>
        <v>57.613</v>
      </c>
      <c r="BF264" s="106">
        <f t="shared" si="657"/>
        <v>58.046999999999997</v>
      </c>
      <c r="BG264" s="110">
        <f t="shared" si="657"/>
        <v>57.065999999999995</v>
      </c>
      <c r="BH264" s="106">
        <f t="shared" si="657"/>
        <v>60.236999999999995</v>
      </c>
      <c r="BI264" s="107">
        <f t="shared" si="657"/>
        <v>232.96299999999999</v>
      </c>
      <c r="BJ264" s="106"/>
      <c r="BK264" s="106"/>
      <c r="BL264" s="106"/>
      <c r="BM264" s="106"/>
      <c r="BN264" s="103"/>
      <c r="BO264" s="106"/>
      <c r="BP264" s="106"/>
      <c r="BQ264" s="106"/>
      <c r="BR264" s="106"/>
      <c r="BS264" s="103"/>
      <c r="BT264" s="103"/>
      <c r="BU264" s="103"/>
      <c r="BV264" s="103"/>
      <c r="BW264" s="83"/>
    </row>
    <row r="265" spans="1:75" ht="15.75" customHeight="1" outlineLevel="1" x14ac:dyDescent="0.2">
      <c r="A265" s="85"/>
      <c r="B265" s="2"/>
      <c r="C265" s="237"/>
      <c r="D265" s="237"/>
      <c r="E265" s="237"/>
      <c r="F265" s="237"/>
      <c r="G265" s="239"/>
      <c r="H265" s="239"/>
      <c r="I265" s="239"/>
      <c r="J265" s="239"/>
      <c r="K265" s="237"/>
      <c r="L265" s="239"/>
      <c r="M265" s="239"/>
      <c r="N265" s="239"/>
      <c r="O265" s="239"/>
      <c r="P265" s="237"/>
      <c r="Q265" s="239"/>
      <c r="R265" s="239"/>
      <c r="S265" s="239"/>
      <c r="T265" s="239"/>
      <c r="U265" s="237"/>
      <c r="V265" s="239"/>
      <c r="W265" s="239"/>
      <c r="X265" s="239"/>
      <c r="Y265" s="239"/>
      <c r="Z265" s="237"/>
      <c r="AA265" s="239"/>
      <c r="AB265" s="239"/>
      <c r="AC265" s="239"/>
      <c r="AD265" s="239"/>
      <c r="AE265" s="237"/>
      <c r="AF265" s="239"/>
      <c r="AG265" s="239"/>
      <c r="AH265" s="239"/>
      <c r="AI265" s="239"/>
      <c r="AJ265" s="237"/>
      <c r="AK265" s="239"/>
      <c r="AL265" s="239"/>
      <c r="AM265" s="239"/>
      <c r="AN265" s="239"/>
      <c r="AO265" s="237"/>
      <c r="AP265" s="239"/>
      <c r="AQ265" s="239"/>
      <c r="AR265" s="239"/>
      <c r="AS265" s="239"/>
      <c r="AT265" s="237"/>
      <c r="AU265" s="239"/>
      <c r="AV265" s="239"/>
      <c r="AW265" s="239"/>
      <c r="AX265" s="239"/>
      <c r="AY265" s="237"/>
      <c r="AZ265" s="239"/>
      <c r="BA265" s="239"/>
      <c r="BB265" s="239"/>
      <c r="BC265" s="239"/>
      <c r="BD265" s="237"/>
      <c r="BE265" s="239"/>
      <c r="BF265" s="239"/>
      <c r="BG265" s="239"/>
      <c r="BH265" s="239"/>
      <c r="BI265" s="259"/>
      <c r="BJ265" s="239"/>
      <c r="BK265" s="239"/>
      <c r="BL265" s="239"/>
      <c r="BM265" s="239"/>
      <c r="BN265" s="237"/>
      <c r="BO265" s="239"/>
      <c r="BP265" s="239"/>
      <c r="BQ265" s="239"/>
      <c r="BR265" s="239"/>
      <c r="BS265" s="237"/>
      <c r="BT265" s="237"/>
      <c r="BU265" s="237"/>
      <c r="BV265" s="237"/>
      <c r="BW265" s="4"/>
    </row>
    <row r="266" spans="1:75" ht="15.75" customHeight="1" outlineLevel="1" x14ac:dyDescent="0.2">
      <c r="A266" s="85" t="s">
        <v>622</v>
      </c>
      <c r="B266" s="2"/>
      <c r="C266" s="238">
        <v>62.978999999999999</v>
      </c>
      <c r="D266" s="238">
        <v>62.981000000000002</v>
      </c>
      <c r="E266" s="238">
        <v>65.92</v>
      </c>
      <c r="F266" s="238">
        <v>68.524000000000001</v>
      </c>
      <c r="G266" s="239"/>
      <c r="H266" s="239"/>
      <c r="I266" s="239"/>
      <c r="J266" s="239"/>
      <c r="K266" s="238">
        <v>69.427000000000007</v>
      </c>
      <c r="L266" s="239"/>
      <c r="M266" s="239"/>
      <c r="N266" s="239"/>
      <c r="O266" s="239"/>
      <c r="P266" s="238">
        <v>71.828000000000003</v>
      </c>
      <c r="Q266" s="239"/>
      <c r="R266" s="239"/>
      <c r="S266" s="239"/>
      <c r="T266" s="239"/>
      <c r="U266" s="238">
        <v>74.980999999999995</v>
      </c>
      <c r="V266" s="239"/>
      <c r="W266" s="239"/>
      <c r="X266" s="239"/>
      <c r="Y266" s="239"/>
      <c r="Z266" s="238">
        <v>80.275999999999996</v>
      </c>
      <c r="AA266" s="239"/>
      <c r="AB266" s="239"/>
      <c r="AC266" s="239"/>
      <c r="AD266" s="239"/>
      <c r="AE266" s="238">
        <v>83.387</v>
      </c>
      <c r="AF266" s="256">
        <v>20.747</v>
      </c>
      <c r="AG266" s="256">
        <v>20.513999999999999</v>
      </c>
      <c r="AH266" s="256">
        <v>21.077999999999999</v>
      </c>
      <c r="AI266" s="239">
        <f t="shared" ref="AI266:AI268" si="658">AJ266-SUM(AF266,AG266,AH266)</f>
        <v>21.659999999999997</v>
      </c>
      <c r="AJ266" s="238">
        <v>83.998999999999995</v>
      </c>
      <c r="AK266" s="239"/>
      <c r="AL266" s="239"/>
      <c r="AM266" s="239"/>
      <c r="AN266" s="239"/>
      <c r="AO266" s="237"/>
      <c r="AP266" s="239"/>
      <c r="AQ266" s="239"/>
      <c r="AR266" s="239"/>
      <c r="AS266" s="239"/>
      <c r="AT266" s="237"/>
      <c r="AU266" s="239"/>
      <c r="AV266" s="239"/>
      <c r="AW266" s="239"/>
      <c r="AX266" s="239"/>
      <c r="AY266" s="237"/>
      <c r="AZ266" s="239"/>
      <c r="BA266" s="239"/>
      <c r="BB266" s="239"/>
      <c r="BC266" s="239"/>
      <c r="BD266" s="237"/>
      <c r="BE266" s="239"/>
      <c r="BF266" s="239"/>
      <c r="BG266" s="239"/>
      <c r="BH266" s="239"/>
      <c r="BI266" s="259"/>
      <c r="BJ266" s="239"/>
      <c r="BK266" s="239"/>
      <c r="BL266" s="239"/>
      <c r="BM266" s="239"/>
      <c r="BN266" s="237"/>
      <c r="BO266" s="239"/>
      <c r="BP266" s="239"/>
      <c r="BQ266" s="239"/>
      <c r="BR266" s="239"/>
      <c r="BS266" s="237"/>
      <c r="BT266" s="237"/>
      <c r="BU266" s="237"/>
      <c r="BV266" s="237"/>
      <c r="BW266" s="4"/>
    </row>
    <row r="267" spans="1:75" ht="15.75" customHeight="1" outlineLevel="1" x14ac:dyDescent="0.2">
      <c r="A267" s="85" t="s">
        <v>623</v>
      </c>
      <c r="B267" s="2"/>
      <c r="C267" s="238">
        <v>17.567</v>
      </c>
      <c r="D267" s="238">
        <v>18.696000000000002</v>
      </c>
      <c r="E267" s="238">
        <v>19.908999999999999</v>
      </c>
      <c r="F267" s="238">
        <v>20.103999999999999</v>
      </c>
      <c r="G267" s="239"/>
      <c r="H267" s="239"/>
      <c r="I267" s="239"/>
      <c r="J267" s="239"/>
      <c r="K267" s="238">
        <v>20.698</v>
      </c>
      <c r="L267" s="239"/>
      <c r="M267" s="239"/>
      <c r="N267" s="239"/>
      <c r="O267" s="239"/>
      <c r="P267" s="238">
        <v>19.895</v>
      </c>
      <c r="Q267" s="239"/>
      <c r="R267" s="239"/>
      <c r="S267" s="239"/>
      <c r="T267" s="239"/>
      <c r="U267" s="238">
        <v>21.16</v>
      </c>
      <c r="V267" s="239"/>
      <c r="W267" s="239"/>
      <c r="X267" s="239"/>
      <c r="Y267" s="239"/>
      <c r="Z267" s="238">
        <v>22.408000000000001</v>
      </c>
      <c r="AA267" s="239"/>
      <c r="AB267" s="239"/>
      <c r="AC267" s="239"/>
      <c r="AD267" s="239"/>
      <c r="AE267" s="238">
        <v>19.559000000000001</v>
      </c>
      <c r="AF267" s="256">
        <v>5.0949999999999998</v>
      </c>
      <c r="AG267" s="256">
        <v>5.1130000000000004</v>
      </c>
      <c r="AH267" s="256">
        <v>4.9800000000000004</v>
      </c>
      <c r="AI267" s="239">
        <f t="shared" si="658"/>
        <v>4.9589999999999979</v>
      </c>
      <c r="AJ267" s="238">
        <v>20.146999999999998</v>
      </c>
      <c r="AK267" s="239"/>
      <c r="AL267" s="239"/>
      <c r="AM267" s="239"/>
      <c r="AN267" s="239"/>
      <c r="AO267" s="237"/>
      <c r="AP267" s="239"/>
      <c r="AQ267" s="239"/>
      <c r="AR267" s="239"/>
      <c r="AS267" s="239"/>
      <c r="AT267" s="237"/>
      <c r="AU267" s="239"/>
      <c r="AV267" s="239"/>
      <c r="AW267" s="239"/>
      <c r="AX267" s="239"/>
      <c r="AY267" s="237"/>
      <c r="AZ267" s="239"/>
      <c r="BA267" s="239"/>
      <c r="BB267" s="239"/>
      <c r="BC267" s="239"/>
      <c r="BD267" s="237"/>
      <c r="BE267" s="239"/>
      <c r="BF267" s="239"/>
      <c r="BG267" s="239"/>
      <c r="BH267" s="239"/>
      <c r="BI267" s="259"/>
      <c r="BJ267" s="239"/>
      <c r="BK267" s="239"/>
      <c r="BL267" s="239"/>
      <c r="BM267" s="239"/>
      <c r="BN267" s="237"/>
      <c r="BO267" s="239"/>
      <c r="BP267" s="239"/>
      <c r="BQ267" s="239"/>
      <c r="BR267" s="239"/>
      <c r="BS267" s="237"/>
      <c r="BT267" s="237"/>
      <c r="BU267" s="237"/>
      <c r="BV267" s="237"/>
      <c r="BW267" s="4"/>
    </row>
    <row r="268" spans="1:75" ht="15.75" customHeight="1" outlineLevel="1" x14ac:dyDescent="0.2">
      <c r="A268" s="85" t="s">
        <v>624</v>
      </c>
      <c r="B268" s="2"/>
      <c r="C268" s="238">
        <v>25.78</v>
      </c>
      <c r="D268" s="238">
        <v>25.335000000000001</v>
      </c>
      <c r="E268" s="238">
        <v>25.96</v>
      </c>
      <c r="F268" s="238">
        <v>28.039000000000001</v>
      </c>
      <c r="G268" s="239"/>
      <c r="H268" s="239"/>
      <c r="I268" s="239"/>
      <c r="J268" s="239"/>
      <c r="K268" s="238">
        <v>29.552</v>
      </c>
      <c r="L268" s="239"/>
      <c r="M268" s="239"/>
      <c r="N268" s="239"/>
      <c r="O268" s="239"/>
      <c r="P268" s="238">
        <v>31.074000000000002</v>
      </c>
      <c r="Q268" s="239"/>
      <c r="R268" s="239"/>
      <c r="S268" s="239"/>
      <c r="T268" s="239"/>
      <c r="U268" s="238">
        <v>34.601999999999997</v>
      </c>
      <c r="V268" s="239"/>
      <c r="W268" s="239"/>
      <c r="X268" s="239"/>
      <c r="Y268" s="239"/>
      <c r="Z268" s="238">
        <v>36.252000000000002</v>
      </c>
      <c r="AA268" s="239"/>
      <c r="AB268" s="239"/>
      <c r="AC268" s="239"/>
      <c r="AD268" s="239"/>
      <c r="AE268" s="238">
        <v>38.103000000000002</v>
      </c>
      <c r="AF268" s="256">
        <v>9.9290000000000003</v>
      </c>
      <c r="AG268" s="256">
        <v>9.9090000000000007</v>
      </c>
      <c r="AH268" s="256">
        <v>10.11</v>
      </c>
      <c r="AI268" s="239">
        <f t="shared" si="658"/>
        <v>10.012999999999998</v>
      </c>
      <c r="AJ268" s="238">
        <v>39.960999999999999</v>
      </c>
      <c r="AK268" s="239"/>
      <c r="AL268" s="239"/>
      <c r="AM268" s="239"/>
      <c r="AN268" s="239"/>
      <c r="AO268" s="237"/>
      <c r="AP268" s="239"/>
      <c r="AQ268" s="239"/>
      <c r="AR268" s="239"/>
      <c r="AS268" s="239"/>
      <c r="AT268" s="237"/>
      <c r="AU268" s="239"/>
      <c r="AV268" s="239"/>
      <c r="AW268" s="239"/>
      <c r="AX268" s="239"/>
      <c r="AY268" s="237"/>
      <c r="AZ268" s="239"/>
      <c r="BA268" s="239"/>
      <c r="BB268" s="239"/>
      <c r="BC268" s="239"/>
      <c r="BD268" s="237"/>
      <c r="BE268" s="239"/>
      <c r="BF268" s="239"/>
      <c r="BG268" s="239"/>
      <c r="BH268" s="239"/>
      <c r="BI268" s="259"/>
      <c r="BJ268" s="239"/>
      <c r="BK268" s="239"/>
      <c r="BL268" s="239"/>
      <c r="BM268" s="239"/>
      <c r="BN268" s="237"/>
      <c r="BO268" s="239"/>
      <c r="BP268" s="239"/>
      <c r="BQ268" s="239"/>
      <c r="BR268" s="239"/>
      <c r="BS268" s="237"/>
      <c r="BT268" s="237"/>
      <c r="BU268" s="237"/>
      <c r="BV268" s="237"/>
      <c r="BW268" s="4"/>
    </row>
    <row r="269" spans="1:75" ht="15.75" customHeight="1" outlineLevel="1" x14ac:dyDescent="0.2">
      <c r="A269" s="102" t="s">
        <v>625</v>
      </c>
      <c r="B269" s="102"/>
      <c r="C269" s="103">
        <f t="shared" ref="C269:F269" si="659">SUM(C266:C268)</f>
        <v>106.32599999999999</v>
      </c>
      <c r="D269" s="103">
        <f t="shared" si="659"/>
        <v>107.012</v>
      </c>
      <c r="E269" s="103">
        <f t="shared" si="659"/>
        <v>111.78900000000002</v>
      </c>
      <c r="F269" s="103">
        <f t="shared" si="659"/>
        <v>116.667</v>
      </c>
      <c r="G269" s="106"/>
      <c r="H269" s="106"/>
      <c r="I269" s="106"/>
      <c r="J269" s="106"/>
      <c r="K269" s="103">
        <f>SUM(K266:K268)</f>
        <v>119.67699999999999</v>
      </c>
      <c r="L269" s="106"/>
      <c r="M269" s="106"/>
      <c r="N269" s="106"/>
      <c r="O269" s="106"/>
      <c r="P269" s="103">
        <f>SUM(P266:P268)</f>
        <v>122.797</v>
      </c>
      <c r="Q269" s="106"/>
      <c r="R269" s="106"/>
      <c r="S269" s="106"/>
      <c r="T269" s="106"/>
      <c r="U269" s="103">
        <f>SUM(U266:U268)</f>
        <v>130.74299999999999</v>
      </c>
      <c r="V269" s="106"/>
      <c r="W269" s="106"/>
      <c r="X269" s="106"/>
      <c r="Y269" s="106"/>
      <c r="Z269" s="103">
        <f>SUM(Z266:Z268)</f>
        <v>138.93600000000001</v>
      </c>
      <c r="AA269" s="106"/>
      <c r="AB269" s="106"/>
      <c r="AC269" s="106"/>
      <c r="AD269" s="106"/>
      <c r="AE269" s="103">
        <f t="shared" ref="AE269:AJ269" si="660">SUM(AE266:AE268)</f>
        <v>141.04900000000001</v>
      </c>
      <c r="AF269" s="106">
        <f t="shared" si="660"/>
        <v>35.771000000000001</v>
      </c>
      <c r="AG269" s="106">
        <f t="shared" si="660"/>
        <v>35.536000000000001</v>
      </c>
      <c r="AH269" s="106">
        <f t="shared" si="660"/>
        <v>36.167999999999999</v>
      </c>
      <c r="AI269" s="106">
        <f t="shared" si="660"/>
        <v>36.631999999999991</v>
      </c>
      <c r="AJ269" s="103">
        <f t="shared" si="660"/>
        <v>144.10699999999997</v>
      </c>
      <c r="AK269" s="106"/>
      <c r="AL269" s="106"/>
      <c r="AM269" s="106"/>
      <c r="AN269" s="106"/>
      <c r="AO269" s="103"/>
      <c r="AP269" s="106"/>
      <c r="AQ269" s="106"/>
      <c r="AR269" s="106"/>
      <c r="AS269" s="106"/>
      <c r="AT269" s="103"/>
      <c r="AU269" s="106"/>
      <c r="AV269" s="106"/>
      <c r="AW269" s="106"/>
      <c r="AX269" s="106"/>
      <c r="AY269" s="103"/>
      <c r="AZ269" s="106"/>
      <c r="BA269" s="106"/>
      <c r="BB269" s="106"/>
      <c r="BC269" s="106"/>
      <c r="BD269" s="103"/>
      <c r="BE269" s="106"/>
      <c r="BF269" s="106"/>
      <c r="BG269" s="106"/>
      <c r="BH269" s="106"/>
      <c r="BI269" s="115"/>
      <c r="BJ269" s="106"/>
      <c r="BK269" s="106"/>
      <c r="BL269" s="106"/>
      <c r="BM269" s="106"/>
      <c r="BN269" s="103"/>
      <c r="BO269" s="106"/>
      <c r="BP269" s="106"/>
      <c r="BQ269" s="106"/>
      <c r="BR269" s="106"/>
      <c r="BS269" s="103"/>
      <c r="BT269" s="103"/>
      <c r="BU269" s="103"/>
      <c r="BV269" s="103"/>
      <c r="BW269" s="83"/>
    </row>
    <row r="270" spans="1:75" ht="15.75" customHeight="1" x14ac:dyDescent="0.2">
      <c r="A270" s="254"/>
      <c r="B270" s="242"/>
      <c r="C270" s="243"/>
      <c r="D270" s="243"/>
      <c r="E270" s="243"/>
      <c r="F270" s="243"/>
      <c r="G270" s="245"/>
      <c r="H270" s="245"/>
      <c r="I270" s="245"/>
      <c r="J270" s="245"/>
      <c r="K270" s="243"/>
      <c r="L270" s="245"/>
      <c r="M270" s="245"/>
      <c r="N270" s="245"/>
      <c r="O270" s="245"/>
      <c r="P270" s="243"/>
      <c r="Q270" s="245"/>
      <c r="R270" s="245"/>
      <c r="S270" s="245"/>
      <c r="T270" s="245"/>
      <c r="U270" s="243"/>
      <c r="V270" s="245"/>
      <c r="W270" s="245"/>
      <c r="X270" s="245"/>
      <c r="Y270" s="245"/>
      <c r="Z270" s="243"/>
      <c r="AA270" s="245"/>
      <c r="AB270" s="245"/>
      <c r="AC270" s="245"/>
      <c r="AD270" s="245"/>
      <c r="AE270" s="243"/>
      <c r="AF270" s="245"/>
      <c r="AG270" s="245"/>
      <c r="AH270" s="245"/>
      <c r="AI270" s="245"/>
      <c r="AJ270" s="243"/>
      <c r="AK270" s="245"/>
      <c r="AL270" s="245"/>
      <c r="AM270" s="245"/>
      <c r="AN270" s="245"/>
      <c r="AO270" s="243"/>
      <c r="AP270" s="245"/>
      <c r="AQ270" s="245"/>
      <c r="AR270" s="245"/>
      <c r="AS270" s="245"/>
      <c r="AT270" s="243"/>
      <c r="AU270" s="245"/>
      <c r="AV270" s="245"/>
      <c r="AW270" s="245"/>
      <c r="AX270" s="245"/>
      <c r="AY270" s="243"/>
      <c r="AZ270" s="245"/>
      <c r="BA270" s="245"/>
      <c r="BB270" s="245"/>
      <c r="BC270" s="245"/>
      <c r="BD270" s="243"/>
      <c r="BE270" s="245"/>
      <c r="BF270" s="245"/>
      <c r="BG270" s="245"/>
      <c r="BH270" s="245"/>
      <c r="BI270" s="255"/>
      <c r="BJ270" s="245"/>
      <c r="BK270" s="245"/>
      <c r="BL270" s="245"/>
      <c r="BM270" s="245"/>
      <c r="BN270" s="243"/>
      <c r="BO270" s="245"/>
      <c r="BP270" s="245"/>
      <c r="BQ270" s="245"/>
      <c r="BR270" s="245"/>
      <c r="BS270" s="243"/>
      <c r="BT270" s="243"/>
      <c r="BU270" s="243"/>
      <c r="BV270" s="243"/>
      <c r="BW270" s="247"/>
    </row>
    <row r="271" spans="1:75" ht="15.75" customHeight="1" x14ac:dyDescent="0.2">
      <c r="A271" s="81" t="s">
        <v>626</v>
      </c>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2"/>
      <c r="BJ271" s="81"/>
      <c r="BK271" s="81"/>
      <c r="BL271" s="81"/>
      <c r="BM271" s="81"/>
      <c r="BN271" s="81"/>
      <c r="BO271" s="81"/>
      <c r="BP271" s="81"/>
      <c r="BQ271" s="81"/>
      <c r="BR271" s="81"/>
      <c r="BS271" s="81"/>
      <c r="BT271" s="81"/>
      <c r="BU271" s="81"/>
      <c r="BV271" s="81"/>
      <c r="BW271" s="83"/>
    </row>
    <row r="272" spans="1:75" ht="15.75" customHeight="1" outlineLevel="1" x14ac:dyDescent="0.2">
      <c r="A272" s="125" t="s">
        <v>627</v>
      </c>
      <c r="B272" s="154"/>
      <c r="C272" s="260">
        <v>30000</v>
      </c>
      <c r="D272" s="260">
        <v>31500</v>
      </c>
      <c r="E272" s="260">
        <v>32200</v>
      </c>
      <c r="F272" s="260">
        <v>33900</v>
      </c>
      <c r="G272" s="261"/>
      <c r="H272" s="261"/>
      <c r="I272" s="261"/>
      <c r="J272" s="261"/>
      <c r="K272" s="260">
        <v>35500</v>
      </c>
      <c r="L272" s="261"/>
      <c r="M272" s="261"/>
      <c r="N272" s="261"/>
      <c r="O272" s="261"/>
      <c r="P272" s="260">
        <v>35700</v>
      </c>
      <c r="Q272" s="261"/>
      <c r="R272" s="261"/>
      <c r="S272" s="261"/>
      <c r="T272" s="261"/>
      <c r="U272" s="260">
        <v>37600</v>
      </c>
      <c r="V272" s="261"/>
      <c r="W272" s="261"/>
      <c r="X272" s="261"/>
      <c r="Y272" s="261"/>
      <c r="Z272" s="260">
        <v>38800</v>
      </c>
      <c r="AA272" s="261"/>
      <c r="AB272" s="261"/>
      <c r="AC272" s="261"/>
      <c r="AD272" s="261"/>
      <c r="AE272" s="260">
        <v>39100</v>
      </c>
      <c r="AF272" s="261"/>
      <c r="AG272" s="261"/>
      <c r="AH272" s="261"/>
      <c r="AI272" s="261"/>
      <c r="AJ272" s="260">
        <v>38700</v>
      </c>
      <c r="AK272" s="261"/>
      <c r="AL272" s="261"/>
      <c r="AM272" s="261"/>
      <c r="AN272" s="261"/>
      <c r="AO272" s="260">
        <v>46250</v>
      </c>
      <c r="AP272" s="261"/>
      <c r="AQ272" s="261"/>
      <c r="AR272" s="261"/>
      <c r="AS272" s="261"/>
      <c r="AT272" s="260">
        <v>42500</v>
      </c>
      <c r="AU272" s="261"/>
      <c r="AV272" s="261"/>
      <c r="AW272" s="261"/>
      <c r="AX272" s="261"/>
      <c r="AY272" s="260">
        <v>45800</v>
      </c>
      <c r="AZ272" s="261"/>
      <c r="BA272" s="261"/>
      <c r="BB272" s="261"/>
      <c r="BC272" s="261"/>
      <c r="BD272" s="260">
        <v>47500</v>
      </c>
      <c r="BE272" s="261"/>
      <c r="BF272" s="261"/>
      <c r="BG272" s="261"/>
      <c r="BH272" s="261"/>
      <c r="BI272" s="262">
        <v>47900</v>
      </c>
      <c r="BJ272" s="261"/>
      <c r="BK272" s="261"/>
      <c r="BL272" s="261"/>
      <c r="BM272" s="261"/>
      <c r="BN272" s="263"/>
      <c r="BO272" s="261"/>
      <c r="BP272" s="261"/>
      <c r="BQ272" s="261"/>
      <c r="BR272" s="261"/>
      <c r="BS272" s="263"/>
      <c r="BT272" s="263"/>
      <c r="BU272" s="263"/>
      <c r="BV272" s="263"/>
      <c r="BW272" s="131"/>
    </row>
    <row r="273" spans="1:75" ht="15.75" customHeight="1" x14ac:dyDescent="0.2">
      <c r="A273" s="254"/>
      <c r="B273" s="242"/>
      <c r="C273" s="243"/>
      <c r="D273" s="243"/>
      <c r="E273" s="243"/>
      <c r="F273" s="243"/>
      <c r="G273" s="245"/>
      <c r="H273" s="245"/>
      <c r="I273" s="245"/>
      <c r="J273" s="245"/>
      <c r="K273" s="243"/>
      <c r="L273" s="245"/>
      <c r="M273" s="245"/>
      <c r="N273" s="245"/>
      <c r="O273" s="245"/>
      <c r="P273" s="243"/>
      <c r="Q273" s="245"/>
      <c r="R273" s="245"/>
      <c r="S273" s="245"/>
      <c r="T273" s="245"/>
      <c r="U273" s="243"/>
      <c r="V273" s="245"/>
      <c r="W273" s="245"/>
      <c r="X273" s="245"/>
      <c r="Y273" s="245"/>
      <c r="Z273" s="243"/>
      <c r="AA273" s="245"/>
      <c r="AB273" s="245"/>
      <c r="AC273" s="245"/>
      <c r="AD273" s="245"/>
      <c r="AE273" s="243"/>
      <c r="AF273" s="245"/>
      <c r="AG273" s="245"/>
      <c r="AH273" s="245"/>
      <c r="AI273" s="245"/>
      <c r="AJ273" s="243"/>
      <c r="AK273" s="245"/>
      <c r="AL273" s="245"/>
      <c r="AM273" s="245"/>
      <c r="AN273" s="245"/>
      <c r="AO273" s="243"/>
      <c r="AP273" s="245"/>
      <c r="AQ273" s="245"/>
      <c r="AR273" s="245"/>
      <c r="AS273" s="245"/>
      <c r="AT273" s="243"/>
      <c r="AU273" s="245"/>
      <c r="AV273" s="245"/>
      <c r="AW273" s="245"/>
      <c r="AX273" s="245"/>
      <c r="AY273" s="243"/>
      <c r="AZ273" s="245"/>
      <c r="BA273" s="245"/>
      <c r="BB273" s="245"/>
      <c r="BC273" s="245"/>
      <c r="BD273" s="243"/>
      <c r="BE273" s="245"/>
      <c r="BF273" s="245"/>
      <c r="BG273" s="245"/>
      <c r="BH273" s="245"/>
      <c r="BI273" s="255"/>
      <c r="BJ273" s="245"/>
      <c r="BK273" s="245"/>
      <c r="BL273" s="245"/>
      <c r="BM273" s="245"/>
      <c r="BN273" s="243"/>
      <c r="BO273" s="245"/>
      <c r="BP273" s="245"/>
      <c r="BQ273" s="245"/>
      <c r="BR273" s="245"/>
      <c r="BS273" s="243"/>
      <c r="BT273" s="243"/>
      <c r="BU273" s="243"/>
      <c r="BV273" s="243"/>
      <c r="BW273" s="247"/>
    </row>
    <row r="274" spans="1:75" ht="15.75" customHeight="1" x14ac:dyDescent="0.2">
      <c r="A274" s="81" t="s">
        <v>628</v>
      </c>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2"/>
      <c r="BJ274" s="81"/>
      <c r="BK274" s="81"/>
      <c r="BL274" s="81"/>
      <c r="BM274" s="81"/>
      <c r="BN274" s="81"/>
      <c r="BO274" s="81"/>
      <c r="BP274" s="81"/>
      <c r="BQ274" s="81"/>
      <c r="BR274" s="81"/>
      <c r="BS274" s="81"/>
      <c r="BT274" s="81"/>
      <c r="BU274" s="81"/>
      <c r="BV274" s="81"/>
      <c r="BW274" s="83"/>
    </row>
    <row r="275" spans="1:75" ht="15.75" customHeight="1" outlineLevel="1" x14ac:dyDescent="0.2">
      <c r="A275" s="85" t="s">
        <v>629</v>
      </c>
      <c r="B275" s="2"/>
      <c r="C275" s="237"/>
      <c r="D275" s="237"/>
      <c r="E275" s="237"/>
      <c r="F275" s="237">
        <f t="shared" ref="F275:BI275" si="661">F26+F27+F28+F31</f>
        <v>1604.825</v>
      </c>
      <c r="G275" s="239">
        <f t="shared" si="661"/>
        <v>412.55099999999999</v>
      </c>
      <c r="H275" s="239">
        <f t="shared" si="661"/>
        <v>424.84500000000003</v>
      </c>
      <c r="I275" s="239">
        <f t="shared" si="661"/>
        <v>425.084</v>
      </c>
      <c r="J275" s="239">
        <f t="shared" si="661"/>
        <v>425.55599999999998</v>
      </c>
      <c r="K275" s="237">
        <f t="shared" si="661"/>
        <v>1688.0360000000001</v>
      </c>
      <c r="L275" s="239">
        <f t="shared" si="661"/>
        <v>436.60599999999999</v>
      </c>
      <c r="M275" s="239">
        <f t="shared" si="661"/>
        <v>451.45400000000001</v>
      </c>
      <c r="N275" s="239">
        <f t="shared" si="661"/>
        <v>454.27100000000002</v>
      </c>
      <c r="O275" s="239">
        <f t="shared" si="661"/>
        <v>450.46499999999997</v>
      </c>
      <c r="P275" s="237">
        <f t="shared" si="661"/>
        <v>1792.796</v>
      </c>
      <c r="Q275" s="239">
        <f t="shared" si="661"/>
        <v>503.94967661016949</v>
      </c>
      <c r="R275" s="239">
        <f t="shared" si="661"/>
        <v>514.44875428571436</v>
      </c>
      <c r="S275" s="239">
        <f t="shared" si="661"/>
        <v>513.0604009589041</v>
      </c>
      <c r="T275" s="239">
        <f t="shared" si="661"/>
        <v>508.26360852130324</v>
      </c>
      <c r="U275" s="237">
        <f t="shared" si="661"/>
        <v>2039.7224403760911</v>
      </c>
      <c r="V275" s="239">
        <f t="shared" si="661"/>
        <v>540.01522699507382</v>
      </c>
      <c r="W275" s="239">
        <f t="shared" si="661"/>
        <v>544.4522219607843</v>
      </c>
      <c r="X275" s="239">
        <f t="shared" si="661"/>
        <v>543.90042539682531</v>
      </c>
      <c r="Y275" s="239">
        <f t="shared" si="661"/>
        <v>582.52473933085503</v>
      </c>
      <c r="Z275" s="237">
        <f t="shared" si="661"/>
        <v>2210.8926136835389</v>
      </c>
      <c r="AA275" s="239">
        <f t="shared" si="661"/>
        <v>547.82651793814432</v>
      </c>
      <c r="AB275" s="239">
        <f t="shared" si="661"/>
        <v>553.32974933651167</v>
      </c>
      <c r="AC275" s="239">
        <f t="shared" si="661"/>
        <v>539.00795068100354</v>
      </c>
      <c r="AD275" s="239">
        <f t="shared" si="661"/>
        <v>550.41928463949853</v>
      </c>
      <c r="AE275" s="237">
        <f t="shared" si="661"/>
        <v>2190.5835025951578</v>
      </c>
      <c r="AF275" s="239">
        <f t="shared" si="661"/>
        <v>573.72568020100505</v>
      </c>
      <c r="AG275" s="239">
        <f t="shared" si="661"/>
        <v>575.89259810999226</v>
      </c>
      <c r="AH275" s="239">
        <f t="shared" si="661"/>
        <v>562.79371069767444</v>
      </c>
      <c r="AI275" s="239">
        <f t="shared" si="661"/>
        <v>564.98780684393057</v>
      </c>
      <c r="AJ275" s="237">
        <f t="shared" si="661"/>
        <v>2259.8247958526026</v>
      </c>
      <c r="AK275" s="239">
        <f t="shared" si="661"/>
        <v>582.2137721393035</v>
      </c>
      <c r="AL275" s="239">
        <f t="shared" si="661"/>
        <v>585.65461320121949</v>
      </c>
      <c r="AM275" s="239">
        <f t="shared" si="661"/>
        <v>567.85642012176561</v>
      </c>
      <c r="AN275" s="239">
        <f t="shared" si="661"/>
        <v>669.18319466666662</v>
      </c>
      <c r="AO275" s="237">
        <f t="shared" si="661"/>
        <v>2404.9080001289553</v>
      </c>
      <c r="AP275" s="239">
        <f t="shared" si="661"/>
        <v>596.36648771877333</v>
      </c>
      <c r="AQ275" s="239">
        <f t="shared" si="661"/>
        <v>278.68187927272731</v>
      </c>
      <c r="AR275" s="239">
        <f t="shared" si="661"/>
        <v>495.68036988730279</v>
      </c>
      <c r="AS275" s="239">
        <f t="shared" si="661"/>
        <v>529.63359834958749</v>
      </c>
      <c r="AT275" s="237">
        <f t="shared" si="661"/>
        <v>1900.362335228391</v>
      </c>
      <c r="AU275" s="239">
        <f t="shared" si="661"/>
        <v>605.48068815533975</v>
      </c>
      <c r="AV275" s="239">
        <f t="shared" si="661"/>
        <v>746.99084135265707</v>
      </c>
      <c r="AW275" s="239">
        <f t="shared" si="661"/>
        <v>731.12786433618442</v>
      </c>
      <c r="AX275" s="239">
        <f t="shared" si="661"/>
        <v>752.6512094814816</v>
      </c>
      <c r="AY275" s="237">
        <f t="shared" si="661"/>
        <v>2836.2506033256627</v>
      </c>
      <c r="AZ275" s="239">
        <f t="shared" si="661"/>
        <v>769.70720615384607</v>
      </c>
      <c r="BA275" s="239">
        <f t="shared" si="661"/>
        <v>809.63296846153844</v>
      </c>
      <c r="BB275" s="239">
        <f t="shared" si="661"/>
        <v>760.07780986321632</v>
      </c>
      <c r="BC275" s="239">
        <f t="shared" si="661"/>
        <v>867.16918298741075</v>
      </c>
      <c r="BD275" s="237">
        <f t="shared" si="661"/>
        <v>3206.5871674660116</v>
      </c>
      <c r="BE275" s="239">
        <f t="shared" si="661"/>
        <v>841.00117690015134</v>
      </c>
      <c r="BF275" s="239">
        <f t="shared" si="661"/>
        <v>842.304299849514</v>
      </c>
      <c r="BG275" s="239">
        <f t="shared" si="661"/>
        <v>805.38195113207553</v>
      </c>
      <c r="BH275" s="239">
        <f t="shared" si="661"/>
        <v>850.67544506647471</v>
      </c>
      <c r="BI275" s="259">
        <f t="shared" si="661"/>
        <v>3339.3628729482161</v>
      </c>
      <c r="BJ275" s="239"/>
      <c r="BK275" s="239"/>
      <c r="BL275" s="239"/>
      <c r="BM275" s="239"/>
      <c r="BN275" s="237"/>
      <c r="BO275" s="239"/>
      <c r="BP275" s="239"/>
      <c r="BQ275" s="239"/>
      <c r="BR275" s="239"/>
      <c r="BS275" s="237"/>
      <c r="BT275" s="237"/>
      <c r="BU275" s="237"/>
      <c r="BV275" s="237"/>
      <c r="BW275" s="4"/>
    </row>
    <row r="276" spans="1:75" ht="15.75" customHeight="1" outlineLevel="1" x14ac:dyDescent="0.2">
      <c r="A276" s="85" t="s">
        <v>630</v>
      </c>
      <c r="B276" s="2"/>
      <c r="C276" s="237"/>
      <c r="D276" s="237"/>
      <c r="E276" s="237"/>
      <c r="F276" s="237"/>
      <c r="G276" s="239"/>
      <c r="H276" s="239"/>
      <c r="I276" s="239"/>
      <c r="J276" s="239"/>
      <c r="K276" s="237"/>
      <c r="L276" s="239"/>
      <c r="M276" s="239"/>
      <c r="N276" s="239"/>
      <c r="O276" s="239"/>
      <c r="P276" s="237"/>
      <c r="Q276" s="239">
        <f t="shared" ref="Q276:BI276" si="662">Q217</f>
        <v>19.233233898305091</v>
      </c>
      <c r="R276" s="239">
        <f t="shared" si="662"/>
        <v>19.582457142857145</v>
      </c>
      <c r="S276" s="239">
        <f t="shared" si="662"/>
        <v>19.275990410958904</v>
      </c>
      <c r="T276" s="239">
        <f t="shared" si="662"/>
        <v>22.773914786967424</v>
      </c>
      <c r="U276" s="237">
        <f t="shared" si="662"/>
        <v>80.865596239088575</v>
      </c>
      <c r="V276" s="239">
        <f t="shared" si="662"/>
        <v>23.777730049261081</v>
      </c>
      <c r="W276" s="239">
        <f t="shared" si="662"/>
        <v>26.09778039215686</v>
      </c>
      <c r="X276" s="239">
        <f t="shared" si="662"/>
        <v>28.175746031746034</v>
      </c>
      <c r="Y276" s="239">
        <f t="shared" si="662"/>
        <v>34.212606691449814</v>
      </c>
      <c r="Z276" s="237">
        <f t="shared" si="662"/>
        <v>112.26386316461378</v>
      </c>
      <c r="AA276" s="239">
        <f t="shared" si="662"/>
        <v>33.994820618556702</v>
      </c>
      <c r="AB276" s="239">
        <f t="shared" si="662"/>
        <v>34.3925066348828</v>
      </c>
      <c r="AC276" s="239">
        <f t="shared" si="662"/>
        <v>37.840493189964157</v>
      </c>
      <c r="AD276" s="239">
        <f t="shared" si="662"/>
        <v>41.957153605015684</v>
      </c>
      <c r="AE276" s="237">
        <f t="shared" si="662"/>
        <v>148.18497404841935</v>
      </c>
      <c r="AF276" s="239">
        <f t="shared" si="662"/>
        <v>45.65319798994976</v>
      </c>
      <c r="AG276" s="239">
        <f t="shared" si="662"/>
        <v>45.854018900077463</v>
      </c>
      <c r="AH276" s="239">
        <f t="shared" si="662"/>
        <v>44.882893023255818</v>
      </c>
      <c r="AI276" s="239">
        <f t="shared" si="662"/>
        <v>44.67193156069365</v>
      </c>
      <c r="AJ276" s="237">
        <f t="shared" si="662"/>
        <v>181.06204147397668</v>
      </c>
      <c r="AK276" s="239">
        <f t="shared" si="662"/>
        <v>43.672278606965179</v>
      </c>
      <c r="AL276" s="239">
        <f t="shared" si="662"/>
        <v>45.90386798780488</v>
      </c>
      <c r="AM276" s="239">
        <f t="shared" si="662"/>
        <v>48.795798782343994</v>
      </c>
      <c r="AN276" s="239">
        <f t="shared" si="662"/>
        <v>55.468053333333337</v>
      </c>
      <c r="AO276" s="237">
        <f t="shared" si="662"/>
        <v>193.83999871044739</v>
      </c>
      <c r="AP276" s="239">
        <f t="shared" si="662"/>
        <v>49.395122812266266</v>
      </c>
      <c r="AQ276" s="239">
        <f t="shared" si="662"/>
        <v>24.691207272727276</v>
      </c>
      <c r="AR276" s="239">
        <f t="shared" si="662"/>
        <v>42.356301126972198</v>
      </c>
      <c r="AS276" s="239">
        <f t="shared" si="662"/>
        <v>46.184016504126049</v>
      </c>
      <c r="AT276" s="237">
        <f t="shared" si="662"/>
        <v>162.62664771609178</v>
      </c>
      <c r="AU276" s="239">
        <f t="shared" si="662"/>
        <v>52.363118446601931</v>
      </c>
      <c r="AV276" s="239">
        <f t="shared" si="662"/>
        <v>65.651586473429973</v>
      </c>
      <c r="AW276" s="239">
        <f t="shared" si="662"/>
        <v>66.461356638155451</v>
      </c>
      <c r="AX276" s="239">
        <f t="shared" si="662"/>
        <v>66.417905185185205</v>
      </c>
      <c r="AY276" s="237">
        <f t="shared" si="662"/>
        <v>250.89396674337257</v>
      </c>
      <c r="AZ276" s="239">
        <f t="shared" si="662"/>
        <v>68.017938461538463</v>
      </c>
      <c r="BA276" s="239">
        <f t="shared" si="662"/>
        <v>71.480315384615366</v>
      </c>
      <c r="BB276" s="239">
        <f t="shared" si="662"/>
        <v>67.221901367837347</v>
      </c>
      <c r="BC276" s="239">
        <f t="shared" si="662"/>
        <v>77.108170125893167</v>
      </c>
      <c r="BD276" s="237">
        <f t="shared" si="662"/>
        <v>283.82832533988437</v>
      </c>
      <c r="BE276" s="239">
        <f t="shared" si="662"/>
        <v>73.957930998486347</v>
      </c>
      <c r="BF276" s="239">
        <f t="shared" si="662"/>
        <v>75.278401504859431</v>
      </c>
      <c r="BG276" s="239">
        <f t="shared" si="662"/>
        <v>71.110188679245283</v>
      </c>
      <c r="BH276" s="239">
        <f t="shared" si="662"/>
        <v>78.738949335249714</v>
      </c>
      <c r="BI276" s="259">
        <f t="shared" si="662"/>
        <v>299.0854705178408</v>
      </c>
      <c r="BJ276" s="239"/>
      <c r="BK276" s="239"/>
      <c r="BL276" s="239"/>
      <c r="BM276" s="239"/>
      <c r="BN276" s="237"/>
      <c r="BO276" s="239"/>
      <c r="BP276" s="239"/>
      <c r="BQ276" s="239"/>
      <c r="BR276" s="239"/>
      <c r="BS276" s="237"/>
      <c r="BT276" s="237"/>
      <c r="BU276" s="237"/>
      <c r="BV276" s="237"/>
      <c r="BW276" s="4"/>
    </row>
    <row r="277" spans="1:75" ht="15.75" customHeight="1" outlineLevel="1" x14ac:dyDescent="0.2">
      <c r="A277" s="102" t="s">
        <v>631</v>
      </c>
      <c r="B277" s="106"/>
      <c r="C277" s="264"/>
      <c r="D277" s="264"/>
      <c r="E277" s="264"/>
      <c r="F277" s="264"/>
      <c r="G277" s="265"/>
      <c r="H277" s="265"/>
      <c r="I277" s="265"/>
      <c r="J277" s="265"/>
      <c r="K277" s="264"/>
      <c r="L277" s="265"/>
      <c r="M277" s="265"/>
      <c r="N277" s="265"/>
      <c r="O277" s="265"/>
      <c r="P277" s="264"/>
      <c r="Q277" s="265">
        <f t="shared" ref="Q277:BI277" si="663">Q275+Q276</f>
        <v>523.18291050847461</v>
      </c>
      <c r="R277" s="265">
        <f t="shared" si="663"/>
        <v>534.03121142857151</v>
      </c>
      <c r="S277" s="265">
        <f t="shared" si="663"/>
        <v>532.33639136986301</v>
      </c>
      <c r="T277" s="265">
        <f t="shared" si="663"/>
        <v>531.03752330827069</v>
      </c>
      <c r="U277" s="264">
        <f t="shared" si="663"/>
        <v>2120.5880366151796</v>
      </c>
      <c r="V277" s="265">
        <f t="shared" si="663"/>
        <v>563.79295704433491</v>
      </c>
      <c r="W277" s="265">
        <f t="shared" si="663"/>
        <v>570.55000235294119</v>
      </c>
      <c r="X277" s="265">
        <f t="shared" si="663"/>
        <v>572.07617142857134</v>
      </c>
      <c r="Y277" s="265">
        <f t="shared" si="663"/>
        <v>616.73734602230479</v>
      </c>
      <c r="Z277" s="264">
        <f t="shared" si="663"/>
        <v>2323.1564768481526</v>
      </c>
      <c r="AA277" s="265">
        <f t="shared" si="663"/>
        <v>581.82133855670099</v>
      </c>
      <c r="AB277" s="265">
        <f t="shared" si="663"/>
        <v>587.72225597139447</v>
      </c>
      <c r="AC277" s="265">
        <f t="shared" si="663"/>
        <v>576.84844387096769</v>
      </c>
      <c r="AD277" s="265">
        <f t="shared" si="663"/>
        <v>592.37643824451425</v>
      </c>
      <c r="AE277" s="264">
        <f t="shared" si="663"/>
        <v>2338.7684766435773</v>
      </c>
      <c r="AF277" s="265">
        <f t="shared" si="663"/>
        <v>619.37887819095477</v>
      </c>
      <c r="AG277" s="265">
        <f t="shared" si="663"/>
        <v>621.74661701006971</v>
      </c>
      <c r="AH277" s="265">
        <f t="shared" si="663"/>
        <v>607.6766037209303</v>
      </c>
      <c r="AI277" s="265">
        <f t="shared" si="663"/>
        <v>609.65973840462425</v>
      </c>
      <c r="AJ277" s="264">
        <f t="shared" si="663"/>
        <v>2440.8868373265791</v>
      </c>
      <c r="AK277" s="265">
        <f t="shared" si="663"/>
        <v>625.88605074626867</v>
      </c>
      <c r="AL277" s="265">
        <f t="shared" si="663"/>
        <v>631.55848118902441</v>
      </c>
      <c r="AM277" s="265">
        <f t="shared" si="663"/>
        <v>616.65221890410965</v>
      </c>
      <c r="AN277" s="265">
        <f t="shared" si="663"/>
        <v>724.65124800000001</v>
      </c>
      <c r="AO277" s="264">
        <f t="shared" si="663"/>
        <v>2598.7479988394025</v>
      </c>
      <c r="AP277" s="265">
        <f t="shared" si="663"/>
        <v>645.76161053103965</v>
      </c>
      <c r="AQ277" s="265">
        <f t="shared" si="663"/>
        <v>303.37308654545461</v>
      </c>
      <c r="AR277" s="265">
        <f t="shared" si="663"/>
        <v>538.03667101427504</v>
      </c>
      <c r="AS277" s="265">
        <f t="shared" si="663"/>
        <v>575.81761485371351</v>
      </c>
      <c r="AT277" s="264">
        <f t="shared" si="663"/>
        <v>2062.9889829444828</v>
      </c>
      <c r="AU277" s="265">
        <f t="shared" si="663"/>
        <v>657.84380660194165</v>
      </c>
      <c r="AV277" s="265">
        <f t="shared" si="663"/>
        <v>812.64242782608699</v>
      </c>
      <c r="AW277" s="265">
        <f t="shared" si="663"/>
        <v>797.58922097433992</v>
      </c>
      <c r="AX277" s="265">
        <f t="shared" si="663"/>
        <v>819.06911466666679</v>
      </c>
      <c r="AY277" s="264">
        <f t="shared" si="663"/>
        <v>3087.1445700690351</v>
      </c>
      <c r="AZ277" s="265">
        <f t="shared" si="663"/>
        <v>837.72514461538458</v>
      </c>
      <c r="BA277" s="265">
        <f t="shared" si="663"/>
        <v>881.11328384615376</v>
      </c>
      <c r="BB277" s="265">
        <f t="shared" si="663"/>
        <v>827.29971123105361</v>
      </c>
      <c r="BC277" s="265">
        <f t="shared" si="663"/>
        <v>944.27735311330389</v>
      </c>
      <c r="BD277" s="264">
        <f t="shared" si="663"/>
        <v>3490.4154928058961</v>
      </c>
      <c r="BE277" s="265">
        <f t="shared" si="663"/>
        <v>914.95910789863774</v>
      </c>
      <c r="BF277" s="265">
        <f t="shared" si="663"/>
        <v>917.5827013543734</v>
      </c>
      <c r="BG277" s="265">
        <f t="shared" si="663"/>
        <v>876.49213981132084</v>
      </c>
      <c r="BH277" s="265">
        <f t="shared" si="663"/>
        <v>929.41439440172439</v>
      </c>
      <c r="BI277" s="266">
        <f t="shared" si="663"/>
        <v>3638.4483434660569</v>
      </c>
      <c r="BJ277" s="265"/>
      <c r="BK277" s="265"/>
      <c r="BL277" s="265"/>
      <c r="BM277" s="265"/>
      <c r="BN277" s="264"/>
      <c r="BO277" s="265"/>
      <c r="BP277" s="265"/>
      <c r="BQ277" s="265"/>
      <c r="BR277" s="265"/>
      <c r="BS277" s="264"/>
      <c r="BT277" s="264"/>
      <c r="BU277" s="264"/>
      <c r="BV277" s="264"/>
      <c r="BW277" s="83"/>
    </row>
    <row r="278" spans="1:75" ht="15.75" customHeight="1" outlineLevel="1" x14ac:dyDescent="0.2">
      <c r="A278" s="149" t="s">
        <v>632</v>
      </c>
      <c r="B278" s="151"/>
      <c r="C278" s="211"/>
      <c r="D278" s="211"/>
      <c r="E278" s="211"/>
      <c r="F278" s="211"/>
      <c r="G278" s="267"/>
      <c r="H278" s="267"/>
      <c r="I278" s="267"/>
      <c r="J278" s="267"/>
      <c r="K278" s="211"/>
      <c r="L278" s="267"/>
      <c r="M278" s="267"/>
      <c r="N278" s="267"/>
      <c r="O278" s="267"/>
      <c r="P278" s="211"/>
      <c r="Q278" s="267"/>
      <c r="R278" s="267"/>
      <c r="S278" s="267"/>
      <c r="T278" s="267"/>
      <c r="U278" s="211"/>
      <c r="V278" s="267">
        <f t="shared" ref="V278:BI278" si="664">V277/Q277-1</f>
        <v>7.7621125843716721E-2</v>
      </c>
      <c r="W278" s="267">
        <f t="shared" si="664"/>
        <v>6.8383252032553132E-2</v>
      </c>
      <c r="X278" s="267">
        <f t="shared" si="664"/>
        <v>7.4651631380011185E-2</v>
      </c>
      <c r="Y278" s="267">
        <f t="shared" si="664"/>
        <v>0.16138185900713609</v>
      </c>
      <c r="Z278" s="211">
        <f t="shared" si="664"/>
        <v>9.5524654829377775E-2</v>
      </c>
      <c r="AA278" s="267">
        <f t="shared" si="664"/>
        <v>3.1976954105420674E-2</v>
      </c>
      <c r="AB278" s="267">
        <f t="shared" si="664"/>
        <v>3.009771895124902E-2</v>
      </c>
      <c r="AC278" s="267">
        <f t="shared" si="664"/>
        <v>8.3420227597998942E-3</v>
      </c>
      <c r="AD278" s="267">
        <f t="shared" si="664"/>
        <v>-3.9499647515928937E-2</v>
      </c>
      <c r="AE278" s="211">
        <f t="shared" si="664"/>
        <v>6.720167130801924E-3</v>
      </c>
      <c r="AF278" s="267">
        <f t="shared" si="664"/>
        <v>6.4551671011965794E-2</v>
      </c>
      <c r="AG278" s="267">
        <f t="shared" si="664"/>
        <v>5.7891905050353021E-2</v>
      </c>
      <c r="AH278" s="267">
        <f t="shared" si="664"/>
        <v>5.3442390592386646E-2</v>
      </c>
      <c r="AI278" s="267">
        <f t="shared" si="664"/>
        <v>2.9176211348527659E-2</v>
      </c>
      <c r="AJ278" s="211">
        <f t="shared" si="664"/>
        <v>4.3663304727603602E-2</v>
      </c>
      <c r="AK278" s="267">
        <f t="shared" si="664"/>
        <v>1.050596457909525E-2</v>
      </c>
      <c r="AL278" s="267">
        <f t="shared" si="664"/>
        <v>1.5781129982080477E-2</v>
      </c>
      <c r="AM278" s="267">
        <f t="shared" si="664"/>
        <v>1.4770381364396457E-2</v>
      </c>
      <c r="AN278" s="267">
        <f t="shared" si="664"/>
        <v>0.18861588251881112</v>
      </c>
      <c r="AO278" s="211">
        <f t="shared" si="664"/>
        <v>6.4673691176000414E-2</v>
      </c>
      <c r="AP278" s="267">
        <f t="shared" si="664"/>
        <v>3.1755875947502954E-2</v>
      </c>
      <c r="AQ278" s="267">
        <f t="shared" si="664"/>
        <v>-0.51964371379464458</v>
      </c>
      <c r="AR278" s="267">
        <f t="shared" si="664"/>
        <v>-0.12748765913718285</v>
      </c>
      <c r="AS278" s="267">
        <f t="shared" si="664"/>
        <v>-0.20538656844524816</v>
      </c>
      <c r="AT278" s="211">
        <f t="shared" si="664"/>
        <v>-0.20616043422994035</v>
      </c>
      <c r="AU278" s="267">
        <f t="shared" si="664"/>
        <v>1.870999432896947E-2</v>
      </c>
      <c r="AV278" s="267">
        <f t="shared" si="664"/>
        <v>1.6786899163658284</v>
      </c>
      <c r="AW278" s="267">
        <f t="shared" si="664"/>
        <v>0.48240680225526589</v>
      </c>
      <c r="AX278" s="267">
        <f t="shared" si="664"/>
        <v>0.42244539510093193</v>
      </c>
      <c r="AY278" s="211">
        <f t="shared" si="664"/>
        <v>0.49644258674749953</v>
      </c>
      <c r="AZ278" s="267">
        <f t="shared" si="664"/>
        <v>0.27344080191711573</v>
      </c>
      <c r="BA278" s="267">
        <f t="shared" si="664"/>
        <v>8.425705288762031E-2</v>
      </c>
      <c r="BB278" s="267">
        <f t="shared" si="664"/>
        <v>3.7250365821668519E-2</v>
      </c>
      <c r="BC278" s="267">
        <f t="shared" si="664"/>
        <v>0.15286651175657218</v>
      </c>
      <c r="BD278" s="211">
        <f t="shared" si="664"/>
        <v>0.13062910193669452</v>
      </c>
      <c r="BE278" s="267">
        <f t="shared" si="664"/>
        <v>9.2194872960047913E-2</v>
      </c>
      <c r="BF278" s="267">
        <f t="shared" si="664"/>
        <v>4.1390157402946715E-2</v>
      </c>
      <c r="BG278" s="267">
        <f t="shared" si="664"/>
        <v>5.9461435695495446E-2</v>
      </c>
      <c r="BH278" s="267">
        <f t="shared" si="664"/>
        <v>-1.5740035131178387E-2</v>
      </c>
      <c r="BI278" s="212">
        <f t="shared" si="664"/>
        <v>4.2411240428330554E-2</v>
      </c>
      <c r="BJ278" s="267"/>
      <c r="BK278" s="267"/>
      <c r="BL278" s="267"/>
      <c r="BM278" s="267"/>
      <c r="BN278" s="211"/>
      <c r="BO278" s="267"/>
      <c r="BP278" s="267"/>
      <c r="BQ278" s="267"/>
      <c r="BR278" s="267"/>
      <c r="BS278" s="211"/>
      <c r="BT278" s="211"/>
      <c r="BU278" s="211"/>
      <c r="BV278" s="211"/>
      <c r="BW278" s="152"/>
    </row>
    <row r="279" spans="1:75" ht="15.75" customHeight="1" outlineLevel="1" x14ac:dyDescent="0.2">
      <c r="A279" s="85"/>
      <c r="B279" s="2"/>
      <c r="C279" s="237"/>
      <c r="D279" s="237"/>
      <c r="E279" s="237"/>
      <c r="F279" s="237"/>
      <c r="G279" s="239"/>
      <c r="H279" s="239"/>
      <c r="I279" s="239"/>
      <c r="J279" s="239"/>
      <c r="K279" s="237"/>
      <c r="L279" s="239"/>
      <c r="M279" s="239"/>
      <c r="N279" s="239"/>
      <c r="O279" s="239"/>
      <c r="P279" s="237"/>
      <c r="Q279" s="239"/>
      <c r="R279" s="239"/>
      <c r="S279" s="239"/>
      <c r="T279" s="239"/>
      <c r="U279" s="237"/>
      <c r="V279" s="239"/>
      <c r="W279" s="239"/>
      <c r="X279" s="239"/>
      <c r="Y279" s="239"/>
      <c r="Z279" s="237"/>
      <c r="AA279" s="239"/>
      <c r="AB279" s="239"/>
      <c r="AC279" s="239"/>
      <c r="AD279" s="239"/>
      <c r="AE279" s="237"/>
      <c r="AF279" s="239"/>
      <c r="AG279" s="239"/>
      <c r="AH279" s="239"/>
      <c r="AI279" s="239"/>
      <c r="AJ279" s="237"/>
      <c r="AK279" s="239"/>
      <c r="AL279" s="239"/>
      <c r="AM279" s="239"/>
      <c r="AN279" s="239"/>
      <c r="AO279" s="237"/>
      <c r="AP279" s="239"/>
      <c r="AQ279" s="239"/>
      <c r="AR279" s="239"/>
      <c r="AS279" s="239"/>
      <c r="AT279" s="237"/>
      <c r="AU279" s="239"/>
      <c r="AV279" s="239"/>
      <c r="AW279" s="239"/>
      <c r="AX279" s="239"/>
      <c r="AY279" s="237"/>
      <c r="AZ279" s="239"/>
      <c r="BA279" s="239"/>
      <c r="BB279" s="239"/>
      <c r="BC279" s="239"/>
      <c r="BD279" s="237"/>
      <c r="BE279" s="239"/>
      <c r="BF279" s="239"/>
      <c r="BG279" s="239"/>
      <c r="BH279" s="239"/>
      <c r="BI279" s="259"/>
      <c r="BJ279" s="239"/>
      <c r="BK279" s="239"/>
      <c r="BL279" s="239"/>
      <c r="BM279" s="239"/>
      <c r="BN279" s="237"/>
      <c r="BO279" s="239"/>
      <c r="BP279" s="239"/>
      <c r="BQ279" s="239"/>
      <c r="BR279" s="239"/>
      <c r="BS279" s="237"/>
      <c r="BT279" s="237"/>
      <c r="BU279" s="237"/>
      <c r="BV279" s="237"/>
      <c r="BW279" s="4"/>
    </row>
    <row r="280" spans="1:75" ht="15.75" customHeight="1" outlineLevel="1" x14ac:dyDescent="0.2">
      <c r="A280" s="268" t="s">
        <v>633</v>
      </c>
      <c r="B280" s="158"/>
      <c r="C280" s="269"/>
      <c r="D280" s="269"/>
      <c r="E280" s="269"/>
      <c r="F280" s="269">
        <f t="shared" ref="F280:BI280" si="665">F275/F240*1000</f>
        <v>9249.711815561961</v>
      </c>
      <c r="G280" s="270">
        <f t="shared" si="665"/>
        <v>2350.7179487179487</v>
      </c>
      <c r="H280" s="270">
        <f t="shared" si="665"/>
        <v>2434.6418338108883</v>
      </c>
      <c r="I280" s="270">
        <f t="shared" si="665"/>
        <v>2415.25</v>
      </c>
      <c r="J280" s="270">
        <f t="shared" si="665"/>
        <v>2384.0672268907565</v>
      </c>
      <c r="K280" s="269">
        <f t="shared" si="665"/>
        <v>9584.3066004258344</v>
      </c>
      <c r="L280" s="270">
        <f t="shared" si="665"/>
        <v>2418.8698060941829</v>
      </c>
      <c r="M280" s="270">
        <f t="shared" si="665"/>
        <v>2487.3498622589532</v>
      </c>
      <c r="N280" s="270">
        <f t="shared" si="665"/>
        <v>2482.3551912568305</v>
      </c>
      <c r="O280" s="270">
        <f t="shared" si="665"/>
        <v>2415.361930294906</v>
      </c>
      <c r="P280" s="269">
        <f t="shared" si="665"/>
        <v>9803.3957621326044</v>
      </c>
      <c r="Q280" s="270">
        <f t="shared" si="665"/>
        <v>2666.400405344812</v>
      </c>
      <c r="R280" s="270">
        <f t="shared" si="665"/>
        <v>2700.5183952006005</v>
      </c>
      <c r="S280" s="270">
        <f t="shared" si="665"/>
        <v>2658.3440464191922</v>
      </c>
      <c r="T280" s="270">
        <f t="shared" si="665"/>
        <v>2580.0183173670216</v>
      </c>
      <c r="U280" s="269">
        <f t="shared" si="665"/>
        <v>10602.845693962787</v>
      </c>
      <c r="V280" s="270">
        <f t="shared" si="665"/>
        <v>2693.3427780302936</v>
      </c>
      <c r="W280" s="270">
        <f t="shared" si="665"/>
        <v>2701.9961387631975</v>
      </c>
      <c r="X280" s="270">
        <f t="shared" si="665"/>
        <v>2692.5763633506203</v>
      </c>
      <c r="Y280" s="270">
        <f t="shared" si="665"/>
        <v>2841.5840942968539</v>
      </c>
      <c r="Z280" s="269">
        <f t="shared" si="665"/>
        <v>10931.483874825903</v>
      </c>
      <c r="AA280" s="270">
        <f t="shared" si="665"/>
        <v>2633.7813362410784</v>
      </c>
      <c r="AB280" s="270">
        <f t="shared" si="665"/>
        <v>2666.6493943928272</v>
      </c>
      <c r="AC280" s="270">
        <f t="shared" si="665"/>
        <v>2597.6286779807397</v>
      </c>
      <c r="AD280" s="270">
        <f t="shared" si="665"/>
        <v>2608.6222020829314</v>
      </c>
      <c r="AE280" s="269">
        <f t="shared" si="665"/>
        <v>10506.395695900037</v>
      </c>
      <c r="AF280" s="270">
        <f t="shared" si="665"/>
        <v>2680.9611224346027</v>
      </c>
      <c r="AG280" s="270">
        <f t="shared" si="665"/>
        <v>2697.3892183137809</v>
      </c>
      <c r="AH280" s="270">
        <f t="shared" si="665"/>
        <v>2629.8771527928711</v>
      </c>
      <c r="AI280" s="270">
        <f t="shared" si="665"/>
        <v>2609.6434496255456</v>
      </c>
      <c r="AJ280" s="269">
        <f t="shared" si="665"/>
        <v>10535.313733578567</v>
      </c>
      <c r="AK280" s="270">
        <f t="shared" si="665"/>
        <v>2670.7053767857956</v>
      </c>
      <c r="AL280" s="270">
        <f t="shared" si="665"/>
        <v>2680.3414791817827</v>
      </c>
      <c r="AM280" s="270">
        <f t="shared" si="665"/>
        <v>2341.6759592650128</v>
      </c>
      <c r="AN280" s="270">
        <f t="shared" si="665"/>
        <v>2307.5282574712642</v>
      </c>
      <c r="AO280" s="269">
        <f t="shared" si="665"/>
        <v>9927.3808054858837</v>
      </c>
      <c r="AP280" s="270">
        <f t="shared" si="665"/>
        <v>2035.3805041596358</v>
      </c>
      <c r="AQ280" s="270">
        <f t="shared" si="665"/>
        <v>947.8975485466915</v>
      </c>
      <c r="AR280" s="270">
        <f t="shared" si="665"/>
        <v>1685.9876526779008</v>
      </c>
      <c r="AS280" s="270">
        <f t="shared" si="665"/>
        <v>1798.416293207428</v>
      </c>
      <c r="AT280" s="269">
        <f t="shared" si="665"/>
        <v>6466.5668574339124</v>
      </c>
      <c r="AU280" s="270">
        <f t="shared" si="665"/>
        <v>2045.5428653896615</v>
      </c>
      <c r="AV280" s="270">
        <f t="shared" si="665"/>
        <v>2502.4818805784153</v>
      </c>
      <c r="AW280" s="270">
        <f t="shared" si="665"/>
        <v>2420.9531931661736</v>
      </c>
      <c r="AX280" s="270">
        <f t="shared" si="665"/>
        <v>2459.6444754296781</v>
      </c>
      <c r="AY280" s="269">
        <f t="shared" si="665"/>
        <v>9434.5134414159256</v>
      </c>
      <c r="AZ280" s="270">
        <f t="shared" si="665"/>
        <v>2507.1895965923322</v>
      </c>
      <c r="BA280" s="270">
        <f t="shared" si="665"/>
        <v>2637.2409396141315</v>
      </c>
      <c r="BB280" s="270">
        <f t="shared" si="665"/>
        <v>2455.824910705061</v>
      </c>
      <c r="BC280" s="270">
        <f t="shared" si="665"/>
        <v>2757.2946994830231</v>
      </c>
      <c r="BD280" s="269">
        <f t="shared" si="665"/>
        <v>10360.540121053349</v>
      </c>
      <c r="BE280" s="270">
        <f t="shared" si="665"/>
        <v>2644.6577889941864</v>
      </c>
      <c r="BF280" s="270">
        <f t="shared" si="665"/>
        <v>2636.3201873224225</v>
      </c>
      <c r="BG280" s="270">
        <f t="shared" si="665"/>
        <v>2501.1861836399862</v>
      </c>
      <c r="BH280" s="270">
        <f t="shared" si="665"/>
        <v>2601.4539604479346</v>
      </c>
      <c r="BI280" s="271">
        <f t="shared" si="665"/>
        <v>10382.78390345345</v>
      </c>
      <c r="BJ280" s="270"/>
      <c r="BK280" s="270"/>
      <c r="BL280" s="270"/>
      <c r="BM280" s="270"/>
      <c r="BN280" s="269"/>
      <c r="BO280" s="270"/>
      <c r="BP280" s="270"/>
      <c r="BQ280" s="270"/>
      <c r="BR280" s="270"/>
      <c r="BS280" s="269"/>
      <c r="BT280" s="269"/>
      <c r="BU280" s="269"/>
      <c r="BV280" s="269"/>
      <c r="BW280" s="159"/>
    </row>
    <row r="281" spans="1:75" ht="15.75" customHeight="1" outlineLevel="1" x14ac:dyDescent="0.2">
      <c r="A281" s="268" t="s">
        <v>634</v>
      </c>
      <c r="B281" s="158"/>
      <c r="C281" s="269"/>
      <c r="D281" s="269"/>
      <c r="E281" s="269"/>
      <c r="F281" s="269"/>
      <c r="G281" s="270"/>
      <c r="H281" s="270"/>
      <c r="I281" s="270"/>
      <c r="J281" s="270"/>
      <c r="K281" s="269"/>
      <c r="L281" s="270"/>
      <c r="M281" s="270"/>
      <c r="N281" s="270"/>
      <c r="O281" s="270"/>
      <c r="P281" s="269"/>
      <c r="Q281" s="270">
        <f t="shared" ref="Q281:BI281" si="666">Q276/Q211*1000</f>
        <v>2262.7333998005988</v>
      </c>
      <c r="R281" s="270">
        <f t="shared" si="666"/>
        <v>2175.8285714285716</v>
      </c>
      <c r="S281" s="270">
        <f t="shared" si="666"/>
        <v>2141.7767123287672</v>
      </c>
      <c r="T281" s="270">
        <f t="shared" si="666"/>
        <v>2277.3914786967425</v>
      </c>
      <c r="U281" s="269">
        <f t="shared" si="666"/>
        <v>8861.9831494891587</v>
      </c>
      <c r="V281" s="270">
        <f t="shared" si="666"/>
        <v>2161.6118226600984</v>
      </c>
      <c r="W281" s="270">
        <f t="shared" si="666"/>
        <v>2269.3722080136399</v>
      </c>
      <c r="X281" s="270">
        <f t="shared" si="666"/>
        <v>2254.0596825396829</v>
      </c>
      <c r="Y281" s="270">
        <f t="shared" si="666"/>
        <v>2443.7576208178439</v>
      </c>
      <c r="Z281" s="269">
        <f t="shared" si="666"/>
        <v>9164.3969930296953</v>
      </c>
      <c r="AA281" s="270">
        <f t="shared" si="666"/>
        <v>2193.2142334552709</v>
      </c>
      <c r="AB281" s="270">
        <f t="shared" si="666"/>
        <v>2149.5316646801748</v>
      </c>
      <c r="AC281" s="270">
        <f t="shared" si="666"/>
        <v>2225.9113641155386</v>
      </c>
      <c r="AD281" s="270">
        <f t="shared" si="666"/>
        <v>2208.2712423692465</v>
      </c>
      <c r="AE281" s="269">
        <f t="shared" si="666"/>
        <v>8781.3317954618888</v>
      </c>
      <c r="AF281" s="270">
        <f t="shared" si="666"/>
        <v>2226.9852678024272</v>
      </c>
      <c r="AG281" s="270">
        <f t="shared" si="666"/>
        <v>2183.5247095274985</v>
      </c>
      <c r="AH281" s="270">
        <f t="shared" si="666"/>
        <v>2137.2806201550388</v>
      </c>
      <c r="AI281" s="270">
        <f t="shared" si="666"/>
        <v>2127.234836223507</v>
      </c>
      <c r="AJ281" s="269">
        <f t="shared" si="666"/>
        <v>8673.6307292922957</v>
      </c>
      <c r="AK281" s="270">
        <f t="shared" si="666"/>
        <v>2130.3550539983016</v>
      </c>
      <c r="AL281" s="270">
        <f t="shared" si="666"/>
        <v>2239.2130725758479</v>
      </c>
      <c r="AM281" s="270">
        <f t="shared" si="666"/>
        <v>2217.9908537429087</v>
      </c>
      <c r="AN281" s="270">
        <f t="shared" si="666"/>
        <v>2264.0021768707484</v>
      </c>
      <c r="AO281" s="269">
        <f t="shared" si="666"/>
        <v>8861.2570839061664</v>
      </c>
      <c r="AP281" s="270">
        <f t="shared" si="666"/>
        <v>1899.8124158563949</v>
      </c>
      <c r="AQ281" s="270">
        <f t="shared" si="666"/>
        <v>949.66181818181826</v>
      </c>
      <c r="AR281" s="270">
        <f t="shared" si="666"/>
        <v>1629.0885048835462</v>
      </c>
      <c r="AS281" s="270">
        <f t="shared" si="666"/>
        <v>1742.7930756273981</v>
      </c>
      <c r="AT281" s="269">
        <f t="shared" si="666"/>
        <v>6224.9434532475325</v>
      </c>
      <c r="AU281" s="270">
        <f t="shared" si="666"/>
        <v>1939.374757281553</v>
      </c>
      <c r="AV281" s="270">
        <f t="shared" si="666"/>
        <v>2387.3304172156354</v>
      </c>
      <c r="AW281" s="270">
        <f t="shared" si="666"/>
        <v>2331.9774259001915</v>
      </c>
      <c r="AX281" s="270">
        <f t="shared" si="666"/>
        <v>2290.2725925925929</v>
      </c>
      <c r="AY281" s="269">
        <f t="shared" si="666"/>
        <v>8960.4988122633058</v>
      </c>
      <c r="AZ281" s="270">
        <f t="shared" si="666"/>
        <v>2345.4461538461542</v>
      </c>
      <c r="BA281" s="270">
        <f t="shared" si="666"/>
        <v>2464.8384615384612</v>
      </c>
      <c r="BB281" s="270">
        <f t="shared" si="666"/>
        <v>2317.996598890943</v>
      </c>
      <c r="BC281" s="270">
        <f t="shared" si="666"/>
        <v>2613.8362754540058</v>
      </c>
      <c r="BD281" s="269">
        <f t="shared" si="666"/>
        <v>9745.1785524423831</v>
      </c>
      <c r="BE281" s="270">
        <f t="shared" si="666"/>
        <v>2465.2643666162116</v>
      </c>
      <c r="BF281" s="270">
        <f t="shared" si="666"/>
        <v>2509.2800501619813</v>
      </c>
      <c r="BG281" s="270">
        <f t="shared" si="666"/>
        <v>2370.3396226415093</v>
      </c>
      <c r="BH281" s="270">
        <f t="shared" si="666"/>
        <v>2539.9661075887002</v>
      </c>
      <c r="BI281" s="271">
        <f t="shared" si="666"/>
        <v>9887.1229923253159</v>
      </c>
      <c r="BJ281" s="270"/>
      <c r="BK281" s="270"/>
      <c r="BL281" s="270"/>
      <c r="BM281" s="270"/>
      <c r="BN281" s="269"/>
      <c r="BO281" s="270"/>
      <c r="BP281" s="270"/>
      <c r="BQ281" s="270"/>
      <c r="BR281" s="270"/>
      <c r="BS281" s="269"/>
      <c r="BT281" s="269"/>
      <c r="BU281" s="269"/>
      <c r="BV281" s="269"/>
      <c r="BW281" s="159"/>
    </row>
    <row r="282" spans="1:75" ht="15.75" customHeight="1" outlineLevel="1" x14ac:dyDescent="0.2">
      <c r="A282" s="268" t="s">
        <v>635</v>
      </c>
      <c r="B282" s="158"/>
      <c r="C282" s="269"/>
      <c r="D282" s="269"/>
      <c r="E282" s="269"/>
      <c r="F282" s="269"/>
      <c r="G282" s="270"/>
      <c r="H282" s="270"/>
      <c r="I282" s="270"/>
      <c r="J282" s="270"/>
      <c r="K282" s="269"/>
      <c r="L282" s="270"/>
      <c r="M282" s="270"/>
      <c r="N282" s="270"/>
      <c r="O282" s="270"/>
      <c r="P282" s="269"/>
      <c r="Q282" s="270">
        <f t="shared" ref="Q282:BI282" si="667">Q277/Q245*1000</f>
        <v>2703.7876512065868</v>
      </c>
      <c r="R282" s="270">
        <f t="shared" si="667"/>
        <v>2676.8481775868245</v>
      </c>
      <c r="S282" s="270">
        <f t="shared" si="667"/>
        <v>2635.3286701478369</v>
      </c>
      <c r="T282" s="270">
        <f t="shared" si="667"/>
        <v>2565.3986633249792</v>
      </c>
      <c r="U282" s="269">
        <f t="shared" si="667"/>
        <v>10395.039395172449</v>
      </c>
      <c r="V282" s="270">
        <f t="shared" si="667"/>
        <v>2665.6877401623401</v>
      </c>
      <c r="W282" s="270">
        <f t="shared" si="667"/>
        <v>2678.6385086992545</v>
      </c>
      <c r="X282" s="270">
        <f t="shared" si="667"/>
        <v>2667.0217782217778</v>
      </c>
      <c r="Y282" s="270">
        <f t="shared" si="667"/>
        <v>2816.1522649420313</v>
      </c>
      <c r="Z282" s="269">
        <f t="shared" si="667"/>
        <v>10705.790215890105</v>
      </c>
      <c r="AA282" s="270">
        <f t="shared" si="667"/>
        <v>2603.2274655780807</v>
      </c>
      <c r="AB282" s="270">
        <f t="shared" si="667"/>
        <v>2629.6297806326374</v>
      </c>
      <c r="AC282" s="270">
        <f t="shared" si="667"/>
        <v>2569.4808190243548</v>
      </c>
      <c r="AD282" s="270">
        <f t="shared" si="667"/>
        <v>2575.5497314978879</v>
      </c>
      <c r="AE282" s="269">
        <f t="shared" si="667"/>
        <v>10235.310619884365</v>
      </c>
      <c r="AF282" s="270">
        <f t="shared" si="667"/>
        <v>2641.2745338633467</v>
      </c>
      <c r="AG282" s="270">
        <f t="shared" si="667"/>
        <v>2651.3715011090394</v>
      </c>
      <c r="AH282" s="270">
        <f t="shared" si="667"/>
        <v>2585.8578881741714</v>
      </c>
      <c r="AI282" s="270">
        <f t="shared" si="667"/>
        <v>2566.9883722299969</v>
      </c>
      <c r="AJ282" s="269">
        <f t="shared" si="667"/>
        <v>10320.874576433738</v>
      </c>
      <c r="AK282" s="270">
        <f t="shared" si="667"/>
        <v>2624.2601708438938</v>
      </c>
      <c r="AL282" s="270">
        <f t="shared" si="667"/>
        <v>2642.5041053934074</v>
      </c>
      <c r="AM282" s="270">
        <f t="shared" si="667"/>
        <v>2331.3883512442712</v>
      </c>
      <c r="AN282" s="270">
        <f t="shared" si="667"/>
        <v>2304.1375135135136</v>
      </c>
      <c r="AO282" s="269">
        <f t="shared" si="667"/>
        <v>9331.2315936782852</v>
      </c>
      <c r="AP282" s="270">
        <f t="shared" si="667"/>
        <v>2024.3310674954223</v>
      </c>
      <c r="AQ282" s="270">
        <f t="shared" si="667"/>
        <v>948.04089545454565</v>
      </c>
      <c r="AR282" s="270">
        <f t="shared" si="667"/>
        <v>1681.3645969196095</v>
      </c>
      <c r="AS282" s="270">
        <f t="shared" si="667"/>
        <v>1793.8243453386713</v>
      </c>
      <c r="AT282" s="269">
        <f t="shared" si="667"/>
        <v>6446.8405717015094</v>
      </c>
      <c r="AU282" s="270">
        <f t="shared" si="667"/>
        <v>2036.6681318945564</v>
      </c>
      <c r="AV282" s="270">
        <f t="shared" si="667"/>
        <v>2492.7681835156045</v>
      </c>
      <c r="AW282" s="270">
        <f t="shared" si="667"/>
        <v>2413.2805475774276</v>
      </c>
      <c r="AX282" s="270">
        <f t="shared" si="667"/>
        <v>2444.9824318407964</v>
      </c>
      <c r="AY282" s="269">
        <f t="shared" si="667"/>
        <v>9369.1792718331872</v>
      </c>
      <c r="AZ282" s="270">
        <f t="shared" si="667"/>
        <v>2493.2295970695968</v>
      </c>
      <c r="BA282" s="270">
        <f t="shared" si="667"/>
        <v>2622.3609638278385</v>
      </c>
      <c r="BB282" s="270">
        <f t="shared" si="667"/>
        <v>2444.0168721744567</v>
      </c>
      <c r="BC282" s="270">
        <f t="shared" si="667"/>
        <v>2744.9923055619297</v>
      </c>
      <c r="BD282" s="269">
        <f t="shared" si="667"/>
        <v>10190.994139579258</v>
      </c>
      <c r="BE282" s="270">
        <f t="shared" si="667"/>
        <v>2629.192838789189</v>
      </c>
      <c r="BF282" s="270">
        <f t="shared" si="667"/>
        <v>2625.4154545189513</v>
      </c>
      <c r="BG282" s="270">
        <f t="shared" si="667"/>
        <v>2490.0344881003434</v>
      </c>
      <c r="BH282" s="270">
        <f t="shared" si="667"/>
        <v>2596.129593300906</v>
      </c>
      <c r="BI282" s="271">
        <f t="shared" si="667"/>
        <v>10234.735143364436</v>
      </c>
      <c r="BJ282" s="270"/>
      <c r="BK282" s="270"/>
      <c r="BL282" s="270"/>
      <c r="BM282" s="270"/>
      <c r="BN282" s="269"/>
      <c r="BO282" s="270"/>
      <c r="BP282" s="270"/>
      <c r="BQ282" s="270"/>
      <c r="BR282" s="270"/>
      <c r="BS282" s="269"/>
      <c r="BT282" s="269"/>
      <c r="BU282" s="269"/>
      <c r="BV282" s="269"/>
      <c r="BW282" s="159"/>
    </row>
    <row r="283" spans="1:75" ht="15.75" customHeight="1" outlineLevel="1" x14ac:dyDescent="0.2">
      <c r="A283" s="85"/>
      <c r="B283" s="2"/>
      <c r="C283" s="237"/>
      <c r="D283" s="237"/>
      <c r="E283" s="237"/>
      <c r="F283" s="237"/>
      <c r="G283" s="239"/>
      <c r="H283" s="239"/>
      <c r="I283" s="239"/>
      <c r="J283" s="239"/>
      <c r="K283" s="237"/>
      <c r="L283" s="239"/>
      <c r="M283" s="239"/>
      <c r="N283" s="239"/>
      <c r="O283" s="239"/>
      <c r="P283" s="237"/>
      <c r="Q283" s="239"/>
      <c r="R283" s="239"/>
      <c r="S283" s="239"/>
      <c r="T283" s="239"/>
      <c r="U283" s="237"/>
      <c r="V283" s="239"/>
      <c r="W283" s="239"/>
      <c r="X283" s="239"/>
      <c r="Y283" s="239"/>
      <c r="Z283" s="237"/>
      <c r="AA283" s="239"/>
      <c r="AB283" s="239"/>
      <c r="AC283" s="239"/>
      <c r="AD283" s="239"/>
      <c r="AE283" s="237"/>
      <c r="AF283" s="239"/>
      <c r="AG283" s="239"/>
      <c r="AH283" s="239"/>
      <c r="AI283" s="239"/>
      <c r="AJ283" s="237"/>
      <c r="AK283" s="239"/>
      <c r="AL283" s="239"/>
      <c r="AM283" s="239"/>
      <c r="AN283" s="239"/>
      <c r="AO283" s="237"/>
      <c r="AP283" s="239"/>
      <c r="AQ283" s="239"/>
      <c r="AR283" s="239"/>
      <c r="AS283" s="239"/>
      <c r="AT283" s="237"/>
      <c r="AU283" s="239"/>
      <c r="AV283" s="239"/>
      <c r="AW283" s="239"/>
      <c r="AX283" s="239"/>
      <c r="AY283" s="237"/>
      <c r="AZ283" s="239"/>
      <c r="BA283" s="239"/>
      <c r="BB283" s="239"/>
      <c r="BC283" s="239"/>
      <c r="BD283" s="237"/>
      <c r="BE283" s="239"/>
      <c r="BF283" s="239"/>
      <c r="BG283" s="239"/>
      <c r="BH283" s="239"/>
      <c r="BI283" s="259"/>
      <c r="BJ283" s="239"/>
      <c r="BK283" s="239"/>
      <c r="BL283" s="239"/>
      <c r="BM283" s="239"/>
      <c r="BN283" s="237"/>
      <c r="BO283" s="239"/>
      <c r="BP283" s="239"/>
      <c r="BQ283" s="239"/>
      <c r="BR283" s="239"/>
      <c r="BS283" s="237"/>
      <c r="BT283" s="237"/>
      <c r="BU283" s="237"/>
      <c r="BV283" s="237"/>
      <c r="BW283" s="4"/>
    </row>
    <row r="284" spans="1:75" ht="15.75" customHeight="1" outlineLevel="1" x14ac:dyDescent="0.2">
      <c r="A284" s="85" t="s">
        <v>636</v>
      </c>
      <c r="B284" s="2"/>
      <c r="C284" s="237"/>
      <c r="D284" s="237"/>
      <c r="E284" s="237"/>
      <c r="F284" s="237">
        <f>F26+F31+F27+F28</f>
        <v>1604.825</v>
      </c>
      <c r="G284" s="239"/>
      <c r="H284" s="239"/>
      <c r="I284" s="239"/>
      <c r="J284" s="239">
        <f>J26+J27+J28+J31+I26+I27+I28+I31+H26+H27+H28+H31+G26+G27+G28+G31</f>
        <v>1688.0360000000001</v>
      </c>
      <c r="K284" s="237">
        <f>J284</f>
        <v>1688.0360000000001</v>
      </c>
      <c r="L284" s="239">
        <f>L26+L27+L28+L31+J26+J27+J28+J31+I26+I27+I28+I31+H26+H27+H28+H31</f>
        <v>1712.0910000000001</v>
      </c>
      <c r="M284" s="239">
        <f>M26+M27+M28+M31+L26+L27+L28+L31+J26+J27+J28+J31+I26+I27+I28+I31</f>
        <v>1738.7</v>
      </c>
      <c r="N284" s="239">
        <f>N26+N27+N28+N31+M26+M27+M28+M31+L26+L27+L28+L31+J26+J27+J28+J31</f>
        <v>1767.8870000000002</v>
      </c>
      <c r="O284" s="239">
        <f>O26+O27+O28+O31+N26+N27+N28+N31+M26+M27+M28+M31+L26+L27+L28+L31</f>
        <v>1792.796</v>
      </c>
      <c r="P284" s="237">
        <f>O284</f>
        <v>1792.796</v>
      </c>
      <c r="Q284" s="239">
        <f>Q26+Q27+Q28+Q31+O26+O27+O28+O31+N26+N27+N28+N31+M26+M27+M28+M31</f>
        <v>1860.1396766101693</v>
      </c>
      <c r="R284" s="239">
        <f>R26+R27+R28+R31+Q26+Q27+Q28+Q31+O26+O27+O28+O31+N26+N27+N28+N31</f>
        <v>1923.1344308958837</v>
      </c>
      <c r="S284" s="239">
        <f>S26+S27+S28+S31+R26+R27+R28+R31+Q26+Q27+Q28+Q31+O26+O27+O28+O31</f>
        <v>1981.9238318547877</v>
      </c>
      <c r="T284" s="239">
        <f>T26+T27+T28+T31+S26+S27+S28+S31+R26+R27+R28+R31+Q26+Q27+Q28+Q31</f>
        <v>2039.7224403760911</v>
      </c>
      <c r="U284" s="237">
        <f t="shared" ref="U284:U285" si="668">T284</f>
        <v>2039.7224403760911</v>
      </c>
      <c r="V284" s="239">
        <f>V26+V27+V28+V31+T26+T27+T28+T31+S26+S27+S28+S31+R26+R27+R28+R31</f>
        <v>2075.7879907609959</v>
      </c>
      <c r="W284" s="239">
        <f>W26+W27+W28+W31+V26+V27+V28+V31+T26+T27+T28+T31+S26+S27+S28+S31</f>
        <v>2105.7914584360656</v>
      </c>
      <c r="X284" s="239">
        <f>X26+X27+X28+X31+W26+W27+W28+W31+V26+V27+V28+V31+T26+T27+T28+T31</f>
        <v>2136.6314828739864</v>
      </c>
      <c r="Y284" s="239">
        <f>Y26+Y27+Y28+Y31+X26+X27+X28+X31+W26+W27+W28+W31+V26+V27+V28+V31</f>
        <v>2210.8926136835385</v>
      </c>
      <c r="Z284" s="237">
        <f t="shared" ref="Z284:Z285" si="669">Y284</f>
        <v>2210.8926136835385</v>
      </c>
      <c r="AA284" s="239">
        <f>AA26+AA27+AA28+AA31+Y26+Y27+Y28+Y31+X26+X27+X28+X31+W26+W27+W28+W31</f>
        <v>2218.7039046266091</v>
      </c>
      <c r="AB284" s="239">
        <f>AB26+AB27+AB28+AB31+AA26+AA27+AA28+AA31+Y26+Y27+Y28+Y31+X26+X27+X28+X31</f>
        <v>2227.5814320023364</v>
      </c>
      <c r="AC284" s="239">
        <f>AC26+AC27+AC28+AC31+AB26+AB27+AB28+AB31+AA26+AA27+AA28+AA31+Y26+Y27+Y28+Y31</f>
        <v>2222.6889572865143</v>
      </c>
      <c r="AD284" s="239">
        <f>AD26+AD27+AD28+AD31+AC26+AC27+AC28+AC31+AB26+AB27+AB28+AB31+AA26+AA27+AA28+AA31</f>
        <v>2190.5835025951578</v>
      </c>
      <c r="AE284" s="237">
        <f t="shared" ref="AE284:AE285" si="670">AD284</f>
        <v>2190.5835025951578</v>
      </c>
      <c r="AF284" s="239">
        <f>AF26+AF27+AF28+AF31+AD26+AD27+AD28+AD31+AC26+AC27+AC28+AC31+AB26+AB27+AB28+AB31</f>
        <v>2216.4826648580183</v>
      </c>
      <c r="AG284" s="239">
        <f>AG26+AG27+AG28+AG31+AF26+AF27+AF28+AF31+AD26+AD27+AD28+AD31+AC26+AC27+AC28+AC31</f>
        <v>2239.0455136314995</v>
      </c>
      <c r="AH284" s="239">
        <f>AH26+AH27+AH28+AH31+AG26+AG27+AG28+AG31+AF26+AF27+AF28+AF31+AD26+AD27+AD28+AD31</f>
        <v>2262.8312736481703</v>
      </c>
      <c r="AI284" s="239">
        <f>AJ284</f>
        <v>2259.8247958526026</v>
      </c>
      <c r="AJ284" s="237">
        <f>AJ26+AJ31</f>
        <v>2259.8247958526026</v>
      </c>
      <c r="AK284" s="239">
        <f>AK26+AK27+AK28+AK31+AI26+AI27+AI28+AI31+AH26+AH27+AH28+AH31+AG26+AG27+AG28+AG31</f>
        <v>2285.8878877909005</v>
      </c>
      <c r="AL284" s="239">
        <f>AL26+AL27+AL28+AL31+AK26+AK27+AK28+AK31+AI26+AI27+AI28+AI31+AH26+AH27+AH28+AH31</f>
        <v>2295.6499028821281</v>
      </c>
      <c r="AM284" s="239">
        <f>AM26+AM27+AM28+AM31+AL26+AL27+AL28+AL31+AK26+AK27+AK28+AK31+AI26+AI27+AI28+AI31</f>
        <v>2300.7126123062194</v>
      </c>
      <c r="AN284" s="239">
        <f>AN26+AN27+AN28+AN31+AM26+AM27+AM28+AM31+AL26+AL27+AL28+AL31+AK26+AK27+AK28+AK31</f>
        <v>2404.9080001289553</v>
      </c>
      <c r="AO284" s="237">
        <f t="shared" ref="AO284:AO285" si="671">AN284</f>
        <v>2404.9080001289553</v>
      </c>
      <c r="AP284" s="239">
        <f>AP26+AP27+AP28+AP31+AN26+AN27+AN28+AN31+AM26+AM27+AM28+AM31+AL26+AL27+AL28+AL31</f>
        <v>2419.0607157084255</v>
      </c>
      <c r="AQ284" s="239">
        <f>AQ26+AQ27+AQ28+AQ31+AP26+AP27+AP28+AP31+AN26+AN27+AN28+AN31+AM26+AM27+AM28+AM31</f>
        <v>2112.0879817799328</v>
      </c>
      <c r="AR284" s="239">
        <f>AR26+AR27+AR28+AR31+AQ26+AQ27+AQ28+AQ31+AP26+AP27+AP28+AP31+AN26+AN27+AN28+AN31</f>
        <v>2039.91193154547</v>
      </c>
      <c r="AS284" s="239">
        <f>AS26+AS27+AS28+AS31+AR26+AR27+AR28+AR31+AQ26+AQ27+AQ28+AQ31+AP26+AP27+AP28+AP31</f>
        <v>1900.3623352283912</v>
      </c>
      <c r="AT284" s="237">
        <f t="shared" ref="AT284:AT285" si="672">AS284</f>
        <v>1900.3623352283912</v>
      </c>
      <c r="AU284" s="239">
        <f>AU26+AU27+AU28+AU31+AS26+AS27+AS28+AS31+AR26+AR27+AR28+AR31+AQ26+AQ27+AQ28+AQ31</f>
        <v>1909.4765356649575</v>
      </c>
      <c r="AV284" s="239">
        <f>AV26+AV27+AV28+AV31+AU26+AU27+AU28+AU31+AS26+AS27+AS28+AS31+AR26+AR27+AR28+AR31</f>
        <v>2377.7854977448874</v>
      </c>
      <c r="AW284" s="239">
        <f>AW26+AW27+AW28+AW31+AV26+AV27+AV28+AV31+AU26+AU27+AU28+AU31+AS26+AS27+AS28+AS31</f>
        <v>2613.232992193769</v>
      </c>
      <c r="AX284" s="239">
        <f>AX26+AX27+AX28+AX31+AW26+AW27+AW28+AW31+AV26+AV27+AV28+AV31+AU26+AU27+AU28+AU31</f>
        <v>2836.2506033256632</v>
      </c>
      <c r="AY284" s="237">
        <f t="shared" ref="AY284:AY285" si="673">AX284</f>
        <v>2836.2506033256632</v>
      </c>
      <c r="AZ284" s="239">
        <f>AZ26+AZ27+AZ28+AZ31+AX26+AX27+AX28+AX31+AW26+AW27+AW28+AW31+AV26+AV27+AV28+AV31</f>
        <v>3000.4771213241688</v>
      </c>
      <c r="BA284" s="239">
        <f>BA26+BA27+BA28+BA31+AZ26+AZ27+AZ28+AZ31+AX26+AX27+AX28+AX31+AW26+AW27+AW28+AW31</f>
        <v>3063.1192484330513</v>
      </c>
      <c r="BB284" s="239">
        <f>BB26+BB27+BB28+BB31+BA26+BA27+BA28+BA31+AZ26+AZ27+AZ28+AZ31+AX26+AX27+AX28+AX31</f>
        <v>3092.0691939600829</v>
      </c>
      <c r="BC284" s="239">
        <f>BC26+BC27+BC28+BC31+BB26+BB27+BB28+BB31+BA26+BA27+BA28+BA31+AZ26+AZ27+AZ28+AZ31</f>
        <v>3206.5871674660116</v>
      </c>
      <c r="BD284" s="237">
        <f t="shared" ref="BD284:BD285" si="674">BC284</f>
        <v>3206.5871674660116</v>
      </c>
      <c r="BE284" s="239">
        <f>BE26+BE27+BE28+BE31+BC26+BC27+BC28+BC31+BB26+BB27+BB28+BB31+BA26+BA27+BA28+BA31</f>
        <v>3277.8811382123167</v>
      </c>
      <c r="BF284" s="239">
        <f>BF26+BF27+BF28+BF31+BE26+BE27+BE28+BE31+BC26+BC27+BC28+BC31+BB26+BB27+BB28+BB31</f>
        <v>3310.5524696002931</v>
      </c>
      <c r="BG284" s="239">
        <f>BG26+BG27+BG28+BG31+BF26+BF27+BF28+BF31+BE26+BE27+BE28+BE31+BC26+BC27+BC28+BC31</f>
        <v>3355.8566108691521</v>
      </c>
      <c r="BH284" s="239">
        <f>BH26+BH27+BH28+BH31+BG26+BG27+BG28+BG31+BF26+BF27+BF28+BF31+BE26+BE27+BE28+BE31</f>
        <v>3339.3628729482152</v>
      </c>
      <c r="BI284" s="259">
        <f t="shared" ref="BI284:BI285" si="675">BH284</f>
        <v>3339.3628729482152</v>
      </c>
      <c r="BJ284" s="239"/>
      <c r="BK284" s="239"/>
      <c r="BL284" s="239"/>
      <c r="BM284" s="239"/>
      <c r="BN284" s="237"/>
      <c r="BO284" s="239"/>
      <c r="BP284" s="239"/>
      <c r="BQ284" s="239"/>
      <c r="BR284" s="239"/>
      <c r="BS284" s="237"/>
      <c r="BT284" s="237"/>
      <c r="BU284" s="237"/>
      <c r="BV284" s="237"/>
      <c r="BW284" s="4"/>
    </row>
    <row r="285" spans="1:75" ht="15.75" customHeight="1" outlineLevel="1" x14ac:dyDescent="0.2">
      <c r="A285" s="85" t="s">
        <v>637</v>
      </c>
      <c r="B285" s="2"/>
      <c r="C285" s="237"/>
      <c r="D285" s="237"/>
      <c r="E285" s="237"/>
      <c r="F285" s="237"/>
      <c r="G285" s="239"/>
      <c r="H285" s="239"/>
      <c r="I285" s="239"/>
      <c r="J285" s="239"/>
      <c r="K285" s="237"/>
      <c r="L285" s="239"/>
      <c r="M285" s="239"/>
      <c r="N285" s="239"/>
      <c r="O285" s="239"/>
      <c r="P285" s="237"/>
      <c r="Q285" s="239"/>
      <c r="R285" s="239"/>
      <c r="S285" s="239"/>
      <c r="T285" s="239">
        <f>T217+S217+R217+Q217</f>
        <v>80.865596239088561</v>
      </c>
      <c r="U285" s="237">
        <f t="shared" si="668"/>
        <v>80.865596239088561</v>
      </c>
      <c r="V285" s="239">
        <f>V217+T217+S217+R217</f>
        <v>85.410092390044554</v>
      </c>
      <c r="W285" s="239">
        <f>W217+V217+T217+S217</f>
        <v>91.925415639344266</v>
      </c>
      <c r="X285" s="239">
        <f>+X217+W217+V217+T217</f>
        <v>100.8251712601314</v>
      </c>
      <c r="Y285" s="239">
        <f>Y217+X217+W217+V217</f>
        <v>112.2638631646138</v>
      </c>
      <c r="Z285" s="237">
        <f t="shared" si="669"/>
        <v>112.2638631646138</v>
      </c>
      <c r="AA285" s="239">
        <f>AA217+Y217+X217+W217</f>
        <v>122.48095373390942</v>
      </c>
      <c r="AB285" s="239">
        <f>AB217+AA217+Y217+X217</f>
        <v>130.77567997663536</v>
      </c>
      <c r="AC285" s="239">
        <f>+AC217+AB217+AA217+Y217</f>
        <v>140.44042713485348</v>
      </c>
      <c r="AD285" s="239">
        <f>AD217+AC217+AB217+AA217</f>
        <v>148.18497404841935</v>
      </c>
      <c r="AE285" s="237">
        <f t="shared" si="670"/>
        <v>148.18497404841935</v>
      </c>
      <c r="AF285" s="239">
        <f>AF217+AD217+AC217+AB217</f>
        <v>159.84335141981239</v>
      </c>
      <c r="AG285" s="239">
        <f>AG217+AF217+AD217+AC217</f>
        <v>171.30486368500706</v>
      </c>
      <c r="AH285" s="239">
        <f>+AH217+AG217+AF217+AD217</f>
        <v>178.34726351829872</v>
      </c>
      <c r="AI285" s="239">
        <f>AI217+AH217+AG217+AF217</f>
        <v>181.06204147397671</v>
      </c>
      <c r="AJ285" s="237">
        <f>AI285</f>
        <v>181.06204147397671</v>
      </c>
      <c r="AK285" s="239">
        <f>AK217+AI217+AH217+AG217</f>
        <v>179.0811220909921</v>
      </c>
      <c r="AL285" s="239">
        <f>AL217+AK217+AI217+AH217</f>
        <v>179.13097117871951</v>
      </c>
      <c r="AM285" s="239">
        <f>+AM217+AL217+AK217+AI217</f>
        <v>183.04387693780771</v>
      </c>
      <c r="AN285" s="239">
        <f>AN217+AM217+AL217+AK217</f>
        <v>193.83999871044739</v>
      </c>
      <c r="AO285" s="237">
        <f t="shared" si="671"/>
        <v>193.83999871044739</v>
      </c>
      <c r="AP285" s="239">
        <f>AP217+AN217+AM217+AL217</f>
        <v>199.56284291574846</v>
      </c>
      <c r="AQ285" s="239">
        <f>AQ217+AP217+AN217+AM217</f>
        <v>178.35018220067087</v>
      </c>
      <c r="AR285" s="239">
        <f>+AR217+AQ217+AP217+AN217</f>
        <v>171.91068454529906</v>
      </c>
      <c r="AS285" s="239">
        <f>AS217+AR217+AQ217+AP217</f>
        <v>162.62664771609178</v>
      </c>
      <c r="AT285" s="237">
        <f t="shared" si="672"/>
        <v>162.62664771609178</v>
      </c>
      <c r="AU285" s="239">
        <f>AU217+AS217+AR217+AQ217</f>
        <v>165.59464335042745</v>
      </c>
      <c r="AV285" s="239">
        <f>AV217+AU217+AS217+AR217</f>
        <v>206.55502255113015</v>
      </c>
      <c r="AW285" s="239">
        <f>+AW217+AV217+AU217+AS217</f>
        <v>230.6600780623134</v>
      </c>
      <c r="AX285" s="239">
        <f>AX217+AW217+AV217+AU217</f>
        <v>250.89396674337254</v>
      </c>
      <c r="AY285" s="237">
        <f t="shared" si="673"/>
        <v>250.89396674337254</v>
      </c>
      <c r="AZ285" s="239">
        <f>AZ217+AX217+AW217+AV217</f>
        <v>266.54878675830912</v>
      </c>
      <c r="BA285" s="239">
        <f>BA217+AZ217+AX217+AW217</f>
        <v>272.37751566949447</v>
      </c>
      <c r="BB285" s="239">
        <f>+BB217+BA217+AZ217+AX217</f>
        <v>273.13806039917637</v>
      </c>
      <c r="BC285" s="239">
        <f>BC217+BB217+BA217+AZ217</f>
        <v>283.82832533988432</v>
      </c>
      <c r="BD285" s="237">
        <f t="shared" si="674"/>
        <v>283.82832533988432</v>
      </c>
      <c r="BE285" s="239">
        <f>BE217+BC217+BB217+BA217</f>
        <v>289.76831787683221</v>
      </c>
      <c r="BF285" s="239">
        <f>BF217+BE217+BC217+BB217</f>
        <v>293.56640399707629</v>
      </c>
      <c r="BG285" s="239">
        <f>+BG217+BF217+BE217+BC217</f>
        <v>297.45469130848426</v>
      </c>
      <c r="BH285" s="239">
        <f>BH217+BG217+BF217+BE217</f>
        <v>299.0854705178408</v>
      </c>
      <c r="BI285" s="259">
        <f t="shared" si="675"/>
        <v>299.0854705178408</v>
      </c>
      <c r="BJ285" s="239"/>
      <c r="BK285" s="239"/>
      <c r="BL285" s="239"/>
      <c r="BM285" s="239"/>
      <c r="BN285" s="237"/>
      <c r="BO285" s="239"/>
      <c r="BP285" s="239"/>
      <c r="BQ285" s="239"/>
      <c r="BR285" s="239"/>
      <c r="BS285" s="237"/>
      <c r="BT285" s="237"/>
      <c r="BU285" s="237"/>
      <c r="BV285" s="237"/>
      <c r="BW285" s="4"/>
    </row>
    <row r="286" spans="1:75" ht="15.75" customHeight="1" outlineLevel="1" x14ac:dyDescent="0.2">
      <c r="A286" s="102" t="s">
        <v>638</v>
      </c>
      <c r="B286" s="106"/>
      <c r="C286" s="264"/>
      <c r="D286" s="264"/>
      <c r="E286" s="264"/>
      <c r="F286" s="264"/>
      <c r="G286" s="265"/>
      <c r="H286" s="265"/>
      <c r="I286" s="265"/>
      <c r="J286" s="265"/>
      <c r="K286" s="264"/>
      <c r="L286" s="265"/>
      <c r="M286" s="265"/>
      <c r="N286" s="265"/>
      <c r="O286" s="265"/>
      <c r="P286" s="264"/>
      <c r="Q286" s="265"/>
      <c r="R286" s="265"/>
      <c r="S286" s="265"/>
      <c r="T286" s="265">
        <f t="shared" ref="T286:BI286" si="676">T284+T285</f>
        <v>2120.5880366151796</v>
      </c>
      <c r="U286" s="264">
        <f t="shared" si="676"/>
        <v>2120.5880366151796</v>
      </c>
      <c r="V286" s="265">
        <f t="shared" si="676"/>
        <v>2161.1980831510405</v>
      </c>
      <c r="W286" s="265">
        <f t="shared" si="676"/>
        <v>2197.71687407541</v>
      </c>
      <c r="X286" s="265">
        <f t="shared" si="676"/>
        <v>2237.4566541341178</v>
      </c>
      <c r="Y286" s="265">
        <f t="shared" si="676"/>
        <v>2323.1564768481521</v>
      </c>
      <c r="Z286" s="264">
        <f t="shared" si="676"/>
        <v>2323.1564768481521</v>
      </c>
      <c r="AA286" s="265">
        <f t="shared" si="676"/>
        <v>2341.1848583605183</v>
      </c>
      <c r="AB286" s="265">
        <f t="shared" si="676"/>
        <v>2358.3571119789717</v>
      </c>
      <c r="AC286" s="265">
        <f t="shared" si="676"/>
        <v>2363.1293844213678</v>
      </c>
      <c r="AD286" s="265">
        <f t="shared" si="676"/>
        <v>2338.7684766435773</v>
      </c>
      <c r="AE286" s="264">
        <f t="shared" si="676"/>
        <v>2338.7684766435773</v>
      </c>
      <c r="AF286" s="265">
        <f t="shared" si="676"/>
        <v>2376.3260162778306</v>
      </c>
      <c r="AG286" s="265">
        <f t="shared" si="676"/>
        <v>2410.3503773165066</v>
      </c>
      <c r="AH286" s="265">
        <f t="shared" si="676"/>
        <v>2441.1785371664691</v>
      </c>
      <c r="AI286" s="265">
        <f t="shared" si="676"/>
        <v>2440.8868373265796</v>
      </c>
      <c r="AJ286" s="264">
        <f t="shared" si="676"/>
        <v>2440.8868373265796</v>
      </c>
      <c r="AK286" s="265">
        <f t="shared" si="676"/>
        <v>2464.9690098818928</v>
      </c>
      <c r="AL286" s="265">
        <f t="shared" si="676"/>
        <v>2474.7808740608475</v>
      </c>
      <c r="AM286" s="265">
        <f t="shared" si="676"/>
        <v>2483.7564892440273</v>
      </c>
      <c r="AN286" s="265">
        <f t="shared" si="676"/>
        <v>2598.7479988394025</v>
      </c>
      <c r="AO286" s="264">
        <f t="shared" si="676"/>
        <v>2598.7479988394025</v>
      </c>
      <c r="AP286" s="265">
        <f t="shared" si="676"/>
        <v>2618.6235586241742</v>
      </c>
      <c r="AQ286" s="265">
        <f t="shared" si="676"/>
        <v>2290.4381639806038</v>
      </c>
      <c r="AR286" s="265">
        <f t="shared" si="676"/>
        <v>2211.8226160907689</v>
      </c>
      <c r="AS286" s="265">
        <f t="shared" si="676"/>
        <v>2062.9889829444828</v>
      </c>
      <c r="AT286" s="264">
        <f t="shared" si="676"/>
        <v>2062.9889829444828</v>
      </c>
      <c r="AU286" s="265">
        <f t="shared" si="676"/>
        <v>2075.071179015385</v>
      </c>
      <c r="AV286" s="265">
        <f t="shared" si="676"/>
        <v>2584.3405202960175</v>
      </c>
      <c r="AW286" s="265">
        <f t="shared" si="676"/>
        <v>2843.8930702560824</v>
      </c>
      <c r="AX286" s="265">
        <f t="shared" si="676"/>
        <v>3087.1445700690356</v>
      </c>
      <c r="AY286" s="264">
        <f t="shared" si="676"/>
        <v>3087.1445700690356</v>
      </c>
      <c r="AZ286" s="265">
        <f t="shared" si="676"/>
        <v>3267.0259080824781</v>
      </c>
      <c r="BA286" s="265">
        <f t="shared" si="676"/>
        <v>3335.496764102546</v>
      </c>
      <c r="BB286" s="265">
        <f t="shared" si="676"/>
        <v>3365.2072543592594</v>
      </c>
      <c r="BC286" s="265">
        <f t="shared" si="676"/>
        <v>3490.4154928058961</v>
      </c>
      <c r="BD286" s="264">
        <f t="shared" si="676"/>
        <v>3490.4154928058961</v>
      </c>
      <c r="BE286" s="265">
        <f t="shared" si="676"/>
        <v>3567.6494560891488</v>
      </c>
      <c r="BF286" s="265">
        <f t="shared" si="676"/>
        <v>3604.1188735973692</v>
      </c>
      <c r="BG286" s="265">
        <f t="shared" si="676"/>
        <v>3653.3113021776362</v>
      </c>
      <c r="BH286" s="265">
        <f t="shared" si="676"/>
        <v>3638.448343466056</v>
      </c>
      <c r="BI286" s="266">
        <f t="shared" si="676"/>
        <v>3638.448343466056</v>
      </c>
      <c r="BJ286" s="265"/>
      <c r="BK286" s="265"/>
      <c r="BL286" s="265"/>
      <c r="BM286" s="265"/>
      <c r="BN286" s="264"/>
      <c r="BO286" s="265"/>
      <c r="BP286" s="265"/>
      <c r="BQ286" s="265"/>
      <c r="BR286" s="265"/>
      <c r="BS286" s="264"/>
      <c r="BT286" s="264"/>
      <c r="BU286" s="264"/>
      <c r="BV286" s="264"/>
      <c r="BW286" s="83"/>
    </row>
    <row r="287" spans="1:75" ht="15.75" customHeight="1" outlineLevel="1" x14ac:dyDescent="0.2">
      <c r="A287" s="85"/>
      <c r="B287" s="242"/>
      <c r="C287" s="243"/>
      <c r="D287" s="243"/>
      <c r="E287" s="243"/>
      <c r="F287" s="243"/>
      <c r="G287" s="245"/>
      <c r="H287" s="245"/>
      <c r="I287" s="245"/>
      <c r="J287" s="245"/>
      <c r="K287" s="243"/>
      <c r="L287" s="245"/>
      <c r="M287" s="245"/>
      <c r="N287" s="245"/>
      <c r="O287" s="245"/>
      <c r="P287" s="243"/>
      <c r="Q287" s="245"/>
      <c r="R287" s="245"/>
      <c r="S287" s="245"/>
      <c r="T287" s="245"/>
      <c r="U287" s="243"/>
      <c r="V287" s="245"/>
      <c r="W287" s="245"/>
      <c r="X287" s="245"/>
      <c r="Y287" s="245"/>
      <c r="Z287" s="243"/>
      <c r="AA287" s="245"/>
      <c r="AB287" s="245"/>
      <c r="AC287" s="245"/>
      <c r="AD287" s="245"/>
      <c r="AE287" s="243"/>
      <c r="AF287" s="245"/>
      <c r="AG287" s="245"/>
      <c r="AH287" s="245"/>
      <c r="AI287" s="245"/>
      <c r="AJ287" s="243"/>
      <c r="AK287" s="245"/>
      <c r="AL287" s="245"/>
      <c r="AM287" s="245"/>
      <c r="AN287" s="245"/>
      <c r="AO287" s="243"/>
      <c r="AP287" s="245"/>
      <c r="AQ287" s="245"/>
      <c r="AR287" s="245"/>
      <c r="AS287" s="245"/>
      <c r="AT287" s="243"/>
      <c r="AU287" s="245"/>
      <c r="AV287" s="245"/>
      <c r="AW287" s="245"/>
      <c r="AX287" s="245"/>
      <c r="AY287" s="243"/>
      <c r="AZ287" s="245"/>
      <c r="BA287" s="245"/>
      <c r="BB287" s="245"/>
      <c r="BC287" s="245"/>
      <c r="BD287" s="243"/>
      <c r="BE287" s="245"/>
      <c r="BF287" s="245"/>
      <c r="BG287" s="245"/>
      <c r="BH287" s="245"/>
      <c r="BI287" s="255"/>
      <c r="BJ287" s="245"/>
      <c r="BK287" s="245"/>
      <c r="BL287" s="245"/>
      <c r="BM287" s="245"/>
      <c r="BN287" s="243"/>
      <c r="BO287" s="245"/>
      <c r="BP287" s="245"/>
      <c r="BQ287" s="245"/>
      <c r="BR287" s="245"/>
      <c r="BS287" s="243"/>
      <c r="BT287" s="243"/>
      <c r="BU287" s="243"/>
      <c r="BV287" s="243"/>
      <c r="BW287" s="247"/>
    </row>
    <row r="288" spans="1:75" ht="15.75" customHeight="1" outlineLevel="1" x14ac:dyDescent="0.2">
      <c r="A288" s="85" t="s">
        <v>639</v>
      </c>
      <c r="B288" s="2"/>
      <c r="C288" s="237"/>
      <c r="D288" s="237"/>
      <c r="E288" s="237"/>
      <c r="F288" s="237">
        <f>F284</f>
        <v>1604.825</v>
      </c>
      <c r="G288" s="239"/>
      <c r="H288" s="239"/>
      <c r="I288" s="239"/>
      <c r="J288" s="239">
        <f t="shared" ref="J288:BI288" si="677">J284</f>
        <v>1688.0360000000001</v>
      </c>
      <c r="K288" s="237">
        <f t="shared" si="677"/>
        <v>1688.0360000000001</v>
      </c>
      <c r="L288" s="239">
        <f t="shared" si="677"/>
        <v>1712.0910000000001</v>
      </c>
      <c r="M288" s="239">
        <f t="shared" si="677"/>
        <v>1738.7</v>
      </c>
      <c r="N288" s="239">
        <f t="shared" si="677"/>
        <v>1767.8870000000002</v>
      </c>
      <c r="O288" s="239">
        <f t="shared" si="677"/>
        <v>1792.796</v>
      </c>
      <c r="P288" s="237">
        <f t="shared" si="677"/>
        <v>1792.796</v>
      </c>
      <c r="Q288" s="239">
        <f t="shared" si="677"/>
        <v>1860.1396766101693</v>
      </c>
      <c r="R288" s="239">
        <f t="shared" si="677"/>
        <v>1923.1344308958837</v>
      </c>
      <c r="S288" s="239">
        <f t="shared" si="677"/>
        <v>1981.9238318547877</v>
      </c>
      <c r="T288" s="239">
        <f t="shared" si="677"/>
        <v>2039.7224403760911</v>
      </c>
      <c r="U288" s="237">
        <f t="shared" si="677"/>
        <v>2039.7224403760911</v>
      </c>
      <c r="V288" s="239">
        <f t="shared" si="677"/>
        <v>2075.7879907609959</v>
      </c>
      <c r="W288" s="239">
        <f t="shared" si="677"/>
        <v>2105.7914584360656</v>
      </c>
      <c r="X288" s="239">
        <f t="shared" si="677"/>
        <v>2136.6314828739864</v>
      </c>
      <c r="Y288" s="239">
        <f t="shared" si="677"/>
        <v>2210.8926136835385</v>
      </c>
      <c r="Z288" s="237">
        <f t="shared" si="677"/>
        <v>2210.8926136835385</v>
      </c>
      <c r="AA288" s="239">
        <f t="shared" si="677"/>
        <v>2218.7039046266091</v>
      </c>
      <c r="AB288" s="239">
        <f t="shared" si="677"/>
        <v>2227.5814320023364</v>
      </c>
      <c r="AC288" s="239">
        <f t="shared" si="677"/>
        <v>2222.6889572865143</v>
      </c>
      <c r="AD288" s="239">
        <f t="shared" si="677"/>
        <v>2190.5835025951578</v>
      </c>
      <c r="AE288" s="237">
        <f t="shared" si="677"/>
        <v>2190.5835025951578</v>
      </c>
      <c r="AF288" s="239">
        <f t="shared" si="677"/>
        <v>2216.4826648580183</v>
      </c>
      <c r="AG288" s="239">
        <f t="shared" si="677"/>
        <v>2239.0455136314995</v>
      </c>
      <c r="AH288" s="239">
        <f t="shared" si="677"/>
        <v>2262.8312736481703</v>
      </c>
      <c r="AI288" s="239">
        <f t="shared" si="677"/>
        <v>2259.8247958526026</v>
      </c>
      <c r="AJ288" s="237">
        <f t="shared" si="677"/>
        <v>2259.8247958526026</v>
      </c>
      <c r="AK288" s="239">
        <f t="shared" si="677"/>
        <v>2285.8878877909005</v>
      </c>
      <c r="AL288" s="239">
        <f t="shared" si="677"/>
        <v>2295.6499028821281</v>
      </c>
      <c r="AM288" s="239">
        <f t="shared" si="677"/>
        <v>2300.7126123062194</v>
      </c>
      <c r="AN288" s="239">
        <f t="shared" si="677"/>
        <v>2404.9080001289553</v>
      </c>
      <c r="AO288" s="237">
        <f t="shared" si="677"/>
        <v>2404.9080001289553</v>
      </c>
      <c r="AP288" s="239">
        <f t="shared" si="677"/>
        <v>2419.0607157084255</v>
      </c>
      <c r="AQ288" s="239">
        <f t="shared" si="677"/>
        <v>2112.0879817799328</v>
      </c>
      <c r="AR288" s="239">
        <f t="shared" si="677"/>
        <v>2039.91193154547</v>
      </c>
      <c r="AS288" s="239">
        <f t="shared" si="677"/>
        <v>1900.3623352283912</v>
      </c>
      <c r="AT288" s="237">
        <f t="shared" si="677"/>
        <v>1900.3623352283912</v>
      </c>
      <c r="AU288" s="239">
        <f t="shared" si="677"/>
        <v>1909.4765356649575</v>
      </c>
      <c r="AV288" s="239">
        <f t="shared" si="677"/>
        <v>2377.7854977448874</v>
      </c>
      <c r="AW288" s="239">
        <f t="shared" si="677"/>
        <v>2613.232992193769</v>
      </c>
      <c r="AX288" s="239">
        <f t="shared" si="677"/>
        <v>2836.2506033256632</v>
      </c>
      <c r="AY288" s="237">
        <f t="shared" si="677"/>
        <v>2836.2506033256632</v>
      </c>
      <c r="AZ288" s="239">
        <f t="shared" si="677"/>
        <v>3000.4771213241688</v>
      </c>
      <c r="BA288" s="239">
        <f t="shared" si="677"/>
        <v>3063.1192484330513</v>
      </c>
      <c r="BB288" s="239">
        <f t="shared" si="677"/>
        <v>3092.0691939600829</v>
      </c>
      <c r="BC288" s="239">
        <f t="shared" si="677"/>
        <v>3206.5871674660116</v>
      </c>
      <c r="BD288" s="237">
        <f t="shared" si="677"/>
        <v>3206.5871674660116</v>
      </c>
      <c r="BE288" s="239">
        <f t="shared" si="677"/>
        <v>3277.8811382123167</v>
      </c>
      <c r="BF288" s="239">
        <f t="shared" si="677"/>
        <v>3310.5524696002931</v>
      </c>
      <c r="BG288" s="239">
        <f t="shared" si="677"/>
        <v>3355.8566108691521</v>
      </c>
      <c r="BH288" s="239">
        <f t="shared" si="677"/>
        <v>3339.3628729482152</v>
      </c>
      <c r="BI288" s="259">
        <f t="shared" si="677"/>
        <v>3339.3628729482152</v>
      </c>
      <c r="BJ288" s="239"/>
      <c r="BK288" s="239"/>
      <c r="BL288" s="239"/>
      <c r="BM288" s="239"/>
      <c r="BN288" s="237"/>
      <c r="BO288" s="239"/>
      <c r="BP288" s="239"/>
      <c r="BQ288" s="239"/>
      <c r="BR288" s="239"/>
      <c r="BS288" s="237"/>
      <c r="BT288" s="237"/>
      <c r="BU288" s="237"/>
      <c r="BV288" s="237"/>
      <c r="BW288" s="4"/>
    </row>
    <row r="289" spans="1:75" ht="15.75" customHeight="1" outlineLevel="1" x14ac:dyDescent="0.2">
      <c r="A289" s="85" t="s">
        <v>640</v>
      </c>
      <c r="B289" s="2"/>
      <c r="C289" s="237"/>
      <c r="D289" s="237"/>
      <c r="E289" s="237"/>
      <c r="F289" s="237"/>
      <c r="G289" s="239"/>
      <c r="H289" s="239"/>
      <c r="I289" s="239"/>
      <c r="J289" s="239"/>
      <c r="K289" s="237"/>
      <c r="L289" s="239"/>
      <c r="M289" s="239"/>
      <c r="N289" s="239"/>
      <c r="O289" s="239"/>
      <c r="P289" s="237"/>
      <c r="Q289" s="239"/>
      <c r="R289" s="239"/>
      <c r="S289" s="239"/>
      <c r="T289" s="239">
        <f>T30+S30+R30+Q30</f>
        <v>8.0865596239088564</v>
      </c>
      <c r="U289" s="237">
        <f t="shared" ref="U289:U290" si="678">T289</f>
        <v>8.0865596239088564</v>
      </c>
      <c r="V289" s="239">
        <f>V30+T30+S30+R30</f>
        <v>8.5410092390044561</v>
      </c>
      <c r="W289" s="239">
        <f>W30+V30+T30+S30</f>
        <v>9.1925415639344266</v>
      </c>
      <c r="X289" s="239">
        <f>X30+W30+V30+T30</f>
        <v>10.082517126013141</v>
      </c>
      <c r="Y289" s="239">
        <f>Y30+X30+W30+V30</f>
        <v>11.22638631646138</v>
      </c>
      <c r="Z289" s="237">
        <f t="shared" ref="Z289:Z290" si="679">Y289</f>
        <v>11.22638631646138</v>
      </c>
      <c r="AA289" s="239">
        <f>AA30+Y30+X30+W30</f>
        <v>12.248095373390942</v>
      </c>
      <c r="AB289" s="239">
        <f>AB30+AA30+Y30+X30</f>
        <v>13.077567997663536</v>
      </c>
      <c r="AC289" s="239">
        <f>AC30+AB30+AA30+Y30</f>
        <v>14.044042713485348</v>
      </c>
      <c r="AD289" s="239">
        <f>AD30+AC30+AB30+AA30</f>
        <v>14.818497404841935</v>
      </c>
      <c r="AE289" s="237">
        <f t="shared" ref="AE289:AE290" si="680">AD289</f>
        <v>14.818497404841935</v>
      </c>
      <c r="AF289" s="239">
        <f>AF30+AD30+AC30+AB30</f>
        <v>15.984335141981243</v>
      </c>
      <c r="AG289" s="239">
        <f>AG30+AF30+AD30+AC30</f>
        <v>17.130486368500708</v>
      </c>
      <c r="AH289" s="239">
        <f>AH30+AG30+AF30+AD30</f>
        <v>17.834726351829875</v>
      </c>
      <c r="AI289" s="239">
        <f>AI30+AH30+AG30+AF30</f>
        <v>18.106204147397669</v>
      </c>
      <c r="AJ289" s="237">
        <f t="shared" ref="AJ289:AJ290" si="681">AI289</f>
        <v>18.106204147397669</v>
      </c>
      <c r="AK289" s="239">
        <f>AK30+AI30+AH30+AG30</f>
        <v>17.908112209099215</v>
      </c>
      <c r="AL289" s="239">
        <f>AL30+AK30+AI30+AH30</f>
        <v>17.913097117871953</v>
      </c>
      <c r="AM289" s="239">
        <f>AM30+AL30+AK30+AI30</f>
        <v>18.304387693780772</v>
      </c>
      <c r="AN289" s="239">
        <f>AN30+AM30+AL30+AK30</f>
        <v>19.383999871044743</v>
      </c>
      <c r="AO289" s="237">
        <f t="shared" ref="AO289:AO290" si="682">AN289</f>
        <v>19.383999871044743</v>
      </c>
      <c r="AP289" s="239">
        <f>AP30+AN30+AM30+AL30</f>
        <v>19.95628429157485</v>
      </c>
      <c r="AQ289" s="239">
        <f>AQ30+AP30+AN30+AM30</f>
        <v>17.835018220067088</v>
      </c>
      <c r="AR289" s="239">
        <f>AR30+AQ30+AP30+AN30</f>
        <v>17.191068454529908</v>
      </c>
      <c r="AS289" s="239">
        <f>AS30+AR30+AQ30+AP30</f>
        <v>16.262664771609181</v>
      </c>
      <c r="AT289" s="237">
        <f t="shared" ref="AT289:AT290" si="683">AS289</f>
        <v>16.262664771609181</v>
      </c>
      <c r="AU289" s="239">
        <f>AU30+AS30+AR30+AQ30</f>
        <v>16.559464335042744</v>
      </c>
      <c r="AV289" s="239">
        <f>AV30+AU30+AS30+AR30</f>
        <v>20.655502255113014</v>
      </c>
      <c r="AW289" s="239">
        <f>AW30+AV30+AU30+AS30</f>
        <v>23.06600780623134</v>
      </c>
      <c r="AX289" s="239">
        <f>AX30+AW30+AV30+AU30</f>
        <v>25.089396674337259</v>
      </c>
      <c r="AY289" s="237">
        <f t="shared" ref="AY289:AY290" si="684">AX289</f>
        <v>25.089396674337259</v>
      </c>
      <c r="AZ289" s="239">
        <f>AZ30+AX30+AW30+AV30</f>
        <v>26.654878675830911</v>
      </c>
      <c r="BA289" s="239">
        <f>BA30+AZ30+AX30+AW30</f>
        <v>27.237751566949452</v>
      </c>
      <c r="BB289" s="239">
        <f>BB30+BA30+AZ30+AX30</f>
        <v>27.313806039917637</v>
      </c>
      <c r="BC289" s="239">
        <f>BC30+BB30+BA30+AZ30</f>
        <v>28.382832533988434</v>
      </c>
      <c r="BD289" s="237">
        <f t="shared" ref="BD289:BD290" si="685">BC289</f>
        <v>28.382832533988434</v>
      </c>
      <c r="BE289" s="239">
        <f>BE30+BC30+BB30+BA30</f>
        <v>28.976831787683224</v>
      </c>
      <c r="BF289" s="239">
        <f>BF30+BE30+BC30+BB30</f>
        <v>29.356640399707629</v>
      </c>
      <c r="BG289" s="239">
        <f>BG30+BF30+BE30+BC30</f>
        <v>29.745469130848424</v>
      </c>
      <c r="BH289" s="239">
        <f>BH30+BG30+BF30+BE30</f>
        <v>29.90854705178408</v>
      </c>
      <c r="BI289" s="259">
        <f t="shared" ref="BI289:BI290" si="686">BH289</f>
        <v>29.90854705178408</v>
      </c>
      <c r="BJ289" s="239"/>
      <c r="BK289" s="239"/>
      <c r="BL289" s="239"/>
      <c r="BM289" s="239"/>
      <c r="BN289" s="237"/>
      <c r="BO289" s="239"/>
      <c r="BP289" s="239"/>
      <c r="BQ289" s="239"/>
      <c r="BR289" s="239"/>
      <c r="BS289" s="237"/>
      <c r="BT289" s="237"/>
      <c r="BU289" s="237"/>
      <c r="BV289" s="237"/>
      <c r="BW289" s="4"/>
    </row>
    <row r="290" spans="1:75" ht="15.75" customHeight="1" outlineLevel="1" x14ac:dyDescent="0.2">
      <c r="A290" s="85" t="s">
        <v>641</v>
      </c>
      <c r="B290" s="2"/>
      <c r="C290" s="237"/>
      <c r="D290" s="237"/>
      <c r="E290" s="237"/>
      <c r="F290" s="237">
        <f>F29</f>
        <v>65.2</v>
      </c>
      <c r="G290" s="239"/>
      <c r="H290" s="239"/>
      <c r="I290" s="239"/>
      <c r="J290" s="239">
        <f>J29+I29+H29+G29</f>
        <v>55.3</v>
      </c>
      <c r="K290" s="237">
        <f>J290</f>
        <v>55.3</v>
      </c>
      <c r="L290" s="239">
        <f>L29+J29+I29+H29</f>
        <v>53.3</v>
      </c>
      <c r="M290" s="239">
        <f>M29+L29+J29+I29</f>
        <v>52.7</v>
      </c>
      <c r="N290" s="239">
        <f>N29+M29+L29+J29</f>
        <v>53.1</v>
      </c>
      <c r="O290" s="239">
        <f>O29+N29+M29+L29</f>
        <v>53.2</v>
      </c>
      <c r="P290" s="237">
        <f>O290</f>
        <v>53.2</v>
      </c>
      <c r="Q290" s="239">
        <f>Q29+O29+N29+M29</f>
        <v>53.100000000000009</v>
      </c>
      <c r="R290" s="239">
        <f>R29+Q29+O29+N29</f>
        <v>54.7</v>
      </c>
      <c r="S290" s="239">
        <f>S29+R29+Q29+O29</f>
        <v>53.800000000000004</v>
      </c>
      <c r="T290" s="239">
        <f>T29+S29+R29+Q29</f>
        <v>52.8</v>
      </c>
      <c r="U290" s="237">
        <f t="shared" si="678"/>
        <v>52.8</v>
      </c>
      <c r="V290" s="239">
        <f>V29+T29+S29+R29</f>
        <v>52</v>
      </c>
      <c r="W290" s="239">
        <f>W29+V29+T29+S29</f>
        <v>51.099999999999994</v>
      </c>
      <c r="X290" s="239">
        <f>X29+W29+V29+T29</f>
        <v>52.7</v>
      </c>
      <c r="Y290" s="239">
        <f>Y29+X29+W29+V29</f>
        <v>53.599999999999994</v>
      </c>
      <c r="Z290" s="237">
        <f t="shared" si="679"/>
        <v>53.599999999999994</v>
      </c>
      <c r="AA290" s="239">
        <f>AA29+Y29+X29+W29</f>
        <v>54.5</v>
      </c>
      <c r="AB290" s="239">
        <f>AB29+AA29+Y29+X29</f>
        <v>55.8</v>
      </c>
      <c r="AC290" s="239">
        <f>AC29+AB29+AA29+Y29</f>
        <v>55.099999999999994</v>
      </c>
      <c r="AD290" s="239">
        <f>AD29+AC29+AB29+AA29</f>
        <v>55.100000000000009</v>
      </c>
      <c r="AE290" s="237">
        <f t="shared" si="680"/>
        <v>55.100000000000009</v>
      </c>
      <c r="AF290" s="239">
        <f>AF29+AD29+AC29+AB29</f>
        <v>55.300000000000004</v>
      </c>
      <c r="AG290" s="239">
        <f>AG29+AF29+AD29+AC29</f>
        <v>54.900000000000006</v>
      </c>
      <c r="AH290" s="239">
        <f>AH29+AG29+AF29+AD29</f>
        <v>55.9</v>
      </c>
      <c r="AI290" s="239">
        <f>AI29+AH29+AG29+AF29</f>
        <v>54.4</v>
      </c>
      <c r="AJ290" s="237">
        <f t="shared" si="681"/>
        <v>54.4</v>
      </c>
      <c r="AK290" s="239">
        <f>AK29+AI29+AH29+AG29</f>
        <v>54.899999999999991</v>
      </c>
      <c r="AL290" s="239">
        <f>AL29+AK29+AI29+AH29</f>
        <v>54.6</v>
      </c>
      <c r="AM290" s="239">
        <f>AM29+AL29+AK29+AI29</f>
        <v>54.8</v>
      </c>
      <c r="AN290" s="239">
        <f>AN29+AM29+AL29+AK29</f>
        <v>58.399999999999991</v>
      </c>
      <c r="AO290" s="237">
        <f t="shared" si="682"/>
        <v>58.399999999999991</v>
      </c>
      <c r="AP290" s="239">
        <f>AP29+AN29+AM29+AL29</f>
        <v>59.29999999999999</v>
      </c>
      <c r="AQ290" s="239">
        <f>AQ29+AP29+AN29+AM29</f>
        <v>61.599999999999994</v>
      </c>
      <c r="AR290" s="239">
        <f>AR29+AQ29+AP29+AN29</f>
        <v>65.599999999999994</v>
      </c>
      <c r="AS290" s="239">
        <f>AS29+AR29+AQ29+AP29</f>
        <v>66.599999999999994</v>
      </c>
      <c r="AT290" s="237">
        <f t="shared" si="683"/>
        <v>66.599999999999994</v>
      </c>
      <c r="AU290" s="239">
        <f>AU29+AS29+AR29+AQ29</f>
        <v>69.5</v>
      </c>
      <c r="AV290" s="239">
        <f>AV29+AU29+AS29+AR29</f>
        <v>70.2</v>
      </c>
      <c r="AW290" s="239">
        <f>AW29+AV29+AU29+AS29</f>
        <v>69.099999999999994</v>
      </c>
      <c r="AX290" s="239">
        <f>AX29+AW29+AV29+AU29</f>
        <v>66.2</v>
      </c>
      <c r="AY290" s="237">
        <f t="shared" si="684"/>
        <v>66.2</v>
      </c>
      <c r="AZ290" s="239">
        <f>AZ29+AX29+AW29+AV29</f>
        <v>66.701000000000008</v>
      </c>
      <c r="BA290" s="239">
        <f>BA29+AZ29+AX29+AW29</f>
        <v>67.163000000000011</v>
      </c>
      <c r="BB290" s="239">
        <f>BB29+BA29+AZ29+AX29</f>
        <v>67.664000000000016</v>
      </c>
      <c r="BC290" s="239">
        <f>BC29+BB29+BA29+AZ29</f>
        <v>68.186000000000007</v>
      </c>
      <c r="BD290" s="237">
        <f t="shared" si="685"/>
        <v>68.186000000000007</v>
      </c>
      <c r="BE290" s="239">
        <f>BE29+BC29+BB29+BA29</f>
        <v>68.702030000000008</v>
      </c>
      <c r="BF290" s="239">
        <f>BF29+BE29+BC29+BB29</f>
        <v>69.177890000000019</v>
      </c>
      <c r="BG290" s="239">
        <f>BG29+BF29+BE29+BC29</f>
        <v>69.693920000000006</v>
      </c>
      <c r="BH290" s="239">
        <f>BH29+BG29+BF29+BE29</f>
        <v>70.231580000000008</v>
      </c>
      <c r="BI290" s="259">
        <f t="shared" si="686"/>
        <v>70.231580000000008</v>
      </c>
      <c r="BJ290" s="239"/>
      <c r="BK290" s="239"/>
      <c r="BL290" s="239"/>
      <c r="BM290" s="239"/>
      <c r="BN290" s="237"/>
      <c r="BO290" s="239"/>
      <c r="BP290" s="239"/>
      <c r="BQ290" s="239"/>
      <c r="BR290" s="239"/>
      <c r="BS290" s="237"/>
      <c r="BT290" s="237"/>
      <c r="BU290" s="237"/>
      <c r="BV290" s="237"/>
      <c r="BW290" s="4"/>
    </row>
    <row r="291" spans="1:75" ht="15.75" customHeight="1" outlineLevel="1" x14ac:dyDescent="0.2">
      <c r="A291" s="102" t="s">
        <v>642</v>
      </c>
      <c r="B291" s="106"/>
      <c r="C291" s="264"/>
      <c r="D291" s="264"/>
      <c r="E291" s="264"/>
      <c r="F291" s="264"/>
      <c r="G291" s="265"/>
      <c r="H291" s="265"/>
      <c r="I291" s="265"/>
      <c r="J291" s="265"/>
      <c r="K291" s="264"/>
      <c r="L291" s="265"/>
      <c r="M291" s="265"/>
      <c r="N291" s="265"/>
      <c r="O291" s="265"/>
      <c r="P291" s="264"/>
      <c r="Q291" s="265"/>
      <c r="R291" s="265"/>
      <c r="S291" s="265"/>
      <c r="T291" s="265">
        <f t="shared" ref="T291:BI291" si="687">T288+T289+T290</f>
        <v>2100.6089999999999</v>
      </c>
      <c r="U291" s="264">
        <f t="shared" si="687"/>
        <v>2100.6089999999999</v>
      </c>
      <c r="V291" s="265">
        <f t="shared" si="687"/>
        <v>2136.3290000000002</v>
      </c>
      <c r="W291" s="265">
        <f t="shared" si="687"/>
        <v>2166.0839999999998</v>
      </c>
      <c r="X291" s="265">
        <f t="shared" si="687"/>
        <v>2199.4139999999993</v>
      </c>
      <c r="Y291" s="265">
        <f t="shared" si="687"/>
        <v>2275.7189999999996</v>
      </c>
      <c r="Z291" s="264">
        <f t="shared" si="687"/>
        <v>2275.7189999999996</v>
      </c>
      <c r="AA291" s="265">
        <f t="shared" si="687"/>
        <v>2285.4520000000002</v>
      </c>
      <c r="AB291" s="265">
        <f t="shared" si="687"/>
        <v>2296.4590000000003</v>
      </c>
      <c r="AC291" s="265">
        <f t="shared" si="687"/>
        <v>2291.8329999999996</v>
      </c>
      <c r="AD291" s="265">
        <f t="shared" si="687"/>
        <v>2260.5019999999995</v>
      </c>
      <c r="AE291" s="264">
        <f t="shared" si="687"/>
        <v>2260.5019999999995</v>
      </c>
      <c r="AF291" s="265">
        <f t="shared" si="687"/>
        <v>2287.7669999999998</v>
      </c>
      <c r="AG291" s="265">
        <f t="shared" si="687"/>
        <v>2311.0760000000005</v>
      </c>
      <c r="AH291" s="265">
        <f t="shared" si="687"/>
        <v>2336.5660000000003</v>
      </c>
      <c r="AI291" s="265">
        <f t="shared" si="687"/>
        <v>2332.3310000000006</v>
      </c>
      <c r="AJ291" s="264">
        <f t="shared" si="687"/>
        <v>2332.3310000000006</v>
      </c>
      <c r="AK291" s="265">
        <f t="shared" si="687"/>
        <v>2358.6959999999999</v>
      </c>
      <c r="AL291" s="265">
        <f t="shared" si="687"/>
        <v>2368.163</v>
      </c>
      <c r="AM291" s="265">
        <f t="shared" si="687"/>
        <v>2373.8170000000005</v>
      </c>
      <c r="AN291" s="265">
        <f t="shared" si="687"/>
        <v>2482.692</v>
      </c>
      <c r="AO291" s="264">
        <f t="shared" si="687"/>
        <v>2482.692</v>
      </c>
      <c r="AP291" s="265">
        <f t="shared" si="687"/>
        <v>2498.3170000000005</v>
      </c>
      <c r="AQ291" s="265">
        <f t="shared" si="687"/>
        <v>2191.5229999999997</v>
      </c>
      <c r="AR291" s="265">
        <f t="shared" si="687"/>
        <v>2122.703</v>
      </c>
      <c r="AS291" s="265">
        <f t="shared" si="687"/>
        <v>1983.2250000000004</v>
      </c>
      <c r="AT291" s="264">
        <f t="shared" si="687"/>
        <v>1983.2250000000004</v>
      </c>
      <c r="AU291" s="265">
        <f t="shared" si="687"/>
        <v>1995.5360000000003</v>
      </c>
      <c r="AV291" s="265">
        <f t="shared" si="687"/>
        <v>2468.6410000000001</v>
      </c>
      <c r="AW291" s="265">
        <f t="shared" si="687"/>
        <v>2705.3990000000003</v>
      </c>
      <c r="AX291" s="265">
        <f t="shared" si="687"/>
        <v>2927.5400000000004</v>
      </c>
      <c r="AY291" s="264">
        <f t="shared" si="687"/>
        <v>2927.5400000000004</v>
      </c>
      <c r="AZ291" s="265">
        <f t="shared" si="687"/>
        <v>3093.8329999999996</v>
      </c>
      <c r="BA291" s="265">
        <f t="shared" si="687"/>
        <v>3157.5200000000009</v>
      </c>
      <c r="BB291" s="265">
        <f t="shared" si="687"/>
        <v>3187.0470000000009</v>
      </c>
      <c r="BC291" s="265">
        <f t="shared" si="687"/>
        <v>3303.1559999999999</v>
      </c>
      <c r="BD291" s="264">
        <f t="shared" si="687"/>
        <v>3303.1559999999999</v>
      </c>
      <c r="BE291" s="265">
        <f t="shared" si="687"/>
        <v>3375.56</v>
      </c>
      <c r="BF291" s="265">
        <f t="shared" si="687"/>
        <v>3409.0870000000004</v>
      </c>
      <c r="BG291" s="265">
        <f t="shared" si="687"/>
        <v>3455.2960000000007</v>
      </c>
      <c r="BH291" s="265">
        <f t="shared" si="687"/>
        <v>3439.5029999999992</v>
      </c>
      <c r="BI291" s="266">
        <f t="shared" si="687"/>
        <v>3439.5029999999992</v>
      </c>
      <c r="BJ291" s="265"/>
      <c r="BK291" s="265"/>
      <c r="BL291" s="265"/>
      <c r="BM291" s="265"/>
      <c r="BN291" s="264"/>
      <c r="BO291" s="265"/>
      <c r="BP291" s="265"/>
      <c r="BQ291" s="265"/>
      <c r="BR291" s="265"/>
      <c r="BS291" s="264"/>
      <c r="BT291" s="264"/>
      <c r="BU291" s="264"/>
      <c r="BV291" s="264"/>
      <c r="BW291" s="83"/>
    </row>
    <row r="292" spans="1:75" ht="15.75" customHeight="1" outlineLevel="1" x14ac:dyDescent="0.2">
      <c r="A292" s="85"/>
      <c r="B292" s="242"/>
      <c r="C292" s="243"/>
      <c r="D292" s="243"/>
      <c r="E292" s="243"/>
      <c r="F292" s="243"/>
      <c r="G292" s="245"/>
      <c r="H292" s="245"/>
      <c r="I292" s="245"/>
      <c r="J292" s="245"/>
      <c r="K292" s="243"/>
      <c r="L292" s="245"/>
      <c r="M292" s="245"/>
      <c r="N292" s="245"/>
      <c r="O292" s="245"/>
      <c r="P292" s="243"/>
      <c r="Q292" s="245"/>
      <c r="R292" s="245"/>
      <c r="S292" s="245"/>
      <c r="T292" s="245"/>
      <c r="U292" s="243"/>
      <c r="V292" s="245"/>
      <c r="W292" s="245"/>
      <c r="X292" s="245"/>
      <c r="Y292" s="245"/>
      <c r="Z292" s="243"/>
      <c r="AA292" s="245"/>
      <c r="AB292" s="245"/>
      <c r="AC292" s="245"/>
      <c r="AD292" s="245"/>
      <c r="AE292" s="243"/>
      <c r="AF292" s="245"/>
      <c r="AG292" s="245"/>
      <c r="AH292" s="245"/>
      <c r="AI292" s="245"/>
      <c r="AJ292" s="243"/>
      <c r="AK292" s="245"/>
      <c r="AL292" s="245"/>
      <c r="AM292" s="245"/>
      <c r="AN292" s="245"/>
      <c r="AO292" s="243"/>
      <c r="AP292" s="245"/>
      <c r="AQ292" s="245"/>
      <c r="AR292" s="245"/>
      <c r="AS292" s="245"/>
      <c r="AT292" s="243"/>
      <c r="AU292" s="245"/>
      <c r="AV292" s="245"/>
      <c r="AW292" s="245"/>
      <c r="AX292" s="245"/>
      <c r="AY292" s="243"/>
      <c r="AZ292" s="245"/>
      <c r="BA292" s="245"/>
      <c r="BB292" s="245"/>
      <c r="BC292" s="245"/>
      <c r="BD292" s="243"/>
      <c r="BE292" s="245"/>
      <c r="BF292" s="245"/>
      <c r="BG292" s="245"/>
      <c r="BH292" s="245"/>
      <c r="BI292" s="255"/>
      <c r="BJ292" s="245"/>
      <c r="BK292" s="245"/>
      <c r="BL292" s="245"/>
      <c r="BM292" s="245"/>
      <c r="BN292" s="243"/>
      <c r="BO292" s="245"/>
      <c r="BP292" s="245"/>
      <c r="BQ292" s="245"/>
      <c r="BR292" s="245"/>
      <c r="BS292" s="243"/>
      <c r="BT292" s="243"/>
      <c r="BU292" s="243"/>
      <c r="BV292" s="243"/>
      <c r="BW292" s="247"/>
    </row>
    <row r="293" spans="1:75" ht="15.75" customHeight="1" outlineLevel="1" x14ac:dyDescent="0.2">
      <c r="A293" s="268" t="s">
        <v>643</v>
      </c>
      <c r="B293" s="158"/>
      <c r="C293" s="269"/>
      <c r="D293" s="269"/>
      <c r="E293" s="269"/>
      <c r="F293" s="269">
        <f>F284/F240*1000</f>
        <v>9249.711815561961</v>
      </c>
      <c r="G293" s="270"/>
      <c r="H293" s="270"/>
      <c r="I293" s="270"/>
      <c r="J293" s="270">
        <f>J284/AVERAGE(J240,I240,H240,G240)*1000</f>
        <v>9584.3066004258344</v>
      </c>
      <c r="K293" s="269">
        <f>J293</f>
        <v>9584.3066004258344</v>
      </c>
      <c r="L293" s="270">
        <f>L284/AVERAGE(L240,J240,I240,H240)*1000</f>
        <v>9652.3805496828754</v>
      </c>
      <c r="M293" s="270">
        <f>M284/AVERAGE(M240,L240,J240,I240)*1000</f>
        <v>9706.6294487090017</v>
      </c>
      <c r="N293" s="270">
        <f>N284/AVERAGE(N240,M240,L240,J240)*1000</f>
        <v>9774.08154803041</v>
      </c>
      <c r="O293" s="270">
        <f>O284/AVERAGE(O240,N240,M240,L240)*1000</f>
        <v>9803.3957621326044</v>
      </c>
      <c r="P293" s="269">
        <f>O293</f>
        <v>9803.3957621326044</v>
      </c>
      <c r="Q293" s="270">
        <f>Q284/AVERAGE(Q240,O240,N240,M240)*1000</f>
        <v>10054.809062757671</v>
      </c>
      <c r="R293" s="270">
        <f>R284/AVERAGE(R240,Q240,O240,N240)*1000</f>
        <v>10270.410845905921</v>
      </c>
      <c r="S293" s="270">
        <f>S284/AVERAGE(S240,R240,Q240,O240)*1000</f>
        <v>10444.921379998881</v>
      </c>
      <c r="T293" s="270">
        <f>T284/AVERAGE(T240,S240,R240,Q240)*1000</f>
        <v>10602.845693962787</v>
      </c>
      <c r="U293" s="269">
        <f t="shared" ref="U293:U295" si="688">T293</f>
        <v>10602.845693962787</v>
      </c>
      <c r="V293" s="270">
        <f>V284/AVERAGE(V240,T240,S240,R240)*1000</f>
        <v>10631.436572399467</v>
      </c>
      <c r="W293" s="270">
        <f>W284/AVERAGE(W240,V240,T240,S240)*1000</f>
        <v>10635.310396141746</v>
      </c>
      <c r="X293" s="270">
        <f>X284/AVERAGE(X240,W240,V240,T240)*1000</f>
        <v>10669.820139195937</v>
      </c>
      <c r="Y293" s="270">
        <f>Y284/AVERAGE(Y240,X240,W240,V240)*1000</f>
        <v>10931.483874825901</v>
      </c>
      <c r="Z293" s="269">
        <f t="shared" ref="Z293:Z295" si="689">Y293</f>
        <v>10931.483874825901</v>
      </c>
      <c r="AA293" s="270">
        <f>AA284/AVERAGE(AA240,Y240,X240,W240)*1000</f>
        <v>10869.339398048298</v>
      </c>
      <c r="AB293" s="270">
        <f>AB284/AVERAGE(AB240,AA240,Y240,X240)*1000</f>
        <v>10833.222769616226</v>
      </c>
      <c r="AC293" s="270">
        <f>AC284/AVERAGE(AC240,AB240,AA240,Y240)*1000</f>
        <v>10737.62781297833</v>
      </c>
      <c r="AD293" s="270">
        <f>AD284/AVERAGE(AD240,AC240,AB240,AA240)*1000</f>
        <v>10506.395695900037</v>
      </c>
      <c r="AE293" s="269">
        <f t="shared" ref="AE293:AE295" si="690">AD293</f>
        <v>10506.395695900037</v>
      </c>
      <c r="AF293" s="270">
        <f>AF284/AVERAGE(AF240,AD240,AC240,AB240)*1000</f>
        <v>10554.679356466753</v>
      </c>
      <c r="AG293" s="270">
        <f>AG284/AVERAGE(AG240,AF240,AD240,AC240)*1000</f>
        <v>10586.503610550824</v>
      </c>
      <c r="AH293" s="270">
        <f>AH284/AVERAGE(AH240,AG240,AF240,AD240)*1000</f>
        <v>10617.39014028467</v>
      </c>
      <c r="AI293" s="270">
        <f>AI284/AVERAGE(AI240,AH240,AG240,AF240)*1000</f>
        <v>10535.313733578567</v>
      </c>
      <c r="AJ293" s="269">
        <f t="shared" ref="AJ293:AJ295" si="691">AI293</f>
        <v>10535.313733578567</v>
      </c>
      <c r="AK293" s="270">
        <f>AK284/AVERAGE(AK240,AI240,AH240,AG240)*1000</f>
        <v>10607.368388820883</v>
      </c>
      <c r="AL293" s="270">
        <f>AL284/AVERAGE(AL240,AK240,AI240,AH240)*1000</f>
        <v>10591.233692651111</v>
      </c>
      <c r="AM293" s="270">
        <f>AM284/AVERAGE(AM240,AL240,AK240,AI240)*1000</f>
        <v>10276.773254299136</v>
      </c>
      <c r="AN293" s="270">
        <f>AN284/AVERAGE(AN240,AM240,AL240,AK240)*1000</f>
        <v>9927.3808054858837</v>
      </c>
      <c r="AO293" s="269">
        <f t="shared" ref="AO293:AO295" si="692">AN293</f>
        <v>9927.3808054858837</v>
      </c>
      <c r="AP293" s="270">
        <f>AP284/AVERAGE(AP240,AN240,AM240,AL240)*1000</f>
        <v>9268.4318609518214</v>
      </c>
      <c r="AQ293" s="270">
        <f>AQ284/AVERAGE(AQ240,AP240,AN240,AM240)*1000</f>
        <v>7546.54035472955</v>
      </c>
      <c r="AR293" s="270">
        <f>AR284/AVERAGE(AR240,AQ240,AP240,AN240)*1000</f>
        <v>6968.1022426830741</v>
      </c>
      <c r="AS293" s="270">
        <f>AS284/AVERAGE(AS240,AR240,AQ240,AP240)*1000</f>
        <v>6466.5668574339134</v>
      </c>
      <c r="AT293" s="269">
        <f t="shared" ref="AT293:AT295" si="693">AS293</f>
        <v>6466.5668574339134</v>
      </c>
      <c r="AU293" s="270">
        <f>AU284/AVERAGE(AU240,AS240,AR240,AQ240)*1000</f>
        <v>6481.0404265251</v>
      </c>
      <c r="AV293" s="270">
        <f>AV284/AVERAGE(AV240,AU240,AS240,AR240)*1000</f>
        <v>8039.8495274552406</v>
      </c>
      <c r="AW293" s="270">
        <f>AW284/AVERAGE(AW240,AV240,AU240,AS240)*1000</f>
        <v>8776.601149265387</v>
      </c>
      <c r="AX293" s="270">
        <f>AX284/AVERAGE(AX240,AW240,AV240,AU240)*1000</f>
        <v>9434.5134414159274</v>
      </c>
      <c r="AY293" s="269">
        <f t="shared" ref="AY293:AY295" si="694">AX293</f>
        <v>9434.5134414159274</v>
      </c>
      <c r="AZ293" s="270">
        <f>AZ284/AVERAGE(AZ240,AX240,AW240,AV240)*1000</f>
        <v>9890.3242565279561</v>
      </c>
      <c r="BA293" s="270">
        <f>BA284/AVERAGE(BA240,AZ240,AX240,AW240)*1000</f>
        <v>10026.576917947794</v>
      </c>
      <c r="BB293" s="270">
        <f>BB284/AVERAGE(BB240,BA240,AZ240,AX240)*1000</f>
        <v>10059.598841675746</v>
      </c>
      <c r="BC293" s="270">
        <f>BC284/AVERAGE(BC240,BB240,BA240,AZ240)*1000</f>
        <v>10360.540121053349</v>
      </c>
      <c r="BD293" s="269">
        <f t="shared" ref="BD293:BD295" si="695">BC293</f>
        <v>10360.540121053349</v>
      </c>
      <c r="BE293" s="270">
        <f>BE284/AVERAGE(BE240,BC240,BB240,BA240)*1000</f>
        <v>10497.61773646859</v>
      </c>
      <c r="BF293" s="270">
        <f>BF284/AVERAGE(BF240,BE240,BC240,BB240)*1000</f>
        <v>10497.193720492409</v>
      </c>
      <c r="BG293" s="270">
        <f>BG284/AVERAGE(BG240,BF240,BE240,BC240)*1000</f>
        <v>10536.441478396082</v>
      </c>
      <c r="BH293" s="270">
        <f>BH284/AVERAGE(BH240,BG240,BF240,BE240)*1000</f>
        <v>10382.783903453448</v>
      </c>
      <c r="BI293" s="271">
        <f t="shared" ref="BI293:BI295" si="696">BH293</f>
        <v>10382.783903453448</v>
      </c>
      <c r="BJ293" s="270"/>
      <c r="BK293" s="270"/>
      <c r="BL293" s="270"/>
      <c r="BM293" s="270"/>
      <c r="BN293" s="269"/>
      <c r="BO293" s="270"/>
      <c r="BP293" s="270"/>
      <c r="BQ293" s="270"/>
      <c r="BR293" s="270"/>
      <c r="BS293" s="269"/>
      <c r="BT293" s="269"/>
      <c r="BU293" s="269"/>
      <c r="BV293" s="269"/>
      <c r="BW293" s="159"/>
    </row>
    <row r="294" spans="1:75" ht="15.75" customHeight="1" outlineLevel="1" x14ac:dyDescent="0.2">
      <c r="A294" s="268" t="s">
        <v>644</v>
      </c>
      <c r="B294" s="158"/>
      <c r="C294" s="269"/>
      <c r="D294" s="269"/>
      <c r="E294" s="269"/>
      <c r="F294" s="269"/>
      <c r="G294" s="270"/>
      <c r="H294" s="270"/>
      <c r="I294" s="270"/>
      <c r="J294" s="270"/>
      <c r="K294" s="269"/>
      <c r="L294" s="270"/>
      <c r="M294" s="270"/>
      <c r="N294" s="270"/>
      <c r="O294" s="270"/>
      <c r="P294" s="269"/>
      <c r="Q294" s="270"/>
      <c r="R294" s="270"/>
      <c r="S294" s="270"/>
      <c r="T294" s="270">
        <f>T285/AVERAGE(T211,S211,R211,Q211)*1000</f>
        <v>8861.9831494891569</v>
      </c>
      <c r="U294" s="269">
        <f t="shared" si="688"/>
        <v>8861.9831494891569</v>
      </c>
      <c r="V294" s="270">
        <f>V285/AVERAGE(V211,T211,S211,R211)*1000</f>
        <v>8760.0094759020067</v>
      </c>
      <c r="W294" s="270">
        <f>W285/AVERAGE(W211,V211,T211,S211)*1000</f>
        <v>8860.2810254789656</v>
      </c>
      <c r="X294" s="270">
        <f>X285/AVERAGE(X211,W211,V211,T211)*1000</f>
        <v>8962.237445345012</v>
      </c>
      <c r="Y294" s="270">
        <f>Y285/AVERAGE(Y211,X211,W211,V211)*1000</f>
        <v>9164.3969930296971</v>
      </c>
      <c r="Z294" s="269">
        <f t="shared" si="689"/>
        <v>9164.3969930296971</v>
      </c>
      <c r="AA294" s="270">
        <f>AA285/AVERAGE(AA211,Y211,X211,W211)*1000</f>
        <v>9157.4544847782745</v>
      </c>
      <c r="AB294" s="270">
        <f>AB285/AVERAGE(AB211,AA211,Y211,X211)*1000</f>
        <v>9019.012412181748</v>
      </c>
      <c r="AC294" s="270">
        <f>AC285/AVERAGE(AC211,AB211,AA211,Y211)*1000</f>
        <v>8988.1873366306227</v>
      </c>
      <c r="AD294" s="270">
        <f>AD285/AVERAGE(AD211,AC211,AB211,AA211)*1000</f>
        <v>8781.3317954618888</v>
      </c>
      <c r="AE294" s="269">
        <f t="shared" si="690"/>
        <v>8781.3317954618888</v>
      </c>
      <c r="AF294" s="270">
        <f>AF285/AVERAGE(AF211,AD211,AC211,AB211)*1000</f>
        <v>8818.9435266103392</v>
      </c>
      <c r="AG294" s="270">
        <f>AG285/AVERAGE(AG211,AF211,AD211,AC211)*1000</f>
        <v>8841.5413514842348</v>
      </c>
      <c r="AH294" s="270">
        <f>AH285/AVERAGE(AH211,AG211,AF211,AD211)*1000</f>
        <v>8753.2399272784642</v>
      </c>
      <c r="AI294" s="270">
        <f>AI285/AVERAGE(AI211,AH211,AG211,AF211)*1000</f>
        <v>8673.6307292922975</v>
      </c>
      <c r="AJ294" s="269">
        <f t="shared" si="691"/>
        <v>8673.6307292922975</v>
      </c>
      <c r="AK294" s="270">
        <f>AK285/AVERAGE(AK211,AI211,AH211,AG211)*1000</f>
        <v>8578.7363875924348</v>
      </c>
      <c r="AL294" s="270">
        <f>AL285/AVERAGE(AL211,AK211,AI211,AH211)*1000</f>
        <v>8632.8178881310614</v>
      </c>
      <c r="AM294" s="270">
        <f>AM285/AVERAGE(AM211,AL211,AK211,AI211)*1000</f>
        <v>8716.3750922765576</v>
      </c>
      <c r="AN294" s="270">
        <f>AN285/AVERAGE(AN211,AM211,AL211,AK211)*1000</f>
        <v>8861.2570839061664</v>
      </c>
      <c r="AO294" s="269">
        <f t="shared" si="692"/>
        <v>8861.2570839061664</v>
      </c>
      <c r="AP294" s="270">
        <f>AP285/AVERAGE(AP211,AN211,AM211,AL211)*1000</f>
        <v>8583.3480823977843</v>
      </c>
      <c r="AQ294" s="270">
        <f>AQ285/AVERAGE(AQ211,AP211,AN211,AM211)*1000</f>
        <v>7242.6469929206451</v>
      </c>
      <c r="AR294" s="270">
        <f>AR285/AVERAGE(AR211,AQ211,AP211,AN211)*1000</f>
        <v>6708.709640792159</v>
      </c>
      <c r="AS294" s="270">
        <f>AS285/AVERAGE(AS211,AR211,AQ211,AP211)*1000</f>
        <v>6224.9434532475325</v>
      </c>
      <c r="AT294" s="269">
        <f t="shared" si="693"/>
        <v>6224.9434532475325</v>
      </c>
      <c r="AU294" s="270">
        <f>AU285/AVERAGE(AU211,AS211,AR211,AQ211)*1000</f>
        <v>6278.4698900636004</v>
      </c>
      <c r="AV294" s="270">
        <f>AV285/AVERAGE(AV211,AU211,AS211,AR211)*1000</f>
        <v>7721.6830860235568</v>
      </c>
      <c r="AW294" s="270">
        <f>AW285/AVERAGE(AW211,AV211,AU211,AS211)*1000</f>
        <v>8425.938924650718</v>
      </c>
      <c r="AX294" s="270">
        <f>AX285/AVERAGE(AX211,AW211,AV211,AU211)*1000</f>
        <v>8960.4988122633058</v>
      </c>
      <c r="AY294" s="269">
        <f t="shared" si="694"/>
        <v>8960.4988122633058</v>
      </c>
      <c r="AZ294" s="270">
        <f>AZ285/AVERAGE(AZ211,AX211,AW211,AV211)*1000</f>
        <v>9352.5890090634766</v>
      </c>
      <c r="BA294" s="270">
        <f>BA285/AVERAGE(BA211,AZ211,AX211,AW211)*1000</f>
        <v>9432.987555653488</v>
      </c>
      <c r="BB294" s="270">
        <f>BB285/AVERAGE(BB211,BA211,AZ211,AX211)*1000</f>
        <v>9418.5538068681508</v>
      </c>
      <c r="BC294" s="270">
        <f>BC285/AVERAGE(BC211,BB211,BA211,AZ211)*1000</f>
        <v>9745.1785524423794</v>
      </c>
      <c r="BD294" s="269">
        <f t="shared" si="695"/>
        <v>9745.1785524423794</v>
      </c>
      <c r="BE294" s="270">
        <f>BE285/AVERAGE(BE211,BC211,BB211,BA211)*1000</f>
        <v>9864.4533745304579</v>
      </c>
      <c r="BF294" s="270">
        <f>BF285/AVERAGE(BF211,BE211,BC211,BB211)*1000</f>
        <v>9909.4144809139689</v>
      </c>
      <c r="BG294" s="270">
        <f>BG285/AVERAGE(BG211,BF211,BE211,BC211)*1000</f>
        <v>9956.6423868948696</v>
      </c>
      <c r="BH294" s="270">
        <f>BH285/AVERAGE(BH211,BG211,BF211,BE211)*1000</f>
        <v>9887.1229923253159</v>
      </c>
      <c r="BI294" s="271">
        <f t="shared" si="696"/>
        <v>9887.1229923253159</v>
      </c>
      <c r="BJ294" s="270"/>
      <c r="BK294" s="270"/>
      <c r="BL294" s="270"/>
      <c r="BM294" s="270"/>
      <c r="BN294" s="269"/>
      <c r="BO294" s="270"/>
      <c r="BP294" s="270"/>
      <c r="BQ294" s="270"/>
      <c r="BR294" s="270"/>
      <c r="BS294" s="269"/>
      <c r="BT294" s="269"/>
      <c r="BU294" s="269"/>
      <c r="BV294" s="269"/>
      <c r="BW294" s="159"/>
    </row>
    <row r="295" spans="1:75" ht="15.75" customHeight="1" outlineLevel="1" x14ac:dyDescent="0.2">
      <c r="A295" s="268" t="s">
        <v>645</v>
      </c>
      <c r="B295" s="158"/>
      <c r="C295" s="269"/>
      <c r="D295" s="269"/>
      <c r="E295" s="269"/>
      <c r="F295" s="269"/>
      <c r="G295" s="270"/>
      <c r="H295" s="270"/>
      <c r="I295" s="270"/>
      <c r="J295" s="270"/>
      <c r="K295" s="269"/>
      <c r="L295" s="270"/>
      <c r="M295" s="270"/>
      <c r="N295" s="270"/>
      <c r="O295" s="270"/>
      <c r="P295" s="269"/>
      <c r="Q295" s="270"/>
      <c r="R295" s="270"/>
      <c r="S295" s="270"/>
      <c r="T295" s="270">
        <f>T286/AVERAGE(T245,S245,R245,Q245)*1000</f>
        <v>10576.498935736556</v>
      </c>
      <c r="U295" s="269">
        <f t="shared" si="688"/>
        <v>10576.498935736556</v>
      </c>
      <c r="V295" s="270">
        <f>V286/AVERAGE(V245,T245,S245,R245)*1000</f>
        <v>10542.429673907514</v>
      </c>
      <c r="W295" s="270">
        <f>W286/AVERAGE(W245,V245,T245,S245)*1000</f>
        <v>10546.93160924012</v>
      </c>
      <c r="X295" s="270">
        <f>X286/AVERAGE(X245,W245,V245,T245)*1000</f>
        <v>10578.991272501738</v>
      </c>
      <c r="Y295" s="270">
        <f>Y286/AVERAGE(Y245,X245,W245,V245)*1000</f>
        <v>10830.566325632411</v>
      </c>
      <c r="Z295" s="269">
        <f t="shared" si="689"/>
        <v>10830.566325632411</v>
      </c>
      <c r="AA295" s="270">
        <f>AA286/AVERAGE(AA245,Y245,X245,W245)*1000</f>
        <v>10764.068314301234</v>
      </c>
      <c r="AB295" s="270">
        <f>AB286/AVERAGE(AB245,AA245,Y245,X245)*1000</f>
        <v>10713.717714839167</v>
      </c>
      <c r="AC295" s="270">
        <f>AC286/AVERAGE(AC245,AB245,AA245,Y245)*1000</f>
        <v>10614.842827271726</v>
      </c>
      <c r="AD295" s="270">
        <f>AD286/AVERAGE(AD245,AC245,AB245,AA245)*1000</f>
        <v>10377.231177564403</v>
      </c>
      <c r="AE295" s="269">
        <f t="shared" si="690"/>
        <v>10377.231177564403</v>
      </c>
      <c r="AF295" s="270">
        <f>AF286/AVERAGE(AF245,AD245,AC245,AB245)*1000</f>
        <v>10416.771578204189</v>
      </c>
      <c r="AG295" s="270">
        <f>AG286/AVERAGE(AG245,AF245,AD245,AC245)*1000</f>
        <v>10440.066604511127</v>
      </c>
      <c r="AH295" s="270">
        <f>AH286/AVERAGE(AH245,AG245,AF245,AD245)*1000</f>
        <v>10454.726069235414</v>
      </c>
      <c r="AI295" s="270">
        <f>AI286/AVERAGE(AI245,AH245,AG245,AF245)*1000</f>
        <v>10370.204300909525</v>
      </c>
      <c r="AJ295" s="269">
        <f t="shared" si="691"/>
        <v>10370.204300909525</v>
      </c>
      <c r="AK295" s="270">
        <f>AK286/AVERAGE(AK245,AI245,AH245,AG245)*1000</f>
        <v>10428.213685380828</v>
      </c>
      <c r="AL295" s="270">
        <f>AL286/AVERAGE(AL245,AK245,AI245,AH245)*1000</f>
        <v>10420.129996045674</v>
      </c>
      <c r="AM295" s="270">
        <f>AM286/AVERAGE(AM245,AL245,AK245,AI245)*1000</f>
        <v>10142.956566591229</v>
      </c>
      <c r="AN295" s="270">
        <f>AN286/AVERAGE(AN245,AM245,AL245,AK245)*1000</f>
        <v>9839.0837627615801</v>
      </c>
      <c r="AO295" s="269">
        <f t="shared" si="692"/>
        <v>9839.0837627615801</v>
      </c>
      <c r="AP295" s="270">
        <f>AP286/AVERAGE(AP245,AN245,AM245,AL245)*1000</f>
        <v>9212.3959846057132</v>
      </c>
      <c r="AQ295" s="270">
        <f>AQ286/AVERAGE(AQ245,AP245,AN245,AM245)*1000</f>
        <v>7521.9644137294054</v>
      </c>
      <c r="AR295" s="270">
        <f>AR286/AVERAGE(AR245,AQ245,AP245,AN245)*1000</f>
        <v>6947.2245499513747</v>
      </c>
      <c r="AS295" s="270">
        <f>AS286/AVERAGE(AS245,AR245,AQ245,AP245)*1000</f>
        <v>6446.8405717015094</v>
      </c>
      <c r="AT295" s="269">
        <f t="shared" si="693"/>
        <v>6446.8405717015094</v>
      </c>
      <c r="AU295" s="270">
        <f>AU286/AVERAGE(AU245,AS245,AR245,AQ245)*1000</f>
        <v>6464.3961963096108</v>
      </c>
      <c r="AV295" s="270">
        <f>AV286/AVERAGE(AV245,AU245,AS245,AR245)*1000</f>
        <v>8013.4589776620705</v>
      </c>
      <c r="AW295" s="270">
        <f>AW286/AVERAGE(AW245,AV245,AU245,AS245)*1000</f>
        <v>8747.0759561894101</v>
      </c>
      <c r="AX295" s="270">
        <f>AX286/AVERAGE(AX245,AW245,AV245,AU245)*1000</f>
        <v>9394.1257362313754</v>
      </c>
      <c r="AY295" s="269">
        <f t="shared" si="694"/>
        <v>9394.1257362313754</v>
      </c>
      <c r="AZ295" s="270">
        <f>AZ286/AVERAGE(AZ245,AX245,AW245,AV245)*1000</f>
        <v>9844.145862395415</v>
      </c>
      <c r="BA295" s="270">
        <f>BA286/AVERAGE(BA245,AZ245,AX245,AW245)*1000</f>
        <v>9975.3174253534089</v>
      </c>
      <c r="BB295" s="270">
        <f>BB286/AVERAGE(BB245,BA245,AZ245,AX245)*1000</f>
        <v>10004.332231465654</v>
      </c>
      <c r="BC295" s="270">
        <f>BC286/AVERAGE(BC245,BB245,BA245,AZ245)*1000</f>
        <v>10307.613120135537</v>
      </c>
      <c r="BD295" s="269">
        <f t="shared" si="695"/>
        <v>10307.613120135537</v>
      </c>
      <c r="BE295" s="270">
        <f>BE286/AVERAGE(BE245,BC245,BB245,BA245)*1000</f>
        <v>10443.174404944453</v>
      </c>
      <c r="BF295" s="270">
        <f>BF286/AVERAGE(BF245,BE245,BC245,BB245)*1000</f>
        <v>10446.721372745998</v>
      </c>
      <c r="BG295" s="270">
        <f>BG286/AVERAGE(BG245,BF245,BE245,BC245)*1000</f>
        <v>10486.720637754248</v>
      </c>
      <c r="BH295" s="270">
        <f>BH286/AVERAGE(BH245,BG245,BF245,BE245)*1000</f>
        <v>10340.172912159307</v>
      </c>
      <c r="BI295" s="271">
        <f t="shared" si="696"/>
        <v>10340.172912159307</v>
      </c>
      <c r="BJ295" s="270"/>
      <c r="BK295" s="270"/>
      <c r="BL295" s="270"/>
      <c r="BM295" s="270"/>
      <c r="BN295" s="269"/>
      <c r="BO295" s="270"/>
      <c r="BP295" s="270"/>
      <c r="BQ295" s="270"/>
      <c r="BR295" s="270"/>
      <c r="BS295" s="269"/>
      <c r="BT295" s="269"/>
      <c r="BU295" s="269"/>
      <c r="BV295" s="269"/>
      <c r="BW295" s="159"/>
    </row>
    <row r="296" spans="1:75" ht="15.75" customHeight="1" outlineLevel="1" x14ac:dyDescent="0.2">
      <c r="A296" s="85"/>
      <c r="B296" s="242"/>
      <c r="C296" s="243"/>
      <c r="D296" s="243"/>
      <c r="E296" s="243"/>
      <c r="F296" s="243"/>
      <c r="G296" s="245"/>
      <c r="H296" s="245"/>
      <c r="I296" s="245"/>
      <c r="J296" s="245"/>
      <c r="K296" s="243"/>
      <c r="L296" s="245"/>
      <c r="M296" s="245"/>
      <c r="N296" s="245"/>
      <c r="O296" s="245"/>
      <c r="P296" s="243"/>
      <c r="Q296" s="245"/>
      <c r="R296" s="245"/>
      <c r="S296" s="245"/>
      <c r="T296" s="245"/>
      <c r="U296" s="243"/>
      <c r="V296" s="245"/>
      <c r="W296" s="245"/>
      <c r="X296" s="245"/>
      <c r="Y296" s="245"/>
      <c r="Z296" s="243"/>
      <c r="AA296" s="245"/>
      <c r="AB296" s="245"/>
      <c r="AC296" s="245"/>
      <c r="AD296" s="245"/>
      <c r="AE296" s="243"/>
      <c r="AF296" s="245"/>
      <c r="AG296" s="245"/>
      <c r="AH296" s="245"/>
      <c r="AI296" s="245"/>
      <c r="AJ296" s="243"/>
      <c r="AK296" s="245"/>
      <c r="AL296" s="245"/>
      <c r="AM296" s="245"/>
      <c r="AN296" s="245"/>
      <c r="AO296" s="243"/>
      <c r="AP296" s="245"/>
      <c r="AQ296" s="245"/>
      <c r="AR296" s="245"/>
      <c r="AS296" s="245"/>
      <c r="AT296" s="243"/>
      <c r="AU296" s="245"/>
      <c r="AV296" s="245"/>
      <c r="AW296" s="245"/>
      <c r="AX296" s="245"/>
      <c r="AY296" s="243"/>
      <c r="AZ296" s="245"/>
      <c r="BA296" s="245"/>
      <c r="BB296" s="245"/>
      <c r="BC296" s="245"/>
      <c r="BD296" s="243"/>
      <c r="BE296" s="245"/>
      <c r="BF296" s="245"/>
      <c r="BG296" s="245"/>
      <c r="BH296" s="245"/>
      <c r="BI296" s="255"/>
      <c r="BJ296" s="245"/>
      <c r="BK296" s="245"/>
      <c r="BL296" s="245"/>
      <c r="BM296" s="245"/>
      <c r="BN296" s="243"/>
      <c r="BO296" s="245"/>
      <c r="BP296" s="245"/>
      <c r="BQ296" s="245"/>
      <c r="BR296" s="245"/>
      <c r="BS296" s="243"/>
      <c r="BT296" s="243"/>
      <c r="BU296" s="243"/>
      <c r="BV296" s="243"/>
      <c r="BW296" s="247"/>
    </row>
    <row r="297" spans="1:75" ht="15.75" customHeight="1" outlineLevel="1" x14ac:dyDescent="0.2">
      <c r="A297" s="66" t="s">
        <v>646</v>
      </c>
      <c r="B297" s="67"/>
      <c r="C297" s="68"/>
      <c r="D297" s="68"/>
      <c r="E297" s="68"/>
      <c r="F297" s="68"/>
      <c r="G297" s="69"/>
      <c r="H297" s="69"/>
      <c r="I297" s="69"/>
      <c r="J297" s="69"/>
      <c r="K297" s="68"/>
      <c r="L297" s="69"/>
      <c r="M297" s="69"/>
      <c r="N297" s="69"/>
      <c r="O297" s="69"/>
      <c r="P297" s="68"/>
      <c r="Q297" s="69"/>
      <c r="R297" s="69"/>
      <c r="S297" s="69"/>
      <c r="T297" s="69">
        <f t="shared" ref="T297:BI297" si="697">T289/T285</f>
        <v>0.1</v>
      </c>
      <c r="U297" s="68">
        <f t="shared" si="697"/>
        <v>0.1</v>
      </c>
      <c r="V297" s="69">
        <f t="shared" si="697"/>
        <v>0.1</v>
      </c>
      <c r="W297" s="69">
        <f t="shared" si="697"/>
        <v>0.1</v>
      </c>
      <c r="X297" s="69">
        <f t="shared" si="697"/>
        <v>0.1</v>
      </c>
      <c r="Y297" s="69">
        <f t="shared" si="697"/>
        <v>0.1</v>
      </c>
      <c r="Z297" s="68">
        <f t="shared" si="697"/>
        <v>0.1</v>
      </c>
      <c r="AA297" s="69">
        <f t="shared" si="697"/>
        <v>0.1</v>
      </c>
      <c r="AB297" s="69">
        <f t="shared" si="697"/>
        <v>0.1</v>
      </c>
      <c r="AC297" s="69">
        <f t="shared" si="697"/>
        <v>0.1</v>
      </c>
      <c r="AD297" s="69">
        <f t="shared" si="697"/>
        <v>0.1</v>
      </c>
      <c r="AE297" s="68">
        <f t="shared" si="697"/>
        <v>0.1</v>
      </c>
      <c r="AF297" s="69">
        <f t="shared" si="697"/>
        <v>0.10000000000000002</v>
      </c>
      <c r="AG297" s="69">
        <f t="shared" si="697"/>
        <v>0.1</v>
      </c>
      <c r="AH297" s="69">
        <f t="shared" si="697"/>
        <v>0.10000000000000002</v>
      </c>
      <c r="AI297" s="69">
        <f t="shared" si="697"/>
        <v>9.9999999999999992E-2</v>
      </c>
      <c r="AJ297" s="68">
        <f t="shared" si="697"/>
        <v>9.9999999999999992E-2</v>
      </c>
      <c r="AK297" s="69">
        <f t="shared" si="697"/>
        <v>0.10000000000000003</v>
      </c>
      <c r="AL297" s="69">
        <f t="shared" si="697"/>
        <v>0.1</v>
      </c>
      <c r="AM297" s="69">
        <f t="shared" si="697"/>
        <v>0.1</v>
      </c>
      <c r="AN297" s="69">
        <f t="shared" si="697"/>
        <v>0.10000000000000002</v>
      </c>
      <c r="AO297" s="68">
        <f t="shared" si="697"/>
        <v>0.10000000000000002</v>
      </c>
      <c r="AP297" s="69">
        <f t="shared" si="697"/>
        <v>0.10000000000000002</v>
      </c>
      <c r="AQ297" s="69">
        <f t="shared" si="697"/>
        <v>0.1</v>
      </c>
      <c r="AR297" s="69">
        <f t="shared" si="697"/>
        <v>0.1</v>
      </c>
      <c r="AS297" s="69">
        <f t="shared" si="697"/>
        <v>0.10000000000000002</v>
      </c>
      <c r="AT297" s="68">
        <f t="shared" si="697"/>
        <v>0.10000000000000002</v>
      </c>
      <c r="AU297" s="69">
        <f t="shared" si="697"/>
        <v>9.9999999999999992E-2</v>
      </c>
      <c r="AV297" s="69">
        <f t="shared" si="697"/>
        <v>9.9999999999999992E-2</v>
      </c>
      <c r="AW297" s="69">
        <f t="shared" si="697"/>
        <v>0.1</v>
      </c>
      <c r="AX297" s="69">
        <f t="shared" si="697"/>
        <v>0.10000000000000002</v>
      </c>
      <c r="AY297" s="68">
        <f t="shared" si="697"/>
        <v>0.10000000000000002</v>
      </c>
      <c r="AZ297" s="69">
        <f t="shared" si="697"/>
        <v>9.9999999999999992E-2</v>
      </c>
      <c r="BA297" s="69">
        <f t="shared" si="697"/>
        <v>0.10000000000000002</v>
      </c>
      <c r="BB297" s="69">
        <f t="shared" si="697"/>
        <v>0.1</v>
      </c>
      <c r="BC297" s="69">
        <f t="shared" si="697"/>
        <v>0.1</v>
      </c>
      <c r="BD297" s="68">
        <f t="shared" si="697"/>
        <v>0.1</v>
      </c>
      <c r="BE297" s="69">
        <f t="shared" si="697"/>
        <v>0.1</v>
      </c>
      <c r="BF297" s="69">
        <f t="shared" si="697"/>
        <v>0.1</v>
      </c>
      <c r="BG297" s="69">
        <f t="shared" si="697"/>
        <v>9.9999999999999992E-2</v>
      </c>
      <c r="BH297" s="69">
        <f t="shared" si="697"/>
        <v>9.9999999999999992E-2</v>
      </c>
      <c r="BI297" s="70">
        <f t="shared" si="697"/>
        <v>9.9999999999999992E-2</v>
      </c>
      <c r="BJ297" s="69"/>
      <c r="BK297" s="69"/>
      <c r="BL297" s="69"/>
      <c r="BM297" s="69"/>
      <c r="BN297" s="68"/>
      <c r="BO297" s="69"/>
      <c r="BP297" s="69"/>
      <c r="BQ297" s="69"/>
      <c r="BR297" s="69"/>
      <c r="BS297" s="68"/>
      <c r="BT297" s="68"/>
      <c r="BU297" s="68"/>
      <c r="BV297" s="68"/>
      <c r="BW297" s="37"/>
    </row>
    <row r="298" spans="1:75" ht="15.75" customHeight="1" outlineLevel="1" x14ac:dyDescent="0.2">
      <c r="A298" s="85"/>
      <c r="B298" s="242"/>
      <c r="C298" s="243"/>
      <c r="D298" s="243"/>
      <c r="E298" s="243"/>
      <c r="F298" s="243"/>
      <c r="G298" s="245"/>
      <c r="H298" s="245"/>
      <c r="I298" s="245"/>
      <c r="J298" s="245"/>
      <c r="K298" s="243"/>
      <c r="L298" s="245"/>
      <c r="M298" s="245"/>
      <c r="N298" s="245"/>
      <c r="O298" s="245"/>
      <c r="P298" s="243"/>
      <c r="Q298" s="245"/>
      <c r="R298" s="245"/>
      <c r="S298" s="245"/>
      <c r="T298" s="245"/>
      <c r="U298" s="243"/>
      <c r="V298" s="245"/>
      <c r="W298" s="245"/>
      <c r="X298" s="245"/>
      <c r="Y298" s="245"/>
      <c r="Z298" s="243"/>
      <c r="AA298" s="245"/>
      <c r="AB298" s="245"/>
      <c r="AC298" s="245"/>
      <c r="AD298" s="245"/>
      <c r="AE298" s="243"/>
      <c r="AF298" s="245"/>
      <c r="AG298" s="245"/>
      <c r="AH298" s="245"/>
      <c r="AI298" s="245"/>
      <c r="AJ298" s="243"/>
      <c r="AK298" s="245"/>
      <c r="AL298" s="245"/>
      <c r="AM298" s="245"/>
      <c r="AN298" s="245"/>
      <c r="AO298" s="243"/>
      <c r="AP298" s="245"/>
      <c r="AQ298" s="245"/>
      <c r="AR298" s="245"/>
      <c r="AS298" s="245"/>
      <c r="AT298" s="243"/>
      <c r="AU298" s="245"/>
      <c r="AV298" s="245"/>
      <c r="AW298" s="245"/>
      <c r="AX298" s="245"/>
      <c r="AY298" s="243"/>
      <c r="AZ298" s="245"/>
      <c r="BA298" s="245"/>
      <c r="BB298" s="245"/>
      <c r="BC298" s="245"/>
      <c r="BD298" s="243"/>
      <c r="BE298" s="245"/>
      <c r="BF298" s="245"/>
      <c r="BG298" s="245"/>
      <c r="BH298" s="245"/>
      <c r="BI298" s="255"/>
      <c r="BJ298" s="245"/>
      <c r="BK298" s="245"/>
      <c r="BL298" s="245"/>
      <c r="BM298" s="245"/>
      <c r="BN298" s="243"/>
      <c r="BO298" s="245"/>
      <c r="BP298" s="245"/>
      <c r="BQ298" s="245"/>
      <c r="BR298" s="245"/>
      <c r="BS298" s="243"/>
      <c r="BT298" s="243"/>
      <c r="BU298" s="243"/>
      <c r="BV298" s="243"/>
      <c r="BW298" s="247"/>
    </row>
    <row r="299" spans="1:75" ht="15.75" customHeight="1" outlineLevel="1" x14ac:dyDescent="0.2">
      <c r="A299" s="47" t="s">
        <v>647</v>
      </c>
      <c r="B299" s="39"/>
      <c r="C299" s="40"/>
      <c r="D299" s="40"/>
      <c r="E299" s="40"/>
      <c r="F299" s="40">
        <f t="shared" ref="F299:F301" si="698">F36/F$284</f>
        <v>0.28049974296262831</v>
      </c>
      <c r="G299" s="41"/>
      <c r="H299" s="41"/>
      <c r="I299" s="41"/>
      <c r="J299" s="41">
        <f t="shared" ref="J299:J301" si="699">(J36+I36+H36+G36)/J$284</f>
        <v>0.26994981149691122</v>
      </c>
      <c r="K299" s="40">
        <f t="shared" ref="K299:K301" si="700">J299</f>
        <v>0.26994981149691122</v>
      </c>
      <c r="L299" s="41">
        <f>(L36+J36+I36+H36)/L$284</f>
        <v>0.26911770460799106</v>
      </c>
      <c r="M299" s="41">
        <f>(M36+L36+J36+I36)/M$284</f>
        <v>0.26943923621096222</v>
      </c>
      <c r="N299" s="41">
        <f>(N36+M36+L36+J36)/N$284</f>
        <v>0.2715512925882706</v>
      </c>
      <c r="O299" s="41">
        <f t="shared" ref="O299:O301" si="701">(O36+N36+M36+L36)/O$284</f>
        <v>0.27348677707893143</v>
      </c>
      <c r="P299" s="40">
        <f>O299</f>
        <v>0.27348677707893143</v>
      </c>
      <c r="Q299" s="41">
        <f>(Q36+O36+N36+M36)/Q$284</f>
        <v>0.26748313917303385</v>
      </c>
      <c r="R299" s="41">
        <f>(R36+Q36+O36+N36)/R$284</f>
        <v>0.26181841056500726</v>
      </c>
      <c r="S299" s="41">
        <f>(S36+R36+Q36+O36)/S$284</f>
        <v>0.25484783616901735</v>
      </c>
      <c r="T299" s="41">
        <f t="shared" ref="T299:T301" si="702">(T36+S36+R36+Q36)/T$284</f>
        <v>0.24710764073717059</v>
      </c>
      <c r="U299" s="40">
        <f t="shared" ref="U299:U301" si="703">T299</f>
        <v>0.24710764073717059</v>
      </c>
      <c r="V299" s="41">
        <f t="shared" ref="V299:V301" si="704">(V36+T36+S36+R36)/V$284</f>
        <v>0.24481883615373162</v>
      </c>
      <c r="W299" s="41">
        <f t="shared" ref="W299:W301" si="705">(W36+V36+T36+S36)/W$284</f>
        <v>0.24147785288181176</v>
      </c>
      <c r="X299" s="41">
        <f t="shared" ref="X299:X301" si="706">(X36+W36+V36+T36)/X$284</f>
        <v>0.23950550392137088</v>
      </c>
      <c r="Y299" s="41">
        <f t="shared" ref="Y299:Y301" si="707">(Y36+X36+W36+V36)/Y$284</f>
        <v>0.238197005472189</v>
      </c>
      <c r="Z299" s="40">
        <f t="shared" ref="Z299:Z301" si="708">Y299</f>
        <v>0.238197005472189</v>
      </c>
      <c r="AA299" s="41">
        <f t="shared" ref="AA299:AA301" si="709">(AA36+Y36+X36+W36)/AA$284</f>
        <v>0.23662192999491408</v>
      </c>
      <c r="AB299" s="41">
        <f t="shared" ref="AB299:AB301" si="710">(AB36+AA36+Y36+X36)/AB$284</f>
        <v>0.23650852553858395</v>
      </c>
      <c r="AC299" s="41">
        <f t="shared" ref="AC299:AC301" si="711">(AC36+AB36+AA36+Y36)/AC$284</f>
        <v>0.23640599746420857</v>
      </c>
      <c r="AD299" s="41">
        <f t="shared" ref="AD299:AD301" si="712">(AD36+AC36+AB36+AA36)/AD$284</f>
        <v>0.23710029742517791</v>
      </c>
      <c r="AE299" s="40">
        <f t="shared" ref="AE299:AE301" si="713">AD299</f>
        <v>0.23710029742517791</v>
      </c>
      <c r="AF299" s="41">
        <f t="shared" ref="AF299:AF301" si="714">(AF36+AD36+AC36+AB36)/AF$284</f>
        <v>0.23729849474536366</v>
      </c>
      <c r="AG299" s="41">
        <f t="shared" ref="AG299:AG301" si="715">(AG36+AF36+AD36+AC36)/AG$284</f>
        <v>0.2368522644007674</v>
      </c>
      <c r="AH299" s="41">
        <f t="shared" ref="AH299:AH301" si="716">(AH36+AG36+AF36+AD36)/AH$284</f>
        <v>0.23707821535235296</v>
      </c>
      <c r="AI299" s="41">
        <f t="shared" ref="AI299:AI301" si="717">(AI36+AH36+AG36+AF36)/AI$284</f>
        <v>0.23775028975080051</v>
      </c>
      <c r="AJ299" s="40">
        <f t="shared" ref="AJ299:AJ301" si="718">AI299</f>
        <v>0.23775028975080051</v>
      </c>
      <c r="AK299" s="41">
        <f t="shared" ref="AK299:AK301" si="719">(AK36+AI36+AH36+AG36)/AK$284</f>
        <v>0.23524425798488222</v>
      </c>
      <c r="AL299" s="41">
        <f t="shared" ref="AL299:AL301" si="720">(AL36+AK36+AI36+AH36)/AL$284</f>
        <v>0.23481106562601053</v>
      </c>
      <c r="AM299" s="41">
        <f t="shared" ref="AM299:AM301" si="721">(AM36+AL36+AK36+AI36)/AM$284</f>
        <v>0.23400880106460772</v>
      </c>
      <c r="AN299" s="41">
        <f t="shared" ref="AN299:AN301" si="722">(AN36+AM36+AL36+AK36)/AN$284</f>
        <v>0.23359854097116239</v>
      </c>
      <c r="AO299" s="40">
        <f t="shared" ref="AO299:AO301" si="723">AN299</f>
        <v>0.23359854097116239</v>
      </c>
      <c r="AP299" s="41">
        <f t="shared" ref="AP299:AP301" si="724">(AP36+AN36+AM36+AL36)/AP$284</f>
        <v>0.23418221639554809</v>
      </c>
      <c r="AQ299" s="41">
        <f t="shared" ref="AQ299:AQ301" si="725">(AQ36+AP36+AN36+AM36)/AQ$284</f>
        <v>0.238722062882575</v>
      </c>
      <c r="AR299" s="41">
        <f t="shared" ref="AR299:AR301" si="726">(AR36+AQ36+AP36+AN36)/AR$284</f>
        <v>0.23988976800055165</v>
      </c>
      <c r="AS299" s="41">
        <f t="shared" ref="AS299:AS301" si="727">(AS36+AR36+AQ36+AP36)/AS$284</f>
        <v>0.24118137446926208</v>
      </c>
      <c r="AT299" s="40">
        <f t="shared" ref="AT299:AT301" si="728">AS299</f>
        <v>0.24118137446926208</v>
      </c>
      <c r="AU299" s="41">
        <f t="shared" ref="AU299:AU301" si="729">(AU36+AS36+AR36+AQ36)/AU$284</f>
        <v>0.23739595199693919</v>
      </c>
      <c r="AV299" s="41">
        <f t="shared" ref="AV299:AV301" si="730">(AV36+AU36+AS36+AR36)/AV$284</f>
        <v>0.2313526600787692</v>
      </c>
      <c r="AW299" s="41">
        <f t="shared" ref="AW299:AW301" si="731">(AW36+AV36+AU36+AS36)/AW$284</f>
        <v>0.23014863266941502</v>
      </c>
      <c r="AX299" s="41">
        <f t="shared" ref="AX299:AX301" si="732">(AX36+AW36+AV36+AU36)/AX$284</f>
        <v>0.23028042699547244</v>
      </c>
      <c r="AY299" s="40">
        <f t="shared" ref="AY299:AY301" si="733">AX299</f>
        <v>0.23028042699547244</v>
      </c>
      <c r="AZ299" s="41">
        <f t="shared" ref="AZ299:AZ301" si="734">(AZ36+AX36+AW36+AV36)/AZ$284</f>
        <v>0.23521559120855248</v>
      </c>
      <c r="BA299" s="41">
        <f t="shared" ref="BA299:BA301" si="735">(BA36+AZ36+AX36+AW36)/BA$284</f>
        <v>0.24190928915975424</v>
      </c>
      <c r="BB299" s="41">
        <f t="shared" ref="BB299:BB301" si="736">(BB36+BA36+AZ36+AX36)/BB$284</f>
        <v>0.24881493645188202</v>
      </c>
      <c r="BC299" s="41">
        <f t="shared" ref="BC299:BC301" si="737">(BC36+BB36+BA36+AZ36)/BC$284</f>
        <v>0.25289379569270526</v>
      </c>
      <c r="BD299" s="40">
        <f t="shared" ref="BD299:BD301" si="738">BC299</f>
        <v>0.25289379569270526</v>
      </c>
      <c r="BE299" s="41">
        <f t="shared" ref="BE299:BE301" si="739">(BE36+BC36+BB36+BA36)/BE$284</f>
        <v>0.25280019776797852</v>
      </c>
      <c r="BF299" s="41">
        <f t="shared" ref="BF299:BF301" si="740">(BF36+BE36+BC36+BB36)/BF$284</f>
        <v>0.24937257680730129</v>
      </c>
      <c r="BG299" s="41">
        <f t="shared" ref="BG299:BG301" si="741">(BG36+BF36+BE36+BC36)/BG$284</f>
        <v>0.24509986431958156</v>
      </c>
      <c r="BH299" s="41">
        <f t="shared" ref="BH299:BH301" si="742">(BH36+BG36+BF36+BE36)/BH$284</f>
        <v>0.24061476112975283</v>
      </c>
      <c r="BI299" s="46">
        <f t="shared" ref="BI299:BI301" si="743">BH299</f>
        <v>0.24061476112975283</v>
      </c>
      <c r="BJ299" s="41"/>
      <c r="BK299" s="41"/>
      <c r="BL299" s="41"/>
      <c r="BM299" s="41"/>
      <c r="BN299" s="40"/>
      <c r="BO299" s="41"/>
      <c r="BP299" s="41"/>
      <c r="BQ299" s="41"/>
      <c r="BR299" s="41"/>
      <c r="BS299" s="40"/>
      <c r="BT299" s="40"/>
      <c r="BU299" s="40"/>
      <c r="BV299" s="40"/>
      <c r="BW299" s="45"/>
    </row>
    <row r="300" spans="1:75" ht="15.75" customHeight="1" outlineLevel="1" x14ac:dyDescent="0.2">
      <c r="A300" s="47" t="s">
        <v>648</v>
      </c>
      <c r="B300" s="39"/>
      <c r="C300" s="40"/>
      <c r="D300" s="40"/>
      <c r="E300" s="40"/>
      <c r="F300" s="40">
        <f t="shared" si="698"/>
        <v>0.36152976181203555</v>
      </c>
      <c r="G300" s="41"/>
      <c r="H300" s="41"/>
      <c r="I300" s="41"/>
      <c r="J300" s="41">
        <f t="shared" si="699"/>
        <v>0.35726074562390847</v>
      </c>
      <c r="K300" s="40">
        <f t="shared" si="700"/>
        <v>0.35726074562390847</v>
      </c>
      <c r="L300" s="41">
        <f>(L37+J37+I37+H37)/L$284</f>
        <v>0.35718662150551578</v>
      </c>
      <c r="M300" s="41">
        <f>(M37+L37+J37+I37)/M$284</f>
        <v>0.35725024443549774</v>
      </c>
      <c r="N300" s="41">
        <f>(N37+M37+L37+J37)/N$284</f>
        <v>0.35834869536344793</v>
      </c>
      <c r="O300" s="41">
        <f t="shared" si="701"/>
        <v>0.3603879080497725</v>
      </c>
      <c r="P300" s="40">
        <f>O300</f>
        <v>0.3603879080497725</v>
      </c>
      <c r="Q300" s="41">
        <f>(Q37+O37+N37+M37)/Q$284</f>
        <v>0.35364064767371761</v>
      </c>
      <c r="R300" s="41">
        <f>(R37+Q37+O37+N37)/R$284</f>
        <v>0.3460699311019883</v>
      </c>
      <c r="S300" s="41">
        <f>(S37+R37+Q37+O37)/S$284</f>
        <v>0.340255760166574</v>
      </c>
      <c r="T300" s="41">
        <f t="shared" si="702"/>
        <v>0.33574077847264888</v>
      </c>
      <c r="U300" s="40">
        <f t="shared" si="703"/>
        <v>0.33574077847264888</v>
      </c>
      <c r="V300" s="41">
        <f t="shared" si="704"/>
        <v>0.33688748711935174</v>
      </c>
      <c r="W300" s="41">
        <f t="shared" si="705"/>
        <v>0.34002559803893295</v>
      </c>
      <c r="X300" s="41">
        <f t="shared" si="706"/>
        <v>0.34188815706179621</v>
      </c>
      <c r="Y300" s="41">
        <f t="shared" si="707"/>
        <v>0.34375165727012746</v>
      </c>
      <c r="Z300" s="40">
        <f t="shared" si="708"/>
        <v>0.34375165727012746</v>
      </c>
      <c r="AA300" s="41">
        <f t="shared" si="709"/>
        <v>0.34622691130535421</v>
      </c>
      <c r="AB300" s="41">
        <f t="shared" si="710"/>
        <v>0.34837200061523321</v>
      </c>
      <c r="AC300" s="41">
        <f t="shared" si="711"/>
        <v>0.35224271818752617</v>
      </c>
      <c r="AD300" s="41">
        <f t="shared" si="712"/>
        <v>0.35497163156701977</v>
      </c>
      <c r="AE300" s="40">
        <f t="shared" si="713"/>
        <v>0.35497163156701977</v>
      </c>
      <c r="AF300" s="41">
        <f t="shared" si="714"/>
        <v>0.35843907673913245</v>
      </c>
      <c r="AG300" s="41">
        <f t="shared" si="715"/>
        <v>0.3635173983935176</v>
      </c>
      <c r="AH300" s="41">
        <f t="shared" si="716"/>
        <v>0.36458882710681201</v>
      </c>
      <c r="AI300" s="41">
        <f t="shared" si="717"/>
        <v>0.37059244660780521</v>
      </c>
      <c r="AJ300" s="40">
        <f t="shared" si="718"/>
        <v>0.37059244660780521</v>
      </c>
      <c r="AK300" s="41">
        <f t="shared" si="719"/>
        <v>0.36925257993108124</v>
      </c>
      <c r="AL300" s="41">
        <f t="shared" si="720"/>
        <v>0.37003464636899241</v>
      </c>
      <c r="AM300" s="41">
        <f t="shared" si="721"/>
        <v>0.3731596008157716</v>
      </c>
      <c r="AN300" s="41">
        <f t="shared" si="722"/>
        <v>0.37409622320344821</v>
      </c>
      <c r="AO300" s="40">
        <f t="shared" si="723"/>
        <v>0.37409622320344821</v>
      </c>
      <c r="AP300" s="41">
        <f t="shared" si="724"/>
        <v>0.38003965507363058</v>
      </c>
      <c r="AQ300" s="41">
        <f t="shared" si="725"/>
        <v>0.39024415985994659</v>
      </c>
      <c r="AR300" s="41">
        <f t="shared" si="726"/>
        <v>0.39771128716588722</v>
      </c>
      <c r="AS300" s="41">
        <f t="shared" si="727"/>
        <v>0.40970397358797744</v>
      </c>
      <c r="AT300" s="40">
        <f t="shared" si="728"/>
        <v>0.40970397358797744</v>
      </c>
      <c r="AU300" s="41">
        <f t="shared" si="729"/>
        <v>0.40395154671612093</v>
      </c>
      <c r="AV300" s="41">
        <f t="shared" si="730"/>
        <v>0.3883176177479844</v>
      </c>
      <c r="AW300" s="41">
        <f t="shared" si="731"/>
        <v>0.38367302226592126</v>
      </c>
      <c r="AX300" s="41">
        <f t="shared" si="732"/>
        <v>0.37818519941160467</v>
      </c>
      <c r="AY300" s="40">
        <f t="shared" si="733"/>
        <v>0.37818519941160467</v>
      </c>
      <c r="AZ300" s="41">
        <f t="shared" si="734"/>
        <v>0.3794926453221838</v>
      </c>
      <c r="BA300" s="41">
        <f t="shared" si="735"/>
        <v>0.38143013877036663</v>
      </c>
      <c r="BB300" s="41">
        <f t="shared" si="736"/>
        <v>0.38209009109750597</v>
      </c>
      <c r="BC300" s="41">
        <f t="shared" si="737"/>
        <v>0.37795666754250057</v>
      </c>
      <c r="BD300" s="40">
        <f t="shared" si="738"/>
        <v>0.37795666754250057</v>
      </c>
      <c r="BE300" s="41">
        <f t="shared" si="739"/>
        <v>0.37454561292285571</v>
      </c>
      <c r="BF300" s="41">
        <f t="shared" si="740"/>
        <v>0.37134164502410927</v>
      </c>
      <c r="BG300" s="41">
        <f t="shared" si="741"/>
        <v>0.36889806197034491</v>
      </c>
      <c r="BH300" s="41">
        <f t="shared" si="742"/>
        <v>0.36770337537948705</v>
      </c>
      <c r="BI300" s="46">
        <f t="shared" si="743"/>
        <v>0.36770337537948705</v>
      </c>
      <c r="BJ300" s="41"/>
      <c r="BK300" s="41"/>
      <c r="BL300" s="41"/>
      <c r="BM300" s="41"/>
      <c r="BN300" s="40"/>
      <c r="BO300" s="41"/>
      <c r="BP300" s="41"/>
      <c r="BQ300" s="41"/>
      <c r="BR300" s="41"/>
      <c r="BS300" s="40"/>
      <c r="BT300" s="40"/>
      <c r="BU300" s="40"/>
      <c r="BV300" s="40"/>
      <c r="BW300" s="45"/>
    </row>
    <row r="301" spans="1:75" ht="15.75" customHeight="1" outlineLevel="1" x14ac:dyDescent="0.2">
      <c r="A301" s="47" t="s">
        <v>649</v>
      </c>
      <c r="B301" s="39"/>
      <c r="C301" s="40"/>
      <c r="D301" s="40"/>
      <c r="E301" s="40"/>
      <c r="F301" s="40">
        <f t="shared" si="698"/>
        <v>0.27389840013708661</v>
      </c>
      <c r="G301" s="41"/>
      <c r="H301" s="41"/>
      <c r="I301" s="41"/>
      <c r="J301" s="41">
        <f t="shared" si="699"/>
        <v>0.26810506411000712</v>
      </c>
      <c r="K301" s="40">
        <f t="shared" si="700"/>
        <v>0.26810506411000712</v>
      </c>
      <c r="L301" s="41">
        <f>(L38+J38+I38+H38)/L$284</f>
        <v>0.26705706647602256</v>
      </c>
      <c r="M301" s="41">
        <f>(M38+L38+J38+I38)/M$284</f>
        <v>0.26628975671478688</v>
      </c>
      <c r="N301" s="41">
        <f>(N38+M38+L38+J38)/N$284</f>
        <v>0.26706344919103991</v>
      </c>
      <c r="O301" s="41">
        <f t="shared" si="701"/>
        <v>0.26690376372995028</v>
      </c>
      <c r="P301" s="40">
        <f>O301</f>
        <v>0.26690376372995028</v>
      </c>
      <c r="Q301" s="41">
        <f>(Q38+O38+N38+M38)/Q$284</f>
        <v>0.26143520624549071</v>
      </c>
      <c r="R301" s="41">
        <f>(R38+Q38+O38+N38)/R$284</f>
        <v>0.25500245438980956</v>
      </c>
      <c r="S301" s="41">
        <f>(S38+R38+Q38+O38)/S$284</f>
        <v>0.25012868407564604</v>
      </c>
      <c r="T301" s="41">
        <f t="shared" si="702"/>
        <v>0.24544515964029412</v>
      </c>
      <c r="U301" s="40">
        <f t="shared" si="703"/>
        <v>0.24544515964029412</v>
      </c>
      <c r="V301" s="41">
        <f t="shared" si="704"/>
        <v>0.24412994113826533</v>
      </c>
      <c r="W301" s="41">
        <f t="shared" si="705"/>
        <v>0.24459544554451335</v>
      </c>
      <c r="X301" s="41">
        <f t="shared" si="706"/>
        <v>0.24408373843602948</v>
      </c>
      <c r="Y301" s="41">
        <f t="shared" si="707"/>
        <v>0.24441033302820853</v>
      </c>
      <c r="Z301" s="40">
        <f t="shared" si="708"/>
        <v>0.24441033302820853</v>
      </c>
      <c r="AA301" s="41">
        <f t="shared" si="709"/>
        <v>0.24629604647131348</v>
      </c>
      <c r="AB301" s="41">
        <f t="shared" si="710"/>
        <v>0.24777500479696096</v>
      </c>
      <c r="AC301" s="41">
        <f t="shared" si="711"/>
        <v>0.24991575999826032</v>
      </c>
      <c r="AD301" s="41">
        <f t="shared" si="712"/>
        <v>0.25234874605104768</v>
      </c>
      <c r="AE301" s="40">
        <f t="shared" si="713"/>
        <v>0.25234874605104768</v>
      </c>
      <c r="AF301" s="41">
        <f t="shared" si="714"/>
        <v>0.25512177873776537</v>
      </c>
      <c r="AG301" s="41">
        <f t="shared" si="715"/>
        <v>0.25538024864558773</v>
      </c>
      <c r="AH301" s="41">
        <f t="shared" si="716"/>
        <v>0.25523997600971865</v>
      </c>
      <c r="AI301" s="41">
        <f t="shared" si="717"/>
        <v>0.25518217211278582</v>
      </c>
      <c r="AJ301" s="40">
        <f t="shared" si="718"/>
        <v>0.25518217211278582</v>
      </c>
      <c r="AK301" s="41">
        <f t="shared" si="719"/>
        <v>0.25441142722096499</v>
      </c>
      <c r="AL301" s="41">
        <f t="shared" si="720"/>
        <v>0.25564263926446501</v>
      </c>
      <c r="AM301" s="41">
        <f t="shared" si="721"/>
        <v>0.2573476569098736</v>
      </c>
      <c r="AN301" s="41">
        <f t="shared" si="722"/>
        <v>0.26263499475494773</v>
      </c>
      <c r="AO301" s="40">
        <f t="shared" si="723"/>
        <v>0.26263499475494773</v>
      </c>
      <c r="AP301" s="41">
        <f t="shared" si="724"/>
        <v>0.26719544317460919</v>
      </c>
      <c r="AQ301" s="41">
        <f t="shared" si="725"/>
        <v>0.2930422431921631</v>
      </c>
      <c r="AR301" s="41">
        <f t="shared" si="726"/>
        <v>0.3081647743114776</v>
      </c>
      <c r="AS301" s="41">
        <f t="shared" si="727"/>
        <v>0.32418501913002762</v>
      </c>
      <c r="AT301" s="40">
        <f t="shared" si="728"/>
        <v>0.32418501913002762</v>
      </c>
      <c r="AU301" s="41">
        <f t="shared" si="729"/>
        <v>0.32974063217840821</v>
      </c>
      <c r="AV301" s="41">
        <f t="shared" si="730"/>
        <v>0.29752557607528252</v>
      </c>
      <c r="AW301" s="41">
        <f t="shared" si="731"/>
        <v>0.28694226739059914</v>
      </c>
      <c r="AX301" s="41">
        <f t="shared" si="732"/>
        <v>0.27935154921464656</v>
      </c>
      <c r="AY301" s="40">
        <f t="shared" si="733"/>
        <v>0.27935154921464656</v>
      </c>
      <c r="AZ301" s="41">
        <f t="shared" si="734"/>
        <v>0.27276095331092493</v>
      </c>
      <c r="BA301" s="41">
        <f t="shared" si="735"/>
        <v>0.27361585757026663</v>
      </c>
      <c r="BB301" s="41">
        <f t="shared" si="736"/>
        <v>0.27607305867134485</v>
      </c>
      <c r="BC301" s="41">
        <f t="shared" si="737"/>
        <v>0.27494247121830184</v>
      </c>
      <c r="BD301" s="40">
        <f t="shared" si="738"/>
        <v>0.27494247121830184</v>
      </c>
      <c r="BE301" s="41">
        <f t="shared" si="739"/>
        <v>0.27606888774909139</v>
      </c>
      <c r="BF301" s="41">
        <f t="shared" si="740"/>
        <v>0.27569930045851199</v>
      </c>
      <c r="BG301" s="41">
        <f t="shared" si="741"/>
        <v>0.27570963461408632</v>
      </c>
      <c r="BH301" s="41">
        <f t="shared" si="742"/>
        <v>0.27622874036016881</v>
      </c>
      <c r="BI301" s="46">
        <f t="shared" si="743"/>
        <v>0.27622874036016881</v>
      </c>
      <c r="BJ301" s="41"/>
      <c r="BK301" s="41"/>
      <c r="BL301" s="41"/>
      <c r="BM301" s="41"/>
      <c r="BN301" s="40"/>
      <c r="BO301" s="41"/>
      <c r="BP301" s="41"/>
      <c r="BQ301" s="41"/>
      <c r="BR301" s="41"/>
      <c r="BS301" s="40"/>
      <c r="BT301" s="40"/>
      <c r="BU301" s="40"/>
      <c r="BV301" s="40"/>
      <c r="BW301" s="45"/>
    </row>
    <row r="302" spans="1:75" ht="15.75" customHeight="1" outlineLevel="1" x14ac:dyDescent="0.2">
      <c r="A302" s="272" t="s">
        <v>650</v>
      </c>
      <c r="B302" s="273"/>
      <c r="C302" s="274"/>
      <c r="D302" s="274"/>
      <c r="E302" s="274"/>
      <c r="F302" s="274">
        <f>F299+F300+F301</f>
        <v>0.91592790491175036</v>
      </c>
      <c r="G302" s="275"/>
      <c r="H302" s="275"/>
      <c r="I302" s="275"/>
      <c r="J302" s="275">
        <f t="shared" ref="J302:BI302" si="744">J299+J300+J301</f>
        <v>0.89531562123082686</v>
      </c>
      <c r="K302" s="274">
        <f t="shared" si="744"/>
        <v>0.89531562123082686</v>
      </c>
      <c r="L302" s="275">
        <f t="shared" si="744"/>
        <v>0.8933613925895294</v>
      </c>
      <c r="M302" s="275">
        <f t="shared" si="744"/>
        <v>0.89297923736124685</v>
      </c>
      <c r="N302" s="275">
        <f t="shared" si="744"/>
        <v>0.89696343714275839</v>
      </c>
      <c r="O302" s="275">
        <f t="shared" si="744"/>
        <v>0.90077844885865421</v>
      </c>
      <c r="P302" s="274">
        <f t="shared" si="744"/>
        <v>0.90077844885865421</v>
      </c>
      <c r="Q302" s="275">
        <f t="shared" si="744"/>
        <v>0.88255899309224217</v>
      </c>
      <c r="R302" s="275">
        <f t="shared" si="744"/>
        <v>0.86289079605680508</v>
      </c>
      <c r="S302" s="275">
        <f t="shared" si="744"/>
        <v>0.84523228041123732</v>
      </c>
      <c r="T302" s="275">
        <f t="shared" si="744"/>
        <v>0.82829357885011357</v>
      </c>
      <c r="U302" s="274">
        <f t="shared" si="744"/>
        <v>0.82829357885011357</v>
      </c>
      <c r="V302" s="275">
        <f t="shared" si="744"/>
        <v>0.82583626441134872</v>
      </c>
      <c r="W302" s="275">
        <f t="shared" si="744"/>
        <v>0.82609889646525803</v>
      </c>
      <c r="X302" s="275">
        <f t="shared" si="744"/>
        <v>0.82547739941919662</v>
      </c>
      <c r="Y302" s="275">
        <f t="shared" si="744"/>
        <v>0.82635899577052507</v>
      </c>
      <c r="Z302" s="274">
        <f t="shared" si="744"/>
        <v>0.82635899577052507</v>
      </c>
      <c r="AA302" s="275">
        <f t="shared" si="744"/>
        <v>0.82914488777158168</v>
      </c>
      <c r="AB302" s="275">
        <f t="shared" si="744"/>
        <v>0.83265553095077816</v>
      </c>
      <c r="AC302" s="275">
        <f t="shared" si="744"/>
        <v>0.83856447564999503</v>
      </c>
      <c r="AD302" s="275">
        <f t="shared" si="744"/>
        <v>0.84442067504324525</v>
      </c>
      <c r="AE302" s="274">
        <f t="shared" si="744"/>
        <v>0.84442067504324525</v>
      </c>
      <c r="AF302" s="275">
        <f t="shared" si="744"/>
        <v>0.85085935022226145</v>
      </c>
      <c r="AG302" s="275">
        <f t="shared" si="744"/>
        <v>0.85574991143987267</v>
      </c>
      <c r="AH302" s="275">
        <f t="shared" si="744"/>
        <v>0.85690701846888362</v>
      </c>
      <c r="AI302" s="275">
        <f t="shared" si="744"/>
        <v>0.86352490847139152</v>
      </c>
      <c r="AJ302" s="274">
        <f t="shared" si="744"/>
        <v>0.86352490847139152</v>
      </c>
      <c r="AK302" s="275">
        <f t="shared" si="744"/>
        <v>0.85890826513692842</v>
      </c>
      <c r="AL302" s="275">
        <f t="shared" si="744"/>
        <v>0.86048835125946788</v>
      </c>
      <c r="AM302" s="275">
        <f t="shared" si="744"/>
        <v>0.86451605879025295</v>
      </c>
      <c r="AN302" s="275">
        <f t="shared" si="744"/>
        <v>0.87032975892955844</v>
      </c>
      <c r="AO302" s="274">
        <f t="shared" si="744"/>
        <v>0.87032975892955844</v>
      </c>
      <c r="AP302" s="275">
        <f t="shared" si="744"/>
        <v>0.88141731464378792</v>
      </c>
      <c r="AQ302" s="275">
        <f t="shared" si="744"/>
        <v>0.92200846593468466</v>
      </c>
      <c r="AR302" s="275">
        <f t="shared" si="744"/>
        <v>0.94576582947791643</v>
      </c>
      <c r="AS302" s="275">
        <f t="shared" si="744"/>
        <v>0.97507036718726714</v>
      </c>
      <c r="AT302" s="274">
        <f t="shared" si="744"/>
        <v>0.97507036718726714</v>
      </c>
      <c r="AU302" s="275">
        <f t="shared" si="744"/>
        <v>0.97108813089146828</v>
      </c>
      <c r="AV302" s="275">
        <f t="shared" si="744"/>
        <v>0.91719585390203606</v>
      </c>
      <c r="AW302" s="275">
        <f t="shared" si="744"/>
        <v>0.90076392232593538</v>
      </c>
      <c r="AX302" s="275">
        <f t="shared" si="744"/>
        <v>0.88781717562172369</v>
      </c>
      <c r="AY302" s="274">
        <f t="shared" si="744"/>
        <v>0.88781717562172369</v>
      </c>
      <c r="AZ302" s="275">
        <f t="shared" si="744"/>
        <v>0.88746918984166112</v>
      </c>
      <c r="BA302" s="275">
        <f t="shared" si="744"/>
        <v>0.8969552855003875</v>
      </c>
      <c r="BB302" s="275">
        <f t="shared" si="744"/>
        <v>0.90697808622073284</v>
      </c>
      <c r="BC302" s="275">
        <f t="shared" si="744"/>
        <v>0.90579293445350773</v>
      </c>
      <c r="BD302" s="274">
        <f t="shared" si="744"/>
        <v>0.90579293445350773</v>
      </c>
      <c r="BE302" s="275">
        <f t="shared" si="744"/>
        <v>0.90341469843992561</v>
      </c>
      <c r="BF302" s="275">
        <f t="shared" si="744"/>
        <v>0.89641352228992255</v>
      </c>
      <c r="BG302" s="275">
        <f t="shared" si="744"/>
        <v>0.88970756090401282</v>
      </c>
      <c r="BH302" s="275">
        <f t="shared" si="744"/>
        <v>0.88454687686940869</v>
      </c>
      <c r="BI302" s="276">
        <f t="shared" si="744"/>
        <v>0.88454687686940869</v>
      </c>
      <c r="BJ302" s="275"/>
      <c r="BK302" s="275"/>
      <c r="BL302" s="275"/>
      <c r="BM302" s="275"/>
      <c r="BN302" s="274"/>
      <c r="BO302" s="275"/>
      <c r="BP302" s="275"/>
      <c r="BQ302" s="275"/>
      <c r="BR302" s="275"/>
      <c r="BS302" s="274"/>
      <c r="BT302" s="274"/>
      <c r="BU302" s="274"/>
      <c r="BV302" s="274"/>
      <c r="BW302" s="37"/>
    </row>
    <row r="303" spans="1:75" ht="15.75" customHeight="1" outlineLevel="1" x14ac:dyDescent="0.2">
      <c r="A303" s="66" t="s">
        <v>651</v>
      </c>
      <c r="B303" s="67"/>
      <c r="C303" s="68"/>
      <c r="D303" s="68"/>
      <c r="E303" s="68"/>
      <c r="F303" s="68">
        <f>1-F302</f>
        <v>8.4072095088249643E-2</v>
      </c>
      <c r="G303" s="69"/>
      <c r="H303" s="69"/>
      <c r="I303" s="69"/>
      <c r="J303" s="69">
        <f t="shared" ref="J303:BI303" si="745">1-J302</f>
        <v>0.10468437876917314</v>
      </c>
      <c r="K303" s="68">
        <f t="shared" si="745"/>
        <v>0.10468437876917314</v>
      </c>
      <c r="L303" s="69">
        <f t="shared" si="745"/>
        <v>0.1066386074104706</v>
      </c>
      <c r="M303" s="69">
        <f t="shared" si="745"/>
        <v>0.10702076263875315</v>
      </c>
      <c r="N303" s="69">
        <f t="shared" si="745"/>
        <v>0.10303656285724161</v>
      </c>
      <c r="O303" s="69">
        <f t="shared" si="745"/>
        <v>9.9221551141345787E-2</v>
      </c>
      <c r="P303" s="68">
        <f t="shared" si="745"/>
        <v>9.9221551141345787E-2</v>
      </c>
      <c r="Q303" s="69">
        <f t="shared" si="745"/>
        <v>0.11744100690775783</v>
      </c>
      <c r="R303" s="69">
        <f t="shared" si="745"/>
        <v>0.13710920394319492</v>
      </c>
      <c r="S303" s="69">
        <f t="shared" si="745"/>
        <v>0.15476771958876268</v>
      </c>
      <c r="T303" s="69">
        <f t="shared" si="745"/>
        <v>0.17170642114988643</v>
      </c>
      <c r="U303" s="68">
        <f t="shared" si="745"/>
        <v>0.17170642114988643</v>
      </c>
      <c r="V303" s="69">
        <f t="shared" si="745"/>
        <v>0.17416373558865128</v>
      </c>
      <c r="W303" s="69">
        <f t="shared" si="745"/>
        <v>0.17390110353474197</v>
      </c>
      <c r="X303" s="69">
        <f t="shared" si="745"/>
        <v>0.17452260058080338</v>
      </c>
      <c r="Y303" s="69">
        <f t="shared" si="745"/>
        <v>0.17364100422947493</v>
      </c>
      <c r="Z303" s="68">
        <f t="shared" si="745"/>
        <v>0.17364100422947493</v>
      </c>
      <c r="AA303" s="69">
        <f t="shared" si="745"/>
        <v>0.17085511222841832</v>
      </c>
      <c r="AB303" s="69">
        <f t="shared" si="745"/>
        <v>0.16734446904922184</v>
      </c>
      <c r="AC303" s="69">
        <f t="shared" si="745"/>
        <v>0.16143552435000497</v>
      </c>
      <c r="AD303" s="69">
        <f t="shared" si="745"/>
        <v>0.15557932495675475</v>
      </c>
      <c r="AE303" s="68">
        <f t="shared" si="745"/>
        <v>0.15557932495675475</v>
      </c>
      <c r="AF303" s="69">
        <f t="shared" si="745"/>
        <v>0.14914064977773855</v>
      </c>
      <c r="AG303" s="69">
        <f t="shared" si="745"/>
        <v>0.14425008856012733</v>
      </c>
      <c r="AH303" s="69">
        <f t="shared" si="745"/>
        <v>0.14309298153111638</v>
      </c>
      <c r="AI303" s="69">
        <f t="shared" si="745"/>
        <v>0.13647509152860848</v>
      </c>
      <c r="AJ303" s="68">
        <f t="shared" si="745"/>
        <v>0.13647509152860848</v>
      </c>
      <c r="AK303" s="69">
        <f t="shared" si="745"/>
        <v>0.14109173486307158</v>
      </c>
      <c r="AL303" s="69">
        <f t="shared" si="745"/>
        <v>0.13951164874053212</v>
      </c>
      <c r="AM303" s="69">
        <f t="shared" si="745"/>
        <v>0.13548394120974705</v>
      </c>
      <c r="AN303" s="69">
        <f t="shared" si="745"/>
        <v>0.12967024107044156</v>
      </c>
      <c r="AO303" s="68">
        <f t="shared" si="745"/>
        <v>0.12967024107044156</v>
      </c>
      <c r="AP303" s="69">
        <f t="shared" si="745"/>
        <v>0.11858268535621208</v>
      </c>
      <c r="AQ303" s="69">
        <f t="shared" si="745"/>
        <v>7.7991534065315338E-2</v>
      </c>
      <c r="AR303" s="69">
        <f t="shared" si="745"/>
        <v>5.4234170522083569E-2</v>
      </c>
      <c r="AS303" s="69">
        <f t="shared" si="745"/>
        <v>2.492963281273286E-2</v>
      </c>
      <c r="AT303" s="68">
        <f t="shared" si="745"/>
        <v>2.492963281273286E-2</v>
      </c>
      <c r="AU303" s="69">
        <f t="shared" si="745"/>
        <v>2.8911869108531718E-2</v>
      </c>
      <c r="AV303" s="69">
        <f t="shared" si="745"/>
        <v>8.2804146097963938E-2</v>
      </c>
      <c r="AW303" s="69">
        <f t="shared" si="745"/>
        <v>9.9236077674064616E-2</v>
      </c>
      <c r="AX303" s="69">
        <f t="shared" si="745"/>
        <v>0.11218282437827631</v>
      </c>
      <c r="AY303" s="68">
        <f t="shared" si="745"/>
        <v>0.11218282437827631</v>
      </c>
      <c r="AZ303" s="69">
        <f t="shared" si="745"/>
        <v>0.11253081015833888</v>
      </c>
      <c r="BA303" s="69">
        <f t="shared" si="745"/>
        <v>0.1030447144996125</v>
      </c>
      <c r="BB303" s="69">
        <f t="shared" si="745"/>
        <v>9.3021913779267162E-2</v>
      </c>
      <c r="BC303" s="69">
        <f t="shared" si="745"/>
        <v>9.4207065546492275E-2</v>
      </c>
      <c r="BD303" s="68">
        <f t="shared" si="745"/>
        <v>9.4207065546492275E-2</v>
      </c>
      <c r="BE303" s="69">
        <f t="shared" si="745"/>
        <v>9.6585301560074388E-2</v>
      </c>
      <c r="BF303" s="69">
        <f t="shared" si="745"/>
        <v>0.10358647771007745</v>
      </c>
      <c r="BG303" s="69">
        <f t="shared" si="745"/>
        <v>0.11029243909598718</v>
      </c>
      <c r="BH303" s="69">
        <f t="shared" si="745"/>
        <v>0.11545312313059131</v>
      </c>
      <c r="BI303" s="70">
        <f t="shared" si="745"/>
        <v>0.11545312313059131</v>
      </c>
      <c r="BJ303" s="69"/>
      <c r="BK303" s="69"/>
      <c r="BL303" s="69"/>
      <c r="BM303" s="69"/>
      <c r="BN303" s="68"/>
      <c r="BO303" s="69"/>
      <c r="BP303" s="69"/>
      <c r="BQ303" s="69"/>
      <c r="BR303" s="69"/>
      <c r="BS303" s="68"/>
      <c r="BT303" s="68"/>
      <c r="BU303" s="68"/>
      <c r="BV303" s="68"/>
      <c r="BW303" s="37"/>
    </row>
    <row r="304" spans="1:75" ht="15.75" customHeight="1" outlineLevel="1" x14ac:dyDescent="0.2">
      <c r="A304" s="149" t="s">
        <v>652</v>
      </c>
      <c r="B304" s="151"/>
      <c r="C304" s="211"/>
      <c r="D304" s="211"/>
      <c r="E304" s="211"/>
      <c r="F304" s="211"/>
      <c r="G304" s="267"/>
      <c r="H304" s="267"/>
      <c r="I304" s="267"/>
      <c r="J304" s="267">
        <f>K304</f>
        <v>2.0612283680923493E-2</v>
      </c>
      <c r="K304" s="211">
        <f>K303-F303</f>
        <v>2.0612283680923493E-2</v>
      </c>
      <c r="L304" s="267"/>
      <c r="M304" s="267"/>
      <c r="N304" s="267"/>
      <c r="O304" s="267">
        <f t="shared" ref="O304:T304" si="746">O303-J303</f>
        <v>-5.4628276278273491E-3</v>
      </c>
      <c r="P304" s="211">
        <f t="shared" si="746"/>
        <v>-5.4628276278273491E-3</v>
      </c>
      <c r="Q304" s="267">
        <f t="shared" si="746"/>
        <v>1.0802399497287229E-2</v>
      </c>
      <c r="R304" s="267">
        <f t="shared" si="746"/>
        <v>3.0088441304441771E-2</v>
      </c>
      <c r="S304" s="267">
        <f t="shared" si="746"/>
        <v>5.1731156731521066E-2</v>
      </c>
      <c r="T304" s="267">
        <f t="shared" si="746"/>
        <v>7.2484870008540647E-2</v>
      </c>
      <c r="U304" s="211">
        <f t="shared" ref="U304:BI304" si="747">U303-P303</f>
        <v>7.2484870008540647E-2</v>
      </c>
      <c r="V304" s="267">
        <f t="shared" si="747"/>
        <v>5.6722728680893453E-2</v>
      </c>
      <c r="W304" s="267">
        <f t="shared" si="747"/>
        <v>3.679189959154705E-2</v>
      </c>
      <c r="X304" s="267">
        <f t="shared" si="747"/>
        <v>1.9754880992040702E-2</v>
      </c>
      <c r="Y304" s="267">
        <f t="shared" si="747"/>
        <v>1.9345830795884922E-3</v>
      </c>
      <c r="Z304" s="211">
        <f t="shared" si="747"/>
        <v>1.9345830795884922E-3</v>
      </c>
      <c r="AA304" s="267">
        <f t="shared" si="747"/>
        <v>-3.3086233602329651E-3</v>
      </c>
      <c r="AB304" s="267">
        <f t="shared" si="747"/>
        <v>-6.5566344855201297E-3</v>
      </c>
      <c r="AC304" s="267">
        <f t="shared" si="747"/>
        <v>-1.3087076230798411E-2</v>
      </c>
      <c r="AD304" s="267">
        <f t="shared" si="747"/>
        <v>-1.8061679272720177E-2</v>
      </c>
      <c r="AE304" s="211">
        <f t="shared" si="747"/>
        <v>-1.8061679272720177E-2</v>
      </c>
      <c r="AF304" s="267">
        <f t="shared" si="747"/>
        <v>-2.1714462450679761E-2</v>
      </c>
      <c r="AG304" s="267">
        <f t="shared" si="747"/>
        <v>-2.3094380489094513E-2</v>
      </c>
      <c r="AH304" s="267">
        <f t="shared" si="747"/>
        <v>-1.8342542818888585E-2</v>
      </c>
      <c r="AI304" s="267">
        <f t="shared" si="747"/>
        <v>-1.9104233428146267E-2</v>
      </c>
      <c r="AJ304" s="211">
        <f t="shared" si="747"/>
        <v>-1.9104233428146267E-2</v>
      </c>
      <c r="AK304" s="267">
        <f t="shared" si="747"/>
        <v>-8.0489149146669714E-3</v>
      </c>
      <c r="AL304" s="267">
        <f t="shared" si="747"/>
        <v>-4.7384398195952082E-3</v>
      </c>
      <c r="AM304" s="267">
        <f t="shared" si="747"/>
        <v>-7.6090403213693314E-3</v>
      </c>
      <c r="AN304" s="267">
        <f t="shared" si="747"/>
        <v>-6.8048504581669222E-3</v>
      </c>
      <c r="AO304" s="211">
        <f t="shared" si="747"/>
        <v>-6.8048504581669222E-3</v>
      </c>
      <c r="AP304" s="267">
        <f t="shared" si="747"/>
        <v>-2.2509049506859502E-2</v>
      </c>
      <c r="AQ304" s="267">
        <f t="shared" si="747"/>
        <v>-6.1520114675216786E-2</v>
      </c>
      <c r="AR304" s="267">
        <f t="shared" si="747"/>
        <v>-8.1249770687663481E-2</v>
      </c>
      <c r="AS304" s="267">
        <f t="shared" si="747"/>
        <v>-0.1047406082577087</v>
      </c>
      <c r="AT304" s="211">
        <f t="shared" si="747"/>
        <v>-0.1047406082577087</v>
      </c>
      <c r="AU304" s="267">
        <f t="shared" si="747"/>
        <v>-8.9670816247680363E-2</v>
      </c>
      <c r="AV304" s="267">
        <f t="shared" si="747"/>
        <v>4.8126120326485999E-3</v>
      </c>
      <c r="AW304" s="267">
        <f t="shared" si="747"/>
        <v>4.5001907151981047E-2</v>
      </c>
      <c r="AX304" s="267">
        <f t="shared" si="747"/>
        <v>8.7253191565543453E-2</v>
      </c>
      <c r="AY304" s="211">
        <f t="shared" si="747"/>
        <v>8.7253191565543453E-2</v>
      </c>
      <c r="AZ304" s="267">
        <f t="shared" si="747"/>
        <v>8.3618941049807161E-2</v>
      </c>
      <c r="BA304" s="267">
        <f t="shared" si="747"/>
        <v>2.0240568401648562E-2</v>
      </c>
      <c r="BB304" s="267">
        <f t="shared" si="747"/>
        <v>-6.2141638947974531E-3</v>
      </c>
      <c r="BC304" s="267">
        <f t="shared" si="747"/>
        <v>-1.7975758831784039E-2</v>
      </c>
      <c r="BD304" s="211">
        <f t="shared" si="747"/>
        <v>-1.7975758831784039E-2</v>
      </c>
      <c r="BE304" s="267">
        <f t="shared" si="747"/>
        <v>-1.5945508598264491E-2</v>
      </c>
      <c r="BF304" s="267">
        <f t="shared" si="747"/>
        <v>5.4176321046495168E-4</v>
      </c>
      <c r="BG304" s="267">
        <f t="shared" si="747"/>
        <v>1.727052531672002E-2</v>
      </c>
      <c r="BH304" s="267">
        <f t="shared" si="747"/>
        <v>2.1246057584099032E-2</v>
      </c>
      <c r="BI304" s="212">
        <f t="shared" si="747"/>
        <v>2.1246057584099032E-2</v>
      </c>
      <c r="BJ304" s="267"/>
      <c r="BK304" s="267"/>
      <c r="BL304" s="267"/>
      <c r="BM304" s="267"/>
      <c r="BN304" s="211"/>
      <c r="BO304" s="267"/>
      <c r="BP304" s="267"/>
      <c r="BQ304" s="267"/>
      <c r="BR304" s="267"/>
      <c r="BS304" s="211"/>
      <c r="BT304" s="211"/>
      <c r="BU304" s="211"/>
      <c r="BV304" s="211"/>
      <c r="BW304" s="152"/>
    </row>
    <row r="305" spans="1:75" ht="15.75" customHeight="1" outlineLevel="1" x14ac:dyDescent="0.2">
      <c r="A305" s="149"/>
      <c r="B305" s="151"/>
      <c r="C305" s="211"/>
      <c r="D305" s="211"/>
      <c r="E305" s="211"/>
      <c r="F305" s="211"/>
      <c r="G305" s="267"/>
      <c r="H305" s="267"/>
      <c r="I305" s="267"/>
      <c r="J305" s="267"/>
      <c r="K305" s="211"/>
      <c r="L305" s="267"/>
      <c r="M305" s="267"/>
      <c r="N305" s="267"/>
      <c r="O305" s="267"/>
      <c r="P305" s="211"/>
      <c r="Q305" s="267"/>
      <c r="R305" s="267"/>
      <c r="S305" s="267"/>
      <c r="T305" s="267"/>
      <c r="U305" s="211"/>
      <c r="V305" s="267"/>
      <c r="W305" s="267"/>
      <c r="X305" s="267"/>
      <c r="Y305" s="267"/>
      <c r="Z305" s="211"/>
      <c r="AA305" s="267"/>
      <c r="AB305" s="267"/>
      <c r="AC305" s="267"/>
      <c r="AD305" s="267"/>
      <c r="AE305" s="211"/>
      <c r="AF305" s="267"/>
      <c r="AG305" s="267"/>
      <c r="AH305" s="267"/>
      <c r="AI305" s="267"/>
      <c r="AJ305" s="211"/>
      <c r="AK305" s="267"/>
      <c r="AL305" s="267"/>
      <c r="AM305" s="267"/>
      <c r="AN305" s="267"/>
      <c r="AO305" s="211"/>
      <c r="AP305" s="267"/>
      <c r="AQ305" s="267"/>
      <c r="AR305" s="267"/>
      <c r="AS305" s="267"/>
      <c r="AT305" s="211"/>
      <c r="AU305" s="267"/>
      <c r="AV305" s="267"/>
      <c r="AW305" s="267"/>
      <c r="AX305" s="267"/>
      <c r="AY305" s="211"/>
      <c r="AZ305" s="267"/>
      <c r="BA305" s="267"/>
      <c r="BB305" s="267"/>
      <c r="BC305" s="267"/>
      <c r="BD305" s="211"/>
      <c r="BE305" s="267"/>
      <c r="BF305" s="267"/>
      <c r="BG305" s="267"/>
      <c r="BH305" s="267"/>
      <c r="BI305" s="212"/>
      <c r="BJ305" s="267"/>
      <c r="BK305" s="267"/>
      <c r="BL305" s="267"/>
      <c r="BM305" s="267"/>
      <c r="BN305" s="211"/>
      <c r="BO305" s="267"/>
      <c r="BP305" s="267"/>
      <c r="BQ305" s="267"/>
      <c r="BR305" s="267"/>
      <c r="BS305" s="211"/>
      <c r="BT305" s="211"/>
      <c r="BU305" s="211"/>
      <c r="BV305" s="211"/>
      <c r="BW305" s="152"/>
    </row>
    <row r="306" spans="1:75" ht="15.75" customHeight="1" outlineLevel="1" x14ac:dyDescent="0.2">
      <c r="A306" s="47" t="s">
        <v>653</v>
      </c>
      <c r="B306" s="39"/>
      <c r="C306" s="40"/>
      <c r="D306" s="40"/>
      <c r="E306" s="40"/>
      <c r="F306" s="40"/>
      <c r="G306" s="41"/>
      <c r="H306" s="41"/>
      <c r="I306" s="41"/>
      <c r="J306" s="41">
        <f t="shared" ref="J306:J308" si="748">K306</f>
        <v>1.7999999999999999E-2</v>
      </c>
      <c r="K306" s="40">
        <f t="shared" ref="K306:K308" si="749">K18</f>
        <v>1.7999999999999999E-2</v>
      </c>
      <c r="L306" s="41"/>
      <c r="M306" s="41"/>
      <c r="N306" s="41"/>
      <c r="O306" s="41">
        <f t="shared" ref="O306:O308" si="750">P306</f>
        <v>2.5000000000000001E-2</v>
      </c>
      <c r="P306" s="40">
        <f t="shared" ref="P306:P308" si="751">P18</f>
        <v>2.5000000000000001E-2</v>
      </c>
      <c r="Q306" s="41"/>
      <c r="R306" s="41"/>
      <c r="S306" s="41"/>
      <c r="T306" s="41">
        <f t="shared" ref="T306:T308" si="752">U306</f>
        <v>0.03</v>
      </c>
      <c r="U306" s="40">
        <f t="shared" ref="U306:U308" si="753">U18</f>
        <v>0.03</v>
      </c>
      <c r="V306" s="41">
        <f>(Q$26*V18+O$26*T18+N$26*S18+M$26*R18)/(Q$26+O$26+N$26+M$26)</f>
        <v>2.718680737689905E-2</v>
      </c>
      <c r="W306" s="41">
        <f>(R$26*W18+Q$26*V18+O$26*T18+N$26*S18)/(R$26+Q$26+O$26+N$26)</f>
        <v>2.7234929101834768E-2</v>
      </c>
      <c r="X306" s="41">
        <f>(S$26*X18+R$26*W18+Q$26*V18+O$26*T18)/(S$26+R$26+Q$26+O$26)</f>
        <v>2.8251014625117143E-2</v>
      </c>
      <c r="Y306" s="41">
        <f t="shared" ref="Y306:Y308" si="754">Z306</f>
        <v>2.8000000000000001E-2</v>
      </c>
      <c r="Z306" s="40">
        <f t="shared" ref="Z306:Z308" si="755">Z18</f>
        <v>2.8000000000000001E-2</v>
      </c>
      <c r="AA306" s="41">
        <f t="shared" ref="AA306:AA308" si="756">(V$26*AA18+T$26*Y18+S$26*X18+R$26*W18)/(V$26+T$26+S$26+R$26)</f>
        <v>2.8962248948135764E-2</v>
      </c>
      <c r="AB306" s="41">
        <f t="shared" ref="AB306:AB308" si="757">(W$26*AB18+V$26*AA18+T$26*Y18+S$26*X18)/(W$26+V$26+T$26+S$26)</f>
        <v>2.6127382597209359E-2</v>
      </c>
      <c r="AC306" s="41">
        <f t="shared" ref="AC306:AC308" si="758">(X$26*AC18+W$26*AB18+V$26*AA18+T$26*Y18)/(X$26+W$26+V$26+T$26)</f>
        <v>2.3395961041510743E-2</v>
      </c>
      <c r="AD306" s="41">
        <f t="shared" ref="AD306:AD308" si="759">AE306</f>
        <v>2.1000000000000001E-2</v>
      </c>
      <c r="AE306" s="40">
        <f t="shared" ref="AE306:AE308" si="760">AE18</f>
        <v>2.1000000000000001E-2</v>
      </c>
      <c r="AF306" s="41">
        <f t="shared" ref="AF306:AF308" si="761">(AA$26*AF18+Y$26*AD18+X$26*AC18+W$26*AB18)/(AA$26+Y$26+X$26+W$26)</f>
        <v>2.1220368845055657E-2</v>
      </c>
      <c r="AG306" s="41">
        <f t="shared" ref="AG306:AG308" si="762">(AB$26*AG18+AA$26*AF18+Y$26*AD18+X$26*AC18)/(AB$26+AA$26+Y$26+X$26)</f>
        <v>2.518407482230562E-2</v>
      </c>
      <c r="AH306" s="41">
        <f t="shared" ref="AH306:AH308" si="763">(AC$26*AH18+AB$26*AG18+AA$26*AF18+Y$26*AD18)/(AC$26+AB$26+AA$26+Y$26)</f>
        <v>2.8836545355151011E-2</v>
      </c>
      <c r="AI306" s="41">
        <f t="shared" ref="AI306:AI308" si="764">AJ306</f>
        <v>3.3000000000000002E-2</v>
      </c>
      <c r="AJ306" s="40">
        <f t="shared" ref="AJ306:AJ308" si="765">AJ18</f>
        <v>3.3000000000000002E-2</v>
      </c>
      <c r="AK306" s="41">
        <f t="shared" ref="AK306:AK308" si="766">(AF$26*AK18+AD$26*AI18+AC$26*AH18+AB$26*AG18)/(AF$26+AD$26+AC$26+AB$26)</f>
        <v>3.577870502146778E-2</v>
      </c>
      <c r="AL306" s="41">
        <f t="shared" ref="AL306:AL308" si="767">(AG$26*AL18+AF$26*AK18+AD$26*AI18+AC$26*AH18)/(AG$26+AF$26+AD$26+AC$26)</f>
        <v>3.6543121912153018E-2</v>
      </c>
      <c r="AM306" s="41">
        <f t="shared" ref="AM306:AM308" si="768">(AH$26*AM18+AG$26*AL18+AF$26*AK18+AD$26*AI18)/(AH$26+AG$26+AF$26+AD$26)</f>
        <v>3.8021751359459961E-2</v>
      </c>
      <c r="AN306" s="41">
        <f t="shared" ref="AN306:AN308" si="769">AO306</f>
        <v>0.04</v>
      </c>
      <c r="AO306" s="40">
        <f t="shared" ref="AO306:AO308" si="770">AO18</f>
        <v>0.04</v>
      </c>
      <c r="AP306" s="41">
        <f t="shared" ref="AP306:AP308" si="771">(AK$26*AP18+AI$26*AN18+AH$26*AM18+AG$26*AL18)/(AK$26+AI$26+AH$26+AG$26)</f>
        <v>4.3533951502302104E-2</v>
      </c>
      <c r="AQ306" s="41">
        <f t="shared" ref="AQ306:AQ308" si="772">(AL$26*AQ18+AK$26*AP18+AI$26*AN18+AH$26*AM18)/(AL$26+AK$26+AI$26+AH$26)</f>
        <v>7.1581533981013787E-2</v>
      </c>
      <c r="AR306" s="41">
        <f t="shared" ref="AR306:AR308" si="773">(AM$26*AR18+AL$26*AQ18+AK$26*AP18+AI$26*AN18)/(AM$26+AL$26+AK$26+AI$26)</f>
        <v>0.1036589327649387</v>
      </c>
      <c r="AS306" s="41">
        <f t="shared" ref="AS306:AS308" si="774">AT306</f>
        <v>0.13300000000000001</v>
      </c>
      <c r="AT306" s="40">
        <f t="shared" ref="AT306:AT308" si="775">AT18</f>
        <v>0.13300000000000001</v>
      </c>
      <c r="AU306" s="41">
        <f t="shared" ref="AU306:AU308" si="776">(AP$26*AU18+AN$26*AS18+AM$26*AR18+AL$26*AQ18)/(AP$26+AN$26+AM$26+AL$26)</f>
        <v>0.17307907754975804</v>
      </c>
      <c r="AV306" s="41">
        <f t="shared" ref="AV306:AV308" si="777">(AQ$26*AV18+AP$26*AU18+AN$26*AS18+AM$26*AR18)/(AQ$26+AP$26+AN$26+AM$26)</f>
        <v>8.74923082377939E-2</v>
      </c>
      <c r="AW306" s="41">
        <f t="shared" ref="AW306:AW308" si="778">(AR$26*AW18+AQ$26*AV18+AP$26*AU18+AN$26*AS18)/(AR$26+AQ$26+AP$26+AN$26)</f>
        <v>5.2022246575897921E-2</v>
      </c>
      <c r="AX306" s="41">
        <f t="shared" ref="AX306:AX308" si="779">AY306</f>
        <v>2.5999999999999999E-2</v>
      </c>
      <c r="AY306" s="40">
        <f t="shared" ref="AY306:AY308" si="780">AY18</f>
        <v>2.5999999999999999E-2</v>
      </c>
      <c r="AZ306" s="41">
        <f t="shared" ref="AZ306:AZ308" si="781">(AU$26*AZ18+AS$26*AX18+AR$26*AW18+AQ$26*AV18)/(AU$26+AS$26+AR$26+AQ$26)</f>
        <v>3.5426023810506795E-2</v>
      </c>
      <c r="BA306" s="41">
        <f t="shared" ref="BA306:BA308" si="782">(AV$26*BA18+AU$26*AZ18+AS$26*AX18+AR$26*AW18)/(AV$26+AU$26+AS$26+AR$26)</f>
        <v>9.0496458908651725E-2</v>
      </c>
      <c r="BB306" s="41">
        <f t="shared" ref="BB306:BB308" si="783">(AW$26*BB18+AV$26*BA18+AU$26*AZ18+AS$26*AX18)/(AW$26+AV$26+AU$26+AS$26)</f>
        <v>7.588371475434548E-2</v>
      </c>
      <c r="BC306" s="41">
        <f t="shared" ref="BC306:BC308" si="784">BD306</f>
        <v>1.9999999999999948E-3</v>
      </c>
      <c r="BD306" s="40">
        <f t="shared" ref="BD306:BD308" si="785">BD18</f>
        <v>1.9999999999999948E-3</v>
      </c>
      <c r="BE306" s="41">
        <f t="shared" ref="BE306:BE308" si="786">(AZ$26*BE18+AX$26*BC18+AW$26*BB18+AV$26*BA18)/(AZ$26+AX$26+AW$26+AV$26)</f>
        <v>2.4147128341305994E-2</v>
      </c>
      <c r="BF306" s="41">
        <f t="shared" ref="BF306:BF308" si="787">(BA$26*BF18+AZ$26*BE18+AX$26*BC18+AW$26*BB18)/(BA$26+AZ$26+AX$26+AW$26)</f>
        <v>3.996720811997808E-2</v>
      </c>
      <c r="BG306" s="41">
        <f t="shared" ref="BG306:BG308" si="788">(BB$26*BG18+BA$26*BF18+AZ$26*BE18+AX$26*BC18)/(BB$26+BA$26+AZ$26+AX$26)</f>
        <v>4.5750956974256171E-2</v>
      </c>
      <c r="BH306" s="41">
        <f t="shared" ref="BH306:BH308" si="789">BI306</f>
        <v>0.04</v>
      </c>
      <c r="BI306" s="46">
        <f t="shared" ref="BI306:BI308" si="790">BI18</f>
        <v>0.04</v>
      </c>
      <c r="BJ306" s="41"/>
      <c r="BK306" s="41"/>
      <c r="BL306" s="41"/>
      <c r="BM306" s="41"/>
      <c r="BN306" s="40"/>
      <c r="BO306" s="41"/>
      <c r="BP306" s="41"/>
      <c r="BQ306" s="41"/>
      <c r="BR306" s="41"/>
      <c r="BS306" s="40"/>
      <c r="BT306" s="40"/>
      <c r="BU306" s="40"/>
      <c r="BV306" s="40"/>
      <c r="BW306" s="45"/>
    </row>
    <row r="307" spans="1:75" ht="15.75" customHeight="1" outlineLevel="1" x14ac:dyDescent="0.2">
      <c r="A307" s="47" t="s">
        <v>654</v>
      </c>
      <c r="B307" s="39"/>
      <c r="C307" s="40"/>
      <c r="D307" s="40"/>
      <c r="E307" s="40"/>
      <c r="F307" s="40"/>
      <c r="G307" s="41"/>
      <c r="H307" s="41"/>
      <c r="I307" s="41"/>
      <c r="J307" s="41">
        <f t="shared" si="748"/>
        <v>-7.0000000000000001E-3</v>
      </c>
      <c r="K307" s="40">
        <f t="shared" si="749"/>
        <v>-7.0000000000000001E-3</v>
      </c>
      <c r="L307" s="41"/>
      <c r="M307" s="41"/>
      <c r="N307" s="41"/>
      <c r="O307" s="41">
        <f t="shared" si="750"/>
        <v>-0.01</v>
      </c>
      <c r="P307" s="40">
        <f t="shared" si="751"/>
        <v>-0.01</v>
      </c>
      <c r="Q307" s="41"/>
      <c r="R307" s="41"/>
      <c r="S307" s="41"/>
      <c r="T307" s="41">
        <f t="shared" si="752"/>
        <v>-4.0000000000000001E-3</v>
      </c>
      <c r="U307" s="40">
        <f t="shared" si="753"/>
        <v>-4.0000000000000001E-3</v>
      </c>
      <c r="V307" s="41">
        <f>(Q$26*V19+O$26*T19+N$26*S19+M$26*R19)/(Q$26+O$26+N$26+M$26)</f>
        <v>-7.7075609880115289E-3</v>
      </c>
      <c r="W307" s="41">
        <f>(R$26*W19+Q$26*V19+O$26*T19+N$26*S19)/(R$26+Q$26+O$26+N$26)</f>
        <v>-1.4102769827357352E-2</v>
      </c>
      <c r="X307" s="41">
        <f>(S$26*X19+R$26*W19+Q$26*V19+O$26*T19)/(S$26+R$26+Q$26+O$26)</f>
        <v>-1.6267206775857513E-2</v>
      </c>
      <c r="Y307" s="41">
        <f t="shared" si="754"/>
        <v>-1.6E-2</v>
      </c>
      <c r="Z307" s="40">
        <f t="shared" si="755"/>
        <v>-1.6E-2</v>
      </c>
      <c r="AA307" s="41">
        <f t="shared" si="756"/>
        <v>-2.0545550484604751E-2</v>
      </c>
      <c r="AB307" s="41">
        <f t="shared" si="757"/>
        <v>-1.9861836438263267E-2</v>
      </c>
      <c r="AC307" s="41">
        <f t="shared" si="758"/>
        <v>-2.7170616297946936E-2</v>
      </c>
      <c r="AD307" s="41">
        <f t="shared" si="759"/>
        <v>-2.9000000000000001E-2</v>
      </c>
      <c r="AE307" s="40">
        <f t="shared" si="760"/>
        <v>-2.9000000000000001E-2</v>
      </c>
      <c r="AF307" s="41">
        <f t="shared" si="761"/>
        <v>-2.5267744481195741E-2</v>
      </c>
      <c r="AG307" s="41">
        <f t="shared" si="762"/>
        <v>-2.451787061682013E-2</v>
      </c>
      <c r="AH307" s="41">
        <f t="shared" si="763"/>
        <v>-1.8894906982494623E-2</v>
      </c>
      <c r="AI307" s="41">
        <f t="shared" si="764"/>
        <v>-1.6E-2</v>
      </c>
      <c r="AJ307" s="40">
        <f t="shared" si="765"/>
        <v>-1.6E-2</v>
      </c>
      <c r="AK307" s="41">
        <f t="shared" si="766"/>
        <v>-2.0559177384555202E-2</v>
      </c>
      <c r="AL307" s="41">
        <f t="shared" si="767"/>
        <v>-2.2366276067829198E-2</v>
      </c>
      <c r="AM307" s="41">
        <f t="shared" si="768"/>
        <v>-2.6577066611776019E-2</v>
      </c>
      <c r="AN307" s="41">
        <f t="shared" si="769"/>
        <v>-3.2000000000000001E-2</v>
      </c>
      <c r="AO307" s="40">
        <f t="shared" si="770"/>
        <v>-3.2000000000000001E-2</v>
      </c>
      <c r="AP307" s="41">
        <f t="shared" si="771"/>
        <v>-7.1440358483472147E-2</v>
      </c>
      <c r="AQ307" s="41">
        <f t="shared" si="772"/>
        <v>-0.24708196800959487</v>
      </c>
      <c r="AR307" s="41">
        <f t="shared" si="773"/>
        <v>-0.33730252893464308</v>
      </c>
      <c r="AS307" s="41">
        <f t="shared" si="774"/>
        <v>-0.41499999999999998</v>
      </c>
      <c r="AT307" s="40">
        <f t="shared" si="775"/>
        <v>-0.41499999999999998</v>
      </c>
      <c r="AU307" s="41">
        <f t="shared" si="776"/>
        <v>-0.4235842413620482</v>
      </c>
      <c r="AV307" s="41">
        <f t="shared" si="777"/>
        <v>-7.8549725711056836E-3</v>
      </c>
      <c r="AW307" s="41">
        <f t="shared" si="778"/>
        <v>0.22543882906957921</v>
      </c>
      <c r="AX307" s="41">
        <f t="shared" si="779"/>
        <v>0.41399999999999998</v>
      </c>
      <c r="AY307" s="40">
        <f t="shared" si="780"/>
        <v>0.41399999999999998</v>
      </c>
      <c r="AZ307" s="41">
        <f t="shared" si="781"/>
        <v>0.47420648609283456</v>
      </c>
      <c r="BA307" s="41">
        <f t="shared" si="782"/>
        <v>0.15433466690059394</v>
      </c>
      <c r="BB307" s="41">
        <f t="shared" si="783"/>
        <v>5.8228564855596861E-2</v>
      </c>
      <c r="BC307" s="41">
        <f t="shared" si="784"/>
        <v>6.8000000000000005E-2</v>
      </c>
      <c r="BD307" s="40">
        <f t="shared" si="785"/>
        <v>6.8000000000000005E-2</v>
      </c>
      <c r="BE307" s="41">
        <f t="shared" si="786"/>
        <v>1.4783504712064466E-2</v>
      </c>
      <c r="BF307" s="41">
        <f t="shared" si="787"/>
        <v>-9.3356940494092565E-3</v>
      </c>
      <c r="BG307" s="41">
        <f t="shared" si="788"/>
        <v>-1.2000945741357745E-2</v>
      </c>
      <c r="BH307" s="41">
        <f t="shared" si="789"/>
        <v>-0.01</v>
      </c>
      <c r="BI307" s="46">
        <f t="shared" si="790"/>
        <v>-0.01</v>
      </c>
      <c r="BJ307" s="41"/>
      <c r="BK307" s="41"/>
      <c r="BL307" s="41"/>
      <c r="BM307" s="41"/>
      <c r="BN307" s="40"/>
      <c r="BO307" s="41"/>
      <c r="BP307" s="41"/>
      <c r="BQ307" s="41"/>
      <c r="BR307" s="41"/>
      <c r="BS307" s="40"/>
      <c r="BT307" s="40"/>
      <c r="BU307" s="40"/>
      <c r="BV307" s="40"/>
      <c r="BW307" s="45"/>
    </row>
    <row r="308" spans="1:75" ht="15.75" customHeight="1" outlineLevel="1" x14ac:dyDescent="0.2">
      <c r="A308" s="200" t="s">
        <v>655</v>
      </c>
      <c r="B308" s="60"/>
      <c r="C308" s="61">
        <f t="shared" ref="C308:F308" si="791">C20</f>
        <v>-2.3E-2</v>
      </c>
      <c r="D308" s="61">
        <f t="shared" si="791"/>
        <v>0.02</v>
      </c>
      <c r="E308" s="61">
        <f t="shared" si="791"/>
        <v>0.02</v>
      </c>
      <c r="F308" s="61">
        <f t="shared" si="791"/>
        <v>2.1999999999999999E-2</v>
      </c>
      <c r="G308" s="63"/>
      <c r="H308" s="63"/>
      <c r="I308" s="63"/>
      <c r="J308" s="63">
        <f t="shared" si="748"/>
        <v>1.0999999999999999E-2</v>
      </c>
      <c r="K308" s="61">
        <f t="shared" si="749"/>
        <v>1.0999999999999999E-2</v>
      </c>
      <c r="L308" s="63"/>
      <c r="M308" s="63"/>
      <c r="N308" s="63"/>
      <c r="O308" s="63">
        <f t="shared" si="750"/>
        <v>1.4999999999999999E-2</v>
      </c>
      <c r="P308" s="61">
        <f t="shared" si="751"/>
        <v>1.4999999999999999E-2</v>
      </c>
      <c r="Q308" s="63">
        <f>(L$26*Q20+J$26*O20+I$26*N20+H$26*M20)/(L$26+J$26+I$26+H$26)</f>
        <v>2.3126501453485826E-2</v>
      </c>
      <c r="R308" s="63">
        <f>(M$26*R20+L$26*Q20+J$26*O20+I$26*N20)/(M$26+L$26+J$26+I$26)</f>
        <v>2.6377587852993618E-2</v>
      </c>
      <c r="S308" s="63">
        <f>(N$26*S20+M$26*R20+L$26*Q20+J$26*O20)/(N$26+M$26+L$26+J$26)</f>
        <v>2.6545763388723376E-2</v>
      </c>
      <c r="T308" s="63">
        <f t="shared" si="752"/>
        <v>2.5999999999999999E-2</v>
      </c>
      <c r="U308" s="61">
        <f t="shared" si="753"/>
        <v>2.5999999999999999E-2</v>
      </c>
      <c r="V308" s="63">
        <f>(Q$26*V20+O$26*T20+N$26*S20+M$26*R20)/(Q$26+O$26+N$26+M$26)</f>
        <v>1.9479246388887525E-2</v>
      </c>
      <c r="W308" s="63">
        <f>(R$26*W20+Q$26*V20+O$26*T20+N$26*S20)/(R$26+Q$26+O$26+N$26)</f>
        <v>1.3132159274477412E-2</v>
      </c>
      <c r="X308" s="63">
        <f>(S$26*X20+R$26*W20+Q$26*V20+O$26*T20)/(S$26+R$26+Q$26+O$26)</f>
        <v>1.198380784925963E-2</v>
      </c>
      <c r="Y308" s="63">
        <f t="shared" si="754"/>
        <v>1.2E-2</v>
      </c>
      <c r="Z308" s="61">
        <f t="shared" si="755"/>
        <v>1.2E-2</v>
      </c>
      <c r="AA308" s="63">
        <f t="shared" si="756"/>
        <v>8.416698463531009E-3</v>
      </c>
      <c r="AB308" s="63">
        <f t="shared" si="757"/>
        <v>6.2655461589460962E-3</v>
      </c>
      <c r="AC308" s="63">
        <f t="shared" si="758"/>
        <v>-3.7746552564361931E-3</v>
      </c>
      <c r="AD308" s="63">
        <f t="shared" si="759"/>
        <v>-8.0000000000000002E-3</v>
      </c>
      <c r="AE308" s="61">
        <f t="shared" si="760"/>
        <v>-8.0000000000000002E-3</v>
      </c>
      <c r="AF308" s="63">
        <f t="shared" si="761"/>
        <v>-4.0473756361400865E-3</v>
      </c>
      <c r="AG308" s="63">
        <f t="shared" si="762"/>
        <v>6.6620420548548778E-4</v>
      </c>
      <c r="AH308" s="63">
        <f t="shared" si="763"/>
        <v>9.9416383726563893E-3</v>
      </c>
      <c r="AI308" s="63">
        <f t="shared" si="764"/>
        <v>1.7000000000000001E-2</v>
      </c>
      <c r="AJ308" s="61">
        <f t="shared" si="765"/>
        <v>1.7000000000000001E-2</v>
      </c>
      <c r="AK308" s="63">
        <f t="shared" si="766"/>
        <v>1.5219527636912575E-2</v>
      </c>
      <c r="AL308" s="63">
        <f t="shared" si="767"/>
        <v>1.4176845844323821E-2</v>
      </c>
      <c r="AM308" s="63">
        <f t="shared" si="768"/>
        <v>1.1444684747683948E-2</v>
      </c>
      <c r="AN308" s="63">
        <f t="shared" si="769"/>
        <v>8.0000000000000002E-3</v>
      </c>
      <c r="AO308" s="61">
        <f t="shared" si="770"/>
        <v>8.0000000000000002E-3</v>
      </c>
      <c r="AP308" s="63">
        <f t="shared" si="771"/>
        <v>-2.790640698117005E-2</v>
      </c>
      <c r="AQ308" s="63">
        <f t="shared" si="772"/>
        <v>-0.17550043402858109</v>
      </c>
      <c r="AR308" s="63">
        <f t="shared" si="773"/>
        <v>-0.23364359616970443</v>
      </c>
      <c r="AS308" s="63">
        <f t="shared" si="774"/>
        <v>-0.28199999999999997</v>
      </c>
      <c r="AT308" s="61">
        <f t="shared" si="775"/>
        <v>-0.28199999999999997</v>
      </c>
      <c r="AU308" s="63">
        <f t="shared" si="776"/>
        <v>-0.25050516381229015</v>
      </c>
      <c r="AV308" s="63">
        <f t="shared" si="777"/>
        <v>7.9637335666688236E-2</v>
      </c>
      <c r="AW308" s="63">
        <f t="shared" si="778"/>
        <v>0.27746107564547717</v>
      </c>
      <c r="AX308" s="63">
        <f t="shared" si="779"/>
        <v>0.44</v>
      </c>
      <c r="AY308" s="61">
        <f t="shared" si="780"/>
        <v>0.44</v>
      </c>
      <c r="AZ308" s="63">
        <f t="shared" si="781"/>
        <v>0.5096325099033413</v>
      </c>
      <c r="BA308" s="63">
        <f t="shared" si="782"/>
        <v>0.24483112580924568</v>
      </c>
      <c r="BB308" s="63">
        <f t="shared" si="783"/>
        <v>0.13411227960994235</v>
      </c>
      <c r="BC308" s="63">
        <f t="shared" si="784"/>
        <v>7.0000000000000007E-2</v>
      </c>
      <c r="BD308" s="61">
        <f t="shared" si="785"/>
        <v>7.0000000000000007E-2</v>
      </c>
      <c r="BE308" s="63">
        <f t="shared" si="786"/>
        <v>3.893063305337046E-2</v>
      </c>
      <c r="BF308" s="63">
        <f t="shared" si="787"/>
        <v>3.0631514070568824E-2</v>
      </c>
      <c r="BG308" s="63">
        <f t="shared" si="788"/>
        <v>3.3750011232898419E-2</v>
      </c>
      <c r="BH308" s="63">
        <f t="shared" si="789"/>
        <v>0.03</v>
      </c>
      <c r="BI308" s="277">
        <f t="shared" si="790"/>
        <v>0.03</v>
      </c>
      <c r="BJ308" s="63"/>
      <c r="BK308" s="63"/>
      <c r="BL308" s="63"/>
      <c r="BM308" s="63"/>
      <c r="BN308" s="61"/>
      <c r="BO308" s="63"/>
      <c r="BP308" s="63"/>
      <c r="BQ308" s="63"/>
      <c r="BR308" s="63"/>
      <c r="BS308" s="61"/>
      <c r="BT308" s="61"/>
      <c r="BU308" s="61"/>
      <c r="BV308" s="61"/>
      <c r="BW308" s="37"/>
    </row>
    <row r="309" spans="1:75" ht="15.75" customHeight="1" outlineLevel="1" x14ac:dyDescent="0.2">
      <c r="A309" s="47"/>
      <c r="B309" s="39"/>
      <c r="C309" s="40"/>
      <c r="D309" s="40"/>
      <c r="E309" s="40"/>
      <c r="F309" s="40"/>
      <c r="G309" s="41"/>
      <c r="H309" s="41"/>
      <c r="I309" s="41"/>
      <c r="J309" s="41"/>
      <c r="K309" s="40"/>
      <c r="L309" s="41"/>
      <c r="M309" s="41"/>
      <c r="N309" s="41"/>
      <c r="O309" s="41"/>
      <c r="P309" s="40"/>
      <c r="Q309" s="41"/>
      <c r="R309" s="41"/>
      <c r="S309" s="41"/>
      <c r="T309" s="41"/>
      <c r="U309" s="40"/>
      <c r="V309" s="41"/>
      <c r="W309" s="41"/>
      <c r="X309" s="41"/>
      <c r="Y309" s="41"/>
      <c r="Z309" s="40"/>
      <c r="AA309" s="41"/>
      <c r="AB309" s="41"/>
      <c r="AC309" s="41"/>
      <c r="AD309" s="41"/>
      <c r="AE309" s="40"/>
      <c r="AF309" s="41"/>
      <c r="AG309" s="41"/>
      <c r="AH309" s="41"/>
      <c r="AI309" s="41"/>
      <c r="AJ309" s="40"/>
      <c r="AK309" s="41"/>
      <c r="AL309" s="41"/>
      <c r="AM309" s="41"/>
      <c r="AN309" s="41"/>
      <c r="AO309" s="40"/>
      <c r="AP309" s="41"/>
      <c r="AQ309" s="41"/>
      <c r="AR309" s="41"/>
      <c r="AS309" s="41"/>
      <c r="AT309" s="40"/>
      <c r="AU309" s="41"/>
      <c r="AV309" s="41"/>
      <c r="AW309" s="41"/>
      <c r="AX309" s="41"/>
      <c r="AY309" s="40"/>
      <c r="AZ309" s="41"/>
      <c r="BA309" s="41"/>
      <c r="BB309" s="41"/>
      <c r="BC309" s="41"/>
      <c r="BD309" s="40"/>
      <c r="BE309" s="41"/>
      <c r="BF309" s="41"/>
      <c r="BG309" s="41"/>
      <c r="BH309" s="41"/>
      <c r="BI309" s="46"/>
      <c r="BJ309" s="41"/>
      <c r="BK309" s="41"/>
      <c r="BL309" s="41"/>
      <c r="BM309" s="41"/>
      <c r="BN309" s="40"/>
      <c r="BO309" s="41"/>
      <c r="BP309" s="41"/>
      <c r="BQ309" s="41"/>
      <c r="BR309" s="41"/>
      <c r="BS309" s="40"/>
      <c r="BT309" s="40"/>
      <c r="BU309" s="40"/>
      <c r="BV309" s="40"/>
      <c r="BW309" s="45"/>
    </row>
    <row r="310" spans="1:75" ht="15.75" customHeight="1" outlineLevel="1" x14ac:dyDescent="0.2">
      <c r="A310" s="47" t="s">
        <v>656</v>
      </c>
      <c r="B310" s="39"/>
      <c r="C310" s="40"/>
      <c r="D310" s="40"/>
      <c r="E310" s="40"/>
      <c r="F310" s="40"/>
      <c r="G310" s="41"/>
      <c r="H310" s="41"/>
      <c r="I310" s="41"/>
      <c r="J310" s="41"/>
      <c r="K310" s="40"/>
      <c r="L310" s="41"/>
      <c r="M310" s="41"/>
      <c r="N310" s="41"/>
      <c r="O310" s="41"/>
      <c r="P310" s="40"/>
      <c r="Q310" s="41"/>
      <c r="R310" s="41"/>
      <c r="S310" s="41"/>
      <c r="T310" s="41"/>
      <c r="U310" s="40"/>
      <c r="V310" s="41"/>
      <c r="W310" s="41"/>
      <c r="X310" s="41"/>
      <c r="Y310" s="41">
        <f t="shared" ref="Y310:BI310" si="792">Y286/T286-1</f>
        <v>9.5524654829377553E-2</v>
      </c>
      <c r="Z310" s="40">
        <f t="shared" si="792"/>
        <v>9.5524654829377553E-2</v>
      </c>
      <c r="AA310" s="41">
        <f t="shared" si="792"/>
        <v>8.3281017419308379E-2</v>
      </c>
      <c r="AB310" s="41">
        <f t="shared" si="792"/>
        <v>7.309414592866692E-2</v>
      </c>
      <c r="AC310" s="41">
        <f t="shared" si="792"/>
        <v>5.6167671474236736E-2</v>
      </c>
      <c r="AD310" s="41">
        <f t="shared" si="792"/>
        <v>6.720167130802146E-3</v>
      </c>
      <c r="AE310" s="40">
        <f t="shared" si="792"/>
        <v>6.720167130802146E-3</v>
      </c>
      <c r="AF310" s="41">
        <f t="shared" si="792"/>
        <v>1.5009988549951947E-2</v>
      </c>
      <c r="AG310" s="41">
        <f t="shared" si="792"/>
        <v>2.2046391987643243E-2</v>
      </c>
      <c r="AH310" s="41">
        <f t="shared" si="792"/>
        <v>3.3027879581892794E-2</v>
      </c>
      <c r="AI310" s="41">
        <f t="shared" si="792"/>
        <v>4.3663304727603824E-2</v>
      </c>
      <c r="AJ310" s="40">
        <f t="shared" si="792"/>
        <v>4.3663304727603824E-2</v>
      </c>
      <c r="AK310" s="41">
        <f t="shared" si="792"/>
        <v>3.7302538875919389E-2</v>
      </c>
      <c r="AL310" s="41">
        <f t="shared" si="792"/>
        <v>2.6730759706426133E-2</v>
      </c>
      <c r="AM310" s="41">
        <f t="shared" si="792"/>
        <v>1.7441555965414635E-2</v>
      </c>
      <c r="AN310" s="41">
        <f t="shared" si="792"/>
        <v>6.4673691176000192E-2</v>
      </c>
      <c r="AO310" s="40">
        <f t="shared" si="792"/>
        <v>6.4673691176000192E-2</v>
      </c>
      <c r="AP310" s="41">
        <f t="shared" si="792"/>
        <v>6.2335286215076335E-2</v>
      </c>
      <c r="AQ310" s="41">
        <f t="shared" si="792"/>
        <v>-7.4488497956490707E-2</v>
      </c>
      <c r="AR310" s="41">
        <f t="shared" si="792"/>
        <v>-0.10948491703227559</v>
      </c>
      <c r="AS310" s="41">
        <f t="shared" si="792"/>
        <v>-0.20616043422994035</v>
      </c>
      <c r="AT310" s="40">
        <f t="shared" si="792"/>
        <v>-0.20616043422994035</v>
      </c>
      <c r="AU310" s="41">
        <f t="shared" si="792"/>
        <v>-0.20757179007981263</v>
      </c>
      <c r="AV310" s="41">
        <f t="shared" si="792"/>
        <v>0.1283170883795588</v>
      </c>
      <c r="AW310" s="41">
        <f t="shared" si="792"/>
        <v>0.28576905289197696</v>
      </c>
      <c r="AX310" s="41">
        <f t="shared" si="792"/>
        <v>0.49644258674749975</v>
      </c>
      <c r="AY310" s="40">
        <f t="shared" si="792"/>
        <v>0.49644258674749975</v>
      </c>
      <c r="AZ310" s="41">
        <f t="shared" si="792"/>
        <v>0.57441630972517865</v>
      </c>
      <c r="BA310" s="41">
        <f t="shared" si="792"/>
        <v>0.29065683794660657</v>
      </c>
      <c r="BB310" s="41">
        <f t="shared" si="792"/>
        <v>0.18331005112517618</v>
      </c>
      <c r="BC310" s="41">
        <f t="shared" si="792"/>
        <v>0.1306291019366943</v>
      </c>
      <c r="BD310" s="40">
        <f t="shared" si="792"/>
        <v>0.1306291019366943</v>
      </c>
      <c r="BE310" s="41">
        <f t="shared" si="792"/>
        <v>9.201749740121179E-2</v>
      </c>
      <c r="BF310" s="41">
        <f t="shared" si="792"/>
        <v>8.0534363692329691E-2</v>
      </c>
      <c r="BG310" s="41">
        <f t="shared" si="792"/>
        <v>8.561257183942228E-2</v>
      </c>
      <c r="BH310" s="41">
        <f t="shared" si="792"/>
        <v>4.2411240428330332E-2</v>
      </c>
      <c r="BI310" s="46">
        <f t="shared" si="792"/>
        <v>4.2411240428330332E-2</v>
      </c>
      <c r="BJ310" s="41"/>
      <c r="BK310" s="41"/>
      <c r="BL310" s="41"/>
      <c r="BM310" s="41"/>
      <c r="BN310" s="40"/>
      <c r="BO310" s="41"/>
      <c r="BP310" s="41"/>
      <c r="BQ310" s="41"/>
      <c r="BR310" s="41"/>
      <c r="BS310" s="40"/>
      <c r="BT310" s="40"/>
      <c r="BU310" s="40"/>
      <c r="BV310" s="40"/>
      <c r="BW310" s="45"/>
    </row>
    <row r="311" spans="1:75" ht="15.75" customHeight="1" x14ac:dyDescent="0.2">
      <c r="A311" s="254"/>
      <c r="B311" s="242"/>
      <c r="C311" s="243"/>
      <c r="D311" s="243"/>
      <c r="E311" s="243"/>
      <c r="F311" s="243"/>
      <c r="G311" s="245"/>
      <c r="H311" s="245"/>
      <c r="I311" s="245"/>
      <c r="J311" s="245"/>
      <c r="K311" s="243"/>
      <c r="L311" s="245"/>
      <c r="M311" s="245"/>
      <c r="N311" s="245"/>
      <c r="O311" s="245"/>
      <c r="P311" s="243"/>
      <c r="Q311" s="245"/>
      <c r="R311" s="245"/>
      <c r="S311" s="245"/>
      <c r="T311" s="245"/>
      <c r="U311" s="243"/>
      <c r="V311" s="245"/>
      <c r="W311" s="245"/>
      <c r="X311" s="245"/>
      <c r="Y311" s="245"/>
      <c r="Z311" s="243"/>
      <c r="AA311" s="245"/>
      <c r="AB311" s="245"/>
      <c r="AC311" s="245"/>
      <c r="AD311" s="245"/>
      <c r="AE311" s="243"/>
      <c r="AF311" s="245"/>
      <c r="AG311" s="245"/>
      <c r="AH311" s="245"/>
      <c r="AI311" s="245"/>
      <c r="AJ311" s="243"/>
      <c r="AK311" s="245"/>
      <c r="AL311" s="245"/>
      <c r="AM311" s="245"/>
      <c r="AN311" s="245"/>
      <c r="AO311" s="243"/>
      <c r="AP311" s="245"/>
      <c r="AQ311" s="245"/>
      <c r="AR311" s="245"/>
      <c r="AS311" s="245"/>
      <c r="AT311" s="243"/>
      <c r="AU311" s="245"/>
      <c r="AV311" s="245"/>
      <c r="AW311" s="245"/>
      <c r="AX311" s="245"/>
      <c r="AY311" s="243"/>
      <c r="AZ311" s="245"/>
      <c r="BA311" s="245"/>
      <c r="BB311" s="245"/>
      <c r="BC311" s="245"/>
      <c r="BD311" s="243"/>
      <c r="BE311" s="245"/>
      <c r="BF311" s="245"/>
      <c r="BG311" s="245"/>
      <c r="BH311" s="245"/>
      <c r="BI311" s="255"/>
      <c r="BJ311" s="245"/>
      <c r="BK311" s="245"/>
      <c r="BL311" s="245"/>
      <c r="BM311" s="245"/>
      <c r="BN311" s="243"/>
      <c r="BO311" s="245"/>
      <c r="BP311" s="245"/>
      <c r="BQ311" s="245"/>
      <c r="BR311" s="245"/>
      <c r="BS311" s="243"/>
      <c r="BT311" s="243"/>
      <c r="BU311" s="243"/>
      <c r="BV311" s="243"/>
      <c r="BW311" s="247"/>
    </row>
    <row r="312" spans="1:75" ht="15.75" customHeight="1" x14ac:dyDescent="0.2">
      <c r="A312" s="35" t="s">
        <v>657</v>
      </c>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6"/>
      <c r="BJ312" s="35"/>
      <c r="BK312" s="35"/>
      <c r="BL312" s="35"/>
      <c r="BM312" s="35"/>
      <c r="BN312" s="35"/>
      <c r="BO312" s="35"/>
      <c r="BP312" s="35"/>
      <c r="BQ312" s="35"/>
      <c r="BR312" s="35"/>
      <c r="BS312" s="35"/>
      <c r="BT312" s="35"/>
      <c r="BU312" s="35"/>
      <c r="BV312" s="35"/>
      <c r="BW312" s="37"/>
    </row>
    <row r="313" spans="1:75" ht="15.75" customHeight="1" x14ac:dyDescent="0.2">
      <c r="A313" s="47" t="s">
        <v>658</v>
      </c>
      <c r="B313" s="39"/>
      <c r="C313" s="40"/>
      <c r="D313" s="40"/>
      <c r="E313" s="40"/>
      <c r="F313" s="40">
        <f t="shared" ref="F313:BI315" si="793">F36/F$380</f>
        <v>0.28049974296262831</v>
      </c>
      <c r="G313" s="41">
        <f t="shared" si="793"/>
        <v>0.27703968721442929</v>
      </c>
      <c r="H313" s="41">
        <f t="shared" si="793"/>
        <v>0.26585460579740844</v>
      </c>
      <c r="I313" s="41">
        <f t="shared" si="793"/>
        <v>0.26448890101721073</v>
      </c>
      <c r="J313" s="41">
        <f t="shared" si="793"/>
        <v>0.27261981971820398</v>
      </c>
      <c r="K313" s="40">
        <f t="shared" si="793"/>
        <v>0.26994981149691122</v>
      </c>
      <c r="L313" s="41">
        <f t="shared" si="793"/>
        <v>0.27338607348501853</v>
      </c>
      <c r="M313" s="41">
        <f t="shared" si="793"/>
        <v>0.26728526051380652</v>
      </c>
      <c r="N313" s="41">
        <f t="shared" si="793"/>
        <v>0.27302645337254633</v>
      </c>
      <c r="O313" s="41">
        <f t="shared" si="793"/>
        <v>0.28026372748160233</v>
      </c>
      <c r="P313" s="40">
        <f t="shared" si="793"/>
        <v>0.27348677707893143</v>
      </c>
      <c r="Q313" s="41">
        <f t="shared" si="793"/>
        <v>0.25123937146196595</v>
      </c>
      <c r="R313" s="41">
        <f t="shared" si="793"/>
        <v>0.24613335914440987</v>
      </c>
      <c r="S313" s="41">
        <f t="shared" si="793"/>
        <v>0.24481522987399862</v>
      </c>
      <c r="T313" s="41">
        <f t="shared" si="793"/>
        <v>0.24631116196616853</v>
      </c>
      <c r="U313" s="40">
        <f t="shared" si="793"/>
        <v>0.24710764073717062</v>
      </c>
      <c r="V313" s="41">
        <f t="shared" si="793"/>
        <v>0.24216539360878606</v>
      </c>
      <c r="W313" s="41">
        <f t="shared" si="793"/>
        <v>0.2331389144539899</v>
      </c>
      <c r="X313" s="41">
        <f t="shared" si="793"/>
        <v>0.23687791732466626</v>
      </c>
      <c r="Y313" s="41">
        <f t="shared" si="793"/>
        <v>0.24047734034594687</v>
      </c>
      <c r="Z313" s="40">
        <f t="shared" si="793"/>
        <v>0.23819700547218894</v>
      </c>
      <c r="AA313" s="41">
        <f t="shared" si="793"/>
        <v>0.23572973518339474</v>
      </c>
      <c r="AB313" s="41">
        <f t="shared" si="793"/>
        <v>0.23273825445752577</v>
      </c>
      <c r="AC313" s="41">
        <f t="shared" si="793"/>
        <v>0.23645847865318304</v>
      </c>
      <c r="AD313" s="41">
        <f t="shared" si="793"/>
        <v>0.24347802437150104</v>
      </c>
      <c r="AE313" s="40">
        <f t="shared" si="793"/>
        <v>0.23710029742517796</v>
      </c>
      <c r="AF313" s="41">
        <f t="shared" si="793"/>
        <v>0.23655730374915548</v>
      </c>
      <c r="AG313" s="41">
        <f t="shared" si="793"/>
        <v>0.2311819954570275</v>
      </c>
      <c r="AH313" s="41">
        <f t="shared" si="793"/>
        <v>0.23738360514793874</v>
      </c>
      <c r="AI313" s="41">
        <f t="shared" si="793"/>
        <v>0.23862638868814082</v>
      </c>
      <c r="AJ313" s="40">
        <f t="shared" si="793"/>
        <v>0.23580589122571835</v>
      </c>
      <c r="AK313" s="41">
        <f t="shared" si="793"/>
        <v>0.23391236435302873</v>
      </c>
      <c r="AL313" s="41">
        <f t="shared" si="793"/>
        <v>0.22955167938514934</v>
      </c>
      <c r="AM313" s="41">
        <f t="shared" si="793"/>
        <v>0.23411023506874049</v>
      </c>
      <c r="AN313" s="41">
        <f t="shared" si="793"/>
        <v>0.23643301454814777</v>
      </c>
      <c r="AO313" s="40">
        <f t="shared" si="793"/>
        <v>0.23359854097116239</v>
      </c>
      <c r="AP313" s="41">
        <f t="shared" si="793"/>
        <v>0.23627249837426501</v>
      </c>
      <c r="AQ313" s="41">
        <f t="shared" si="793"/>
        <v>0.258857878338772</v>
      </c>
      <c r="AR313" s="41">
        <f t="shared" si="793"/>
        <v>0.23824425410844788</v>
      </c>
      <c r="AS313" s="41">
        <f t="shared" si="793"/>
        <v>0.24015659202202699</v>
      </c>
      <c r="AT313" s="40">
        <f t="shared" si="793"/>
        <v>0.24118137446926211</v>
      </c>
      <c r="AU313" s="41">
        <f t="shared" si="793"/>
        <v>0.22440847851639562</v>
      </c>
      <c r="AV313" s="41">
        <f t="shared" si="793"/>
        <v>0.22616609287213593</v>
      </c>
      <c r="AW313" s="41">
        <f t="shared" si="793"/>
        <v>0.23172143788257929</v>
      </c>
      <c r="AX313" s="41">
        <f t="shared" si="793"/>
        <v>0.23768778651567646</v>
      </c>
      <c r="AY313" s="40">
        <f t="shared" si="793"/>
        <v>0.23028042699547246</v>
      </c>
      <c r="AZ313" s="41">
        <f t="shared" si="793"/>
        <v>0.24489961701400931</v>
      </c>
      <c r="BA313" s="41">
        <f t="shared" si="793"/>
        <v>0.25219081726376075</v>
      </c>
      <c r="BB313" s="41">
        <f t="shared" si="793"/>
        <v>0.26020230749216511</v>
      </c>
      <c r="BC313" s="41">
        <f t="shared" si="793"/>
        <v>0.25423989265910152</v>
      </c>
      <c r="BD313" s="40">
        <f t="shared" si="793"/>
        <v>0.25289379569270526</v>
      </c>
      <c r="BE313" s="41">
        <f t="shared" si="793"/>
        <v>0.24521249870317854</v>
      </c>
      <c r="BF313" s="41">
        <f t="shared" si="793"/>
        <v>0.23874269671415357</v>
      </c>
      <c r="BG313" s="41">
        <f t="shared" si="793"/>
        <v>0.24178962506705778</v>
      </c>
      <c r="BH313" s="41">
        <f t="shared" si="793"/>
        <v>0.23681064402212545</v>
      </c>
      <c r="BI313" s="46">
        <f t="shared" si="793"/>
        <v>0.24061476112975277</v>
      </c>
      <c r="BJ313" s="41">
        <f t="shared" ref="BJ313:BM315" si="794">BE313-BJ319</f>
        <v>0.24521249870317854</v>
      </c>
      <c r="BK313" s="41">
        <f t="shared" si="794"/>
        <v>0.22874269671415356</v>
      </c>
      <c r="BL313" s="41">
        <f t="shared" si="794"/>
        <v>0.23178962506705778</v>
      </c>
      <c r="BM313" s="41">
        <f t="shared" si="794"/>
        <v>0.22681064402212545</v>
      </c>
      <c r="BN313" s="40">
        <f t="shared" ref="BN313:BN315" si="795">BN36/BN$380</f>
        <v>0.23306486197300386</v>
      </c>
      <c r="BO313" s="41">
        <f t="shared" ref="BO313:BR315" si="796">BJ313-BO319</f>
        <v>0.24521249870317854</v>
      </c>
      <c r="BP313" s="41">
        <f t="shared" si="796"/>
        <v>0.22874269671415356</v>
      </c>
      <c r="BQ313" s="41">
        <f t="shared" si="796"/>
        <v>0.23178962506705778</v>
      </c>
      <c r="BR313" s="41">
        <f t="shared" si="796"/>
        <v>0.22681064402212545</v>
      </c>
      <c r="BS313" s="40">
        <f t="shared" ref="BS313:BS315" si="797">BS36/BS$380</f>
        <v>0.23306415482927834</v>
      </c>
      <c r="BT313" s="40">
        <f t="shared" ref="BT313:BV315" si="798">BS313-BT319</f>
        <v>0.23306415482927834</v>
      </c>
      <c r="BU313" s="40">
        <f t="shared" si="798"/>
        <v>0.23306415482927834</v>
      </c>
      <c r="BV313" s="40">
        <f t="shared" si="798"/>
        <v>0.23306415482927834</v>
      </c>
      <c r="BW313" s="45"/>
    </row>
    <row r="314" spans="1:75" ht="15.75" customHeight="1" x14ac:dyDescent="0.2">
      <c r="A314" s="47" t="s">
        <v>659</v>
      </c>
      <c r="B314" s="39"/>
      <c r="C314" s="40"/>
      <c r="D314" s="40"/>
      <c r="E314" s="40"/>
      <c r="F314" s="40">
        <f t="shared" si="793"/>
        <v>0.36152976181203555</v>
      </c>
      <c r="G314" s="41">
        <f t="shared" si="793"/>
        <v>0.36597414622676955</v>
      </c>
      <c r="H314" s="41">
        <f t="shared" si="793"/>
        <v>0.35580505831538561</v>
      </c>
      <c r="I314" s="41">
        <f t="shared" si="793"/>
        <v>0.35501218582680127</v>
      </c>
      <c r="J314" s="41">
        <f t="shared" si="793"/>
        <v>0.35251294776715641</v>
      </c>
      <c r="K314" s="40">
        <f t="shared" si="793"/>
        <v>0.35726074562390847</v>
      </c>
      <c r="L314" s="41">
        <f t="shared" si="793"/>
        <v>0.36520340993939615</v>
      </c>
      <c r="M314" s="41">
        <f t="shared" si="793"/>
        <v>0.35613152170542289</v>
      </c>
      <c r="N314" s="41">
        <f t="shared" si="793"/>
        <v>0.35943082433173146</v>
      </c>
      <c r="O314" s="41">
        <f t="shared" si="793"/>
        <v>0.36095146126780109</v>
      </c>
      <c r="P314" s="40">
        <f t="shared" si="793"/>
        <v>0.3603879080497725</v>
      </c>
      <c r="Q314" s="41">
        <f t="shared" si="793"/>
        <v>0.33965494561157911</v>
      </c>
      <c r="R314" s="41">
        <f t="shared" si="793"/>
        <v>0.32752533385749305</v>
      </c>
      <c r="S314" s="41">
        <f t="shared" si="793"/>
        <v>0.33544003723215665</v>
      </c>
      <c r="T314" s="41">
        <f t="shared" si="793"/>
        <v>0.34047883243788579</v>
      </c>
      <c r="U314" s="40">
        <f t="shared" si="793"/>
        <v>0.33574077847264888</v>
      </c>
      <c r="V314" s="41">
        <f t="shared" si="793"/>
        <v>0.34380141655096996</v>
      </c>
      <c r="W314" s="41">
        <f t="shared" si="793"/>
        <v>0.34017860985667969</v>
      </c>
      <c r="X314" s="41">
        <f t="shared" si="793"/>
        <v>0.34301683044995274</v>
      </c>
      <c r="Y314" s="41">
        <f t="shared" si="793"/>
        <v>0.34773115427283408</v>
      </c>
      <c r="Z314" s="40">
        <f t="shared" si="793"/>
        <v>0.34375165727012741</v>
      </c>
      <c r="AA314" s="41">
        <f t="shared" si="793"/>
        <v>0.35382551529184303</v>
      </c>
      <c r="AB314" s="41">
        <f t="shared" si="793"/>
        <v>0.34891129607887261</v>
      </c>
      <c r="AC314" s="41">
        <f t="shared" si="793"/>
        <v>0.35892977043393809</v>
      </c>
      <c r="AD314" s="41">
        <f t="shared" si="793"/>
        <v>0.35832865145554993</v>
      </c>
      <c r="AE314" s="40">
        <f t="shared" si="793"/>
        <v>0.35497163156701977</v>
      </c>
      <c r="AF314" s="41">
        <f t="shared" si="793"/>
        <v>0.367273084109075</v>
      </c>
      <c r="AG314" s="41">
        <f t="shared" si="793"/>
        <v>0.36902887916508637</v>
      </c>
      <c r="AH314" s="41">
        <f t="shared" si="793"/>
        <v>0.36343156668620746</v>
      </c>
      <c r="AI314" s="41">
        <f t="shared" si="793"/>
        <v>0.37116199227628116</v>
      </c>
      <c r="AJ314" s="40">
        <f t="shared" si="793"/>
        <v>0.36911445592192116</v>
      </c>
      <c r="AK314" s="41">
        <f t="shared" si="793"/>
        <v>0.37324778354436672</v>
      </c>
      <c r="AL314" s="41">
        <f t="shared" si="793"/>
        <v>0.37209815322521261</v>
      </c>
      <c r="AM314" s="41">
        <f t="shared" si="793"/>
        <v>0.37615142213976849</v>
      </c>
      <c r="AN314" s="41">
        <f t="shared" si="793"/>
        <v>0.37483906051308774</v>
      </c>
      <c r="AO314" s="40">
        <f t="shared" si="793"/>
        <v>0.37409622320344826</v>
      </c>
      <c r="AP314" s="41">
        <f t="shared" si="793"/>
        <v>0.39737645370803071</v>
      </c>
      <c r="AQ314" s="41">
        <f t="shared" si="793"/>
        <v>0.44068886115057415</v>
      </c>
      <c r="AR314" s="41">
        <f t="shared" si="793"/>
        <v>0.40482942676471767</v>
      </c>
      <c r="AS314" s="41">
        <f t="shared" si="793"/>
        <v>0.4118432076056186</v>
      </c>
      <c r="AT314" s="40">
        <f t="shared" si="793"/>
        <v>0.40970397358797755</v>
      </c>
      <c r="AU314" s="41">
        <f t="shared" si="793"/>
        <v>0.37942085436267597</v>
      </c>
      <c r="AV314" s="41">
        <f t="shared" si="793"/>
        <v>0.36789206076793152</v>
      </c>
      <c r="AW314" s="41">
        <f t="shared" si="793"/>
        <v>0.38291113450337771</v>
      </c>
      <c r="AX314" s="41">
        <f t="shared" si="793"/>
        <v>0.38281609910452036</v>
      </c>
      <c r="AY314" s="40">
        <f t="shared" si="793"/>
        <v>0.37818519941160472</v>
      </c>
      <c r="AZ314" s="41">
        <f t="shared" si="793"/>
        <v>0.38425390542710341</v>
      </c>
      <c r="BA314" s="41">
        <f t="shared" si="793"/>
        <v>0.37611981213987106</v>
      </c>
      <c r="BB314" s="41">
        <f t="shared" si="793"/>
        <v>0.38553947529758242</v>
      </c>
      <c r="BC314" s="41">
        <f t="shared" si="793"/>
        <v>0.36743579713282531</v>
      </c>
      <c r="BD314" s="40">
        <f t="shared" si="793"/>
        <v>0.37795666754250057</v>
      </c>
      <c r="BE314" s="41">
        <f t="shared" si="793"/>
        <v>0.37042516533480008</v>
      </c>
      <c r="BF314" s="41">
        <f t="shared" si="793"/>
        <v>0.36346603009707601</v>
      </c>
      <c r="BG314" s="41">
        <f t="shared" si="793"/>
        <v>0.37455892769383647</v>
      </c>
      <c r="BH314" s="41">
        <f t="shared" si="793"/>
        <v>0.362717651942908</v>
      </c>
      <c r="BI314" s="46">
        <f t="shared" si="793"/>
        <v>0.367703375379487</v>
      </c>
      <c r="BJ314" s="41">
        <f t="shared" si="794"/>
        <v>0.37042516533480008</v>
      </c>
      <c r="BK314" s="41">
        <f t="shared" si="794"/>
        <v>0.36346603009707601</v>
      </c>
      <c r="BL314" s="41">
        <f t="shared" si="794"/>
        <v>0.37455892769383647</v>
      </c>
      <c r="BM314" s="41">
        <f t="shared" si="794"/>
        <v>0.362717651942908</v>
      </c>
      <c r="BN314" s="40">
        <f t="shared" si="795"/>
        <v>0.36768843711411769</v>
      </c>
      <c r="BO314" s="41">
        <f t="shared" si="796"/>
        <v>0.37042516533480008</v>
      </c>
      <c r="BP314" s="41">
        <f t="shared" si="796"/>
        <v>0.36346603009707601</v>
      </c>
      <c r="BQ314" s="41">
        <f t="shared" si="796"/>
        <v>0.37455892769383647</v>
      </c>
      <c r="BR314" s="41">
        <f t="shared" si="796"/>
        <v>0.362717651942908</v>
      </c>
      <c r="BS314" s="40">
        <f t="shared" si="797"/>
        <v>0.36768725243513006</v>
      </c>
      <c r="BT314" s="40">
        <f t="shared" si="798"/>
        <v>0.36768725243513006</v>
      </c>
      <c r="BU314" s="40">
        <f t="shared" si="798"/>
        <v>0.36768725243513006</v>
      </c>
      <c r="BV314" s="40">
        <f t="shared" si="798"/>
        <v>0.36768725243513006</v>
      </c>
      <c r="BW314" s="45"/>
    </row>
    <row r="315" spans="1:75" ht="15.75" customHeight="1" x14ac:dyDescent="0.2">
      <c r="A315" s="57" t="s">
        <v>660</v>
      </c>
      <c r="B315" s="51"/>
      <c r="C315" s="52"/>
      <c r="D315" s="52"/>
      <c r="E315" s="52"/>
      <c r="F315" s="52">
        <f t="shared" si="793"/>
        <v>0.27389840013708661</v>
      </c>
      <c r="G315" s="53">
        <f t="shared" si="793"/>
        <v>0.26900431704201422</v>
      </c>
      <c r="H315" s="53">
        <f t="shared" si="793"/>
        <v>0.26787416587225932</v>
      </c>
      <c r="I315" s="53">
        <f t="shared" si="793"/>
        <v>0.2680764272473205</v>
      </c>
      <c r="J315" s="53">
        <f t="shared" si="793"/>
        <v>0.267492409929598</v>
      </c>
      <c r="K315" s="52">
        <f t="shared" si="793"/>
        <v>0.26810506411000712</v>
      </c>
      <c r="L315" s="53">
        <f t="shared" si="793"/>
        <v>0.264845192232814</v>
      </c>
      <c r="M315" s="53">
        <f t="shared" si="793"/>
        <v>0.2648708395539745</v>
      </c>
      <c r="N315" s="53">
        <f t="shared" si="793"/>
        <v>0.27097261326388872</v>
      </c>
      <c r="O315" s="53">
        <f t="shared" si="793"/>
        <v>0.2668331612888904</v>
      </c>
      <c r="P315" s="52">
        <f t="shared" si="793"/>
        <v>0.26690376372995034</v>
      </c>
      <c r="Q315" s="53">
        <f t="shared" si="793"/>
        <v>0.24493517057157119</v>
      </c>
      <c r="R315" s="53">
        <f t="shared" si="793"/>
        <v>0.24040295358809136</v>
      </c>
      <c r="S315" s="53">
        <f t="shared" si="793"/>
        <v>0.25031555692072782</v>
      </c>
      <c r="T315" s="53">
        <f t="shared" si="793"/>
        <v>0.246138023463776</v>
      </c>
      <c r="U315" s="52">
        <f t="shared" si="793"/>
        <v>0.24544515964029412</v>
      </c>
      <c r="V315" s="53">
        <f t="shared" si="793"/>
        <v>0.23991360525317529</v>
      </c>
      <c r="W315" s="53">
        <f t="shared" si="793"/>
        <v>0.2424087820317615</v>
      </c>
      <c r="X315" s="53">
        <f t="shared" si="793"/>
        <v>0.24798105260093306</v>
      </c>
      <c r="Y315" s="53">
        <f t="shared" si="793"/>
        <v>0.24711568501855596</v>
      </c>
      <c r="Z315" s="52">
        <f t="shared" si="793"/>
        <v>0.24441033302820847</v>
      </c>
      <c r="AA315" s="53">
        <f t="shared" si="793"/>
        <v>0.24761488456335806</v>
      </c>
      <c r="AB315" s="53">
        <f t="shared" si="793"/>
        <v>0.24842510305080681</v>
      </c>
      <c r="AC315" s="53">
        <f t="shared" si="793"/>
        <v>0.25681068308011229</v>
      </c>
      <c r="AD315" s="53">
        <f t="shared" si="793"/>
        <v>0.25663526686300137</v>
      </c>
      <c r="AE315" s="52">
        <f t="shared" si="793"/>
        <v>0.25234874605104768</v>
      </c>
      <c r="AF315" s="53">
        <f t="shared" si="793"/>
        <v>0.25854167787649285</v>
      </c>
      <c r="AG315" s="53">
        <f t="shared" si="793"/>
        <v>0.24969239137978252</v>
      </c>
      <c r="AH315" s="53">
        <f t="shared" si="793"/>
        <v>0.25618623175668653</v>
      </c>
      <c r="AI315" s="53">
        <f t="shared" si="793"/>
        <v>0.24842837013431704</v>
      </c>
      <c r="AJ315" s="52">
        <f t="shared" si="793"/>
        <v>0.25082696722342329</v>
      </c>
      <c r="AK315" s="53">
        <f t="shared" si="793"/>
        <v>0.26316965920782021</v>
      </c>
      <c r="AL315" s="53">
        <f t="shared" si="793"/>
        <v>0.25459715784526754</v>
      </c>
      <c r="AM315" s="53">
        <f t="shared" si="793"/>
        <v>0.26308939144857207</v>
      </c>
      <c r="AN315" s="53">
        <f t="shared" si="793"/>
        <v>0.26881876507614083</v>
      </c>
      <c r="AO315" s="52">
        <f t="shared" si="793"/>
        <v>0.26263499475494773</v>
      </c>
      <c r="AP315" s="53">
        <f t="shared" si="793"/>
        <v>0.28165566553298527</v>
      </c>
      <c r="AQ315" s="53">
        <f t="shared" si="793"/>
        <v>0.43660894033560327</v>
      </c>
      <c r="AR315" s="53">
        <f t="shared" si="793"/>
        <v>0.32096288185907307</v>
      </c>
      <c r="AS315" s="53">
        <f t="shared" si="793"/>
        <v>0.31593350671373677</v>
      </c>
      <c r="AT315" s="52">
        <f t="shared" si="793"/>
        <v>0.32418501913002767</v>
      </c>
      <c r="AU315" s="53">
        <f t="shared" si="793"/>
        <v>0.29981633361925919</v>
      </c>
      <c r="AV315" s="53">
        <f t="shared" si="793"/>
        <v>0.26706485401983354</v>
      </c>
      <c r="AW315" s="53">
        <f t="shared" si="793"/>
        <v>0.27558790989718268</v>
      </c>
      <c r="AX315" s="53">
        <f t="shared" si="793"/>
        <v>0.27873867384672263</v>
      </c>
      <c r="AY315" s="52">
        <f t="shared" si="793"/>
        <v>0.27935154921464661</v>
      </c>
      <c r="AZ315" s="53">
        <f t="shared" si="793"/>
        <v>0.26975842026675623</v>
      </c>
      <c r="BA315" s="53">
        <f t="shared" si="793"/>
        <v>0.27073996309281106</v>
      </c>
      <c r="BB315" s="53">
        <f t="shared" si="793"/>
        <v>0.28550892709136311</v>
      </c>
      <c r="BC315" s="53">
        <f t="shared" si="793"/>
        <v>0.27420600808349072</v>
      </c>
      <c r="BD315" s="52">
        <f t="shared" si="793"/>
        <v>0.27494247121830184</v>
      </c>
      <c r="BE315" s="53">
        <f t="shared" si="793"/>
        <v>0.27458820075755647</v>
      </c>
      <c r="BF315" s="53">
        <f t="shared" si="793"/>
        <v>0.26949405344428978</v>
      </c>
      <c r="BG315" s="53">
        <f t="shared" si="793"/>
        <v>0.28500017870695793</v>
      </c>
      <c r="BH315" s="53">
        <f t="shared" si="793"/>
        <v>0.2762146261100068</v>
      </c>
      <c r="BI315" s="58">
        <f t="shared" si="793"/>
        <v>0.27622874036016876</v>
      </c>
      <c r="BJ315" s="53">
        <f t="shared" si="794"/>
        <v>0.27258820075755646</v>
      </c>
      <c r="BK315" s="53">
        <f t="shared" si="794"/>
        <v>0.26949405344428978</v>
      </c>
      <c r="BL315" s="53">
        <f t="shared" si="794"/>
        <v>0.28500017870695793</v>
      </c>
      <c r="BM315" s="53">
        <f t="shared" si="794"/>
        <v>0.2762146261100068</v>
      </c>
      <c r="BN315" s="52">
        <f t="shared" si="795"/>
        <v>0.27574401412795613</v>
      </c>
      <c r="BO315" s="53">
        <f t="shared" si="796"/>
        <v>0.27258820075755646</v>
      </c>
      <c r="BP315" s="53">
        <f t="shared" si="796"/>
        <v>0.26949405344428978</v>
      </c>
      <c r="BQ315" s="53">
        <f t="shared" si="796"/>
        <v>0.28500017870695793</v>
      </c>
      <c r="BR315" s="53">
        <f t="shared" si="796"/>
        <v>0.2762146261100068</v>
      </c>
      <c r="BS315" s="52">
        <f t="shared" si="797"/>
        <v>0.27574518948708598</v>
      </c>
      <c r="BT315" s="52">
        <f t="shared" si="798"/>
        <v>0.27574518948708598</v>
      </c>
      <c r="BU315" s="52">
        <f t="shared" si="798"/>
        <v>0.27574518948708598</v>
      </c>
      <c r="BV315" s="52">
        <f t="shared" si="798"/>
        <v>0.27574518948708598</v>
      </c>
      <c r="BW315" s="45"/>
    </row>
    <row r="316" spans="1:75" ht="15.75" customHeight="1" x14ac:dyDescent="0.2">
      <c r="A316" s="278" t="s">
        <v>661</v>
      </c>
      <c r="B316" s="279"/>
      <c r="C316" s="280"/>
      <c r="D316" s="280"/>
      <c r="E316" s="280"/>
      <c r="F316" s="280">
        <f t="shared" ref="F316:BV316" si="799">F385/F380</f>
        <v>0.91592790491175047</v>
      </c>
      <c r="G316" s="281">
        <f t="shared" si="799"/>
        <v>0.91201815048321311</v>
      </c>
      <c r="H316" s="281">
        <f t="shared" si="799"/>
        <v>0.88953382998505337</v>
      </c>
      <c r="I316" s="281">
        <f t="shared" si="799"/>
        <v>0.88757751409133256</v>
      </c>
      <c r="J316" s="281">
        <f t="shared" si="799"/>
        <v>0.89262517741495828</v>
      </c>
      <c r="K316" s="280">
        <f t="shared" si="799"/>
        <v>0.89531562123082664</v>
      </c>
      <c r="L316" s="281">
        <f t="shared" si="799"/>
        <v>0.90343467565722868</v>
      </c>
      <c r="M316" s="281">
        <f t="shared" si="799"/>
        <v>0.88828762177320386</v>
      </c>
      <c r="N316" s="281">
        <f t="shared" si="799"/>
        <v>0.90342989096816662</v>
      </c>
      <c r="O316" s="281">
        <f t="shared" si="799"/>
        <v>0.90804835003829387</v>
      </c>
      <c r="P316" s="280">
        <f t="shared" si="799"/>
        <v>0.90077844885865421</v>
      </c>
      <c r="Q316" s="281">
        <f t="shared" si="799"/>
        <v>0.83582948764511633</v>
      </c>
      <c r="R316" s="281">
        <f t="shared" si="799"/>
        <v>0.81406164658999425</v>
      </c>
      <c r="S316" s="281">
        <f t="shared" si="799"/>
        <v>0.83057082402688309</v>
      </c>
      <c r="T316" s="281">
        <f t="shared" si="799"/>
        <v>0.83292801786783044</v>
      </c>
      <c r="U316" s="280">
        <f t="shared" si="799"/>
        <v>0.82829357885011368</v>
      </c>
      <c r="V316" s="281">
        <f t="shared" si="799"/>
        <v>0.82588041541293122</v>
      </c>
      <c r="W316" s="281">
        <f t="shared" si="799"/>
        <v>0.81572630634243104</v>
      </c>
      <c r="X316" s="281">
        <f t="shared" si="799"/>
        <v>0.82787580037555208</v>
      </c>
      <c r="Y316" s="281">
        <f t="shared" si="799"/>
        <v>0.83532417963733685</v>
      </c>
      <c r="Z316" s="280">
        <f t="shared" si="799"/>
        <v>0.82635899577052485</v>
      </c>
      <c r="AA316" s="281">
        <f t="shared" si="799"/>
        <v>0.83717013503859583</v>
      </c>
      <c r="AB316" s="281">
        <f t="shared" si="799"/>
        <v>0.83007465358720522</v>
      </c>
      <c r="AC316" s="281">
        <f t="shared" si="799"/>
        <v>0.8521989321672333</v>
      </c>
      <c r="AD316" s="281">
        <f t="shared" si="799"/>
        <v>0.85844194269005236</v>
      </c>
      <c r="AE316" s="280">
        <f t="shared" si="799"/>
        <v>0.84442067504324547</v>
      </c>
      <c r="AF316" s="281">
        <f t="shared" si="799"/>
        <v>0.86237206573472336</v>
      </c>
      <c r="AG316" s="281">
        <f t="shared" si="799"/>
        <v>0.84990326600189636</v>
      </c>
      <c r="AH316" s="281">
        <f t="shared" si="799"/>
        <v>0.85700140359083266</v>
      </c>
      <c r="AI316" s="281">
        <f t="shared" si="799"/>
        <v>0.85821675109873918</v>
      </c>
      <c r="AJ316" s="280">
        <f t="shared" si="799"/>
        <v>0.85574731437106288</v>
      </c>
      <c r="AK316" s="281">
        <f t="shared" si="799"/>
        <v>0.87032980710521568</v>
      </c>
      <c r="AL316" s="281">
        <f t="shared" si="799"/>
        <v>0.85624699045562946</v>
      </c>
      <c r="AM316" s="281">
        <f t="shared" si="799"/>
        <v>0.87335104865708102</v>
      </c>
      <c r="AN316" s="281">
        <f t="shared" si="799"/>
        <v>0.88009084013737626</v>
      </c>
      <c r="AO316" s="280">
        <f t="shared" si="799"/>
        <v>0.87032975892955844</v>
      </c>
      <c r="AP316" s="281">
        <f t="shared" si="799"/>
        <v>0.91530461761528092</v>
      </c>
      <c r="AQ316" s="281">
        <f t="shared" si="799"/>
        <v>1.1361556798249495</v>
      </c>
      <c r="AR316" s="281">
        <f t="shared" si="799"/>
        <v>0.9640365627322387</v>
      </c>
      <c r="AS316" s="281">
        <f t="shared" si="799"/>
        <v>0.96793330634138219</v>
      </c>
      <c r="AT316" s="280">
        <f t="shared" si="799"/>
        <v>0.97507036718726736</v>
      </c>
      <c r="AU316" s="281">
        <f t="shared" si="799"/>
        <v>0.90364566649833078</v>
      </c>
      <c r="AV316" s="281">
        <f t="shared" si="799"/>
        <v>0.86112300765990091</v>
      </c>
      <c r="AW316" s="281">
        <f t="shared" si="799"/>
        <v>0.89022048228313966</v>
      </c>
      <c r="AX316" s="281">
        <f t="shared" si="799"/>
        <v>0.89924255946691944</v>
      </c>
      <c r="AY316" s="280">
        <f t="shared" si="799"/>
        <v>0.8878171756217238</v>
      </c>
      <c r="AZ316" s="281">
        <f t="shared" si="799"/>
        <v>0.898911942707869</v>
      </c>
      <c r="BA316" s="281">
        <f t="shared" si="799"/>
        <v>0.89905059249644304</v>
      </c>
      <c r="BB316" s="281">
        <f t="shared" si="799"/>
        <v>0.93125070988111058</v>
      </c>
      <c r="BC316" s="281">
        <f t="shared" si="799"/>
        <v>0.8958816978754176</v>
      </c>
      <c r="BD316" s="280">
        <f t="shared" si="799"/>
        <v>0.90579293445350773</v>
      </c>
      <c r="BE316" s="281">
        <f t="shared" si="799"/>
        <v>0.890225864795535</v>
      </c>
      <c r="BF316" s="281">
        <f t="shared" si="799"/>
        <v>0.87170278025551939</v>
      </c>
      <c r="BG316" s="281">
        <f t="shared" si="799"/>
        <v>0.90134873146785222</v>
      </c>
      <c r="BH316" s="281">
        <f t="shared" si="799"/>
        <v>0.87574292207504023</v>
      </c>
      <c r="BI316" s="282">
        <f t="shared" si="799"/>
        <v>0.88454687686940847</v>
      </c>
      <c r="BJ316" s="281">
        <f t="shared" si="799"/>
        <v>0.88822586479553511</v>
      </c>
      <c r="BK316" s="281">
        <f t="shared" si="799"/>
        <v>0.86170278025551927</v>
      </c>
      <c r="BL316" s="281">
        <f t="shared" si="799"/>
        <v>0.89134873146785221</v>
      </c>
      <c r="BM316" s="281">
        <f t="shared" si="799"/>
        <v>0.86574292207504011</v>
      </c>
      <c r="BN316" s="280">
        <f t="shared" si="799"/>
        <v>0.87649731321507762</v>
      </c>
      <c r="BO316" s="281">
        <f t="shared" si="799"/>
        <v>0.88822586479553511</v>
      </c>
      <c r="BP316" s="281">
        <f t="shared" si="799"/>
        <v>0.86170278025551927</v>
      </c>
      <c r="BQ316" s="281">
        <f t="shared" si="799"/>
        <v>0.8913487314678521</v>
      </c>
      <c r="BR316" s="281">
        <f t="shared" si="799"/>
        <v>0.86574292207504022</v>
      </c>
      <c r="BS316" s="280">
        <f t="shared" si="799"/>
        <v>0.87649659675149449</v>
      </c>
      <c r="BT316" s="280">
        <f t="shared" si="799"/>
        <v>0.87649659675149438</v>
      </c>
      <c r="BU316" s="280">
        <f t="shared" si="799"/>
        <v>0.87649659675149438</v>
      </c>
      <c r="BV316" s="280">
        <f t="shared" si="799"/>
        <v>0.87649659675149438</v>
      </c>
      <c r="BW316" s="37"/>
    </row>
    <row r="317" spans="1:75" ht="15.75" customHeight="1" x14ac:dyDescent="0.2">
      <c r="A317" s="66" t="s">
        <v>662</v>
      </c>
      <c r="B317" s="67"/>
      <c r="C317" s="68"/>
      <c r="D317" s="68"/>
      <c r="E317" s="68"/>
      <c r="F317" s="68">
        <f t="shared" ref="F317:BV317" si="800">1-F316</f>
        <v>8.4072095088249532E-2</v>
      </c>
      <c r="G317" s="69">
        <f t="shared" si="800"/>
        <v>8.7981849516786892E-2</v>
      </c>
      <c r="H317" s="69">
        <f t="shared" si="800"/>
        <v>0.11046617001494663</v>
      </c>
      <c r="I317" s="69">
        <f t="shared" si="800"/>
        <v>0.11242248590866744</v>
      </c>
      <c r="J317" s="69">
        <f t="shared" si="800"/>
        <v>0.10737482258504172</v>
      </c>
      <c r="K317" s="68">
        <f t="shared" si="800"/>
        <v>0.10468437876917336</v>
      </c>
      <c r="L317" s="69">
        <f t="shared" si="800"/>
        <v>9.6565324342771319E-2</v>
      </c>
      <c r="M317" s="69">
        <f t="shared" si="800"/>
        <v>0.11171237822679614</v>
      </c>
      <c r="N317" s="69">
        <f t="shared" si="800"/>
        <v>9.6570109031833384E-2</v>
      </c>
      <c r="O317" s="69">
        <f t="shared" si="800"/>
        <v>9.1951649961706128E-2</v>
      </c>
      <c r="P317" s="68">
        <f t="shared" si="800"/>
        <v>9.9221551141345787E-2</v>
      </c>
      <c r="Q317" s="69">
        <f t="shared" si="800"/>
        <v>0.16417051235488367</v>
      </c>
      <c r="R317" s="69">
        <f t="shared" si="800"/>
        <v>0.18593835341000575</v>
      </c>
      <c r="S317" s="69">
        <f t="shared" si="800"/>
        <v>0.16942917597311691</v>
      </c>
      <c r="T317" s="69">
        <f t="shared" si="800"/>
        <v>0.16707198213216956</v>
      </c>
      <c r="U317" s="68">
        <f t="shared" si="800"/>
        <v>0.17170642114988632</v>
      </c>
      <c r="V317" s="69">
        <f t="shared" si="800"/>
        <v>0.17411958458706878</v>
      </c>
      <c r="W317" s="69">
        <f t="shared" si="800"/>
        <v>0.18427369365756896</v>
      </c>
      <c r="X317" s="69">
        <f t="shared" si="800"/>
        <v>0.17212419962444792</v>
      </c>
      <c r="Y317" s="69">
        <f t="shared" si="800"/>
        <v>0.16467582036266315</v>
      </c>
      <c r="Z317" s="68">
        <f t="shared" si="800"/>
        <v>0.17364100422947515</v>
      </c>
      <c r="AA317" s="69">
        <f t="shared" si="800"/>
        <v>0.16282986496140417</v>
      </c>
      <c r="AB317" s="69">
        <f t="shared" si="800"/>
        <v>0.16992534641279478</v>
      </c>
      <c r="AC317" s="69">
        <f t="shared" si="800"/>
        <v>0.1478010678327667</v>
      </c>
      <c r="AD317" s="69">
        <f t="shared" si="800"/>
        <v>0.14155805730994764</v>
      </c>
      <c r="AE317" s="68">
        <f t="shared" si="800"/>
        <v>0.15557932495675453</v>
      </c>
      <c r="AF317" s="69">
        <f t="shared" si="800"/>
        <v>0.13762793426527664</v>
      </c>
      <c r="AG317" s="69">
        <f t="shared" si="800"/>
        <v>0.15009673399810364</v>
      </c>
      <c r="AH317" s="69">
        <f t="shared" si="800"/>
        <v>0.14299859640916734</v>
      </c>
      <c r="AI317" s="69">
        <f t="shared" si="800"/>
        <v>0.14178324890126082</v>
      </c>
      <c r="AJ317" s="68">
        <f t="shared" si="800"/>
        <v>0.14425268562893712</v>
      </c>
      <c r="AK317" s="69">
        <f t="shared" si="800"/>
        <v>0.12967019289478432</v>
      </c>
      <c r="AL317" s="69">
        <f t="shared" si="800"/>
        <v>0.14375300954437054</v>
      </c>
      <c r="AM317" s="69">
        <f t="shared" si="800"/>
        <v>0.12664895134291898</v>
      </c>
      <c r="AN317" s="69">
        <f t="shared" si="800"/>
        <v>0.11990915986262374</v>
      </c>
      <c r="AO317" s="68">
        <f t="shared" si="800"/>
        <v>0.12967024107044156</v>
      </c>
      <c r="AP317" s="69">
        <f t="shared" si="800"/>
        <v>8.4695382384719076E-2</v>
      </c>
      <c r="AQ317" s="69">
        <f t="shared" si="800"/>
        <v>-0.13615567982494947</v>
      </c>
      <c r="AR317" s="69">
        <f t="shared" si="800"/>
        <v>3.59634372677613E-2</v>
      </c>
      <c r="AS317" s="69">
        <f t="shared" si="800"/>
        <v>3.2066693658617806E-2</v>
      </c>
      <c r="AT317" s="68">
        <f t="shared" si="800"/>
        <v>2.4929632812732638E-2</v>
      </c>
      <c r="AU317" s="69">
        <f t="shared" si="800"/>
        <v>9.635433350166922E-2</v>
      </c>
      <c r="AV317" s="69">
        <f t="shared" si="800"/>
        <v>0.13887699234009909</v>
      </c>
      <c r="AW317" s="69">
        <f t="shared" si="800"/>
        <v>0.10977951771686034</v>
      </c>
      <c r="AX317" s="69">
        <f t="shared" si="800"/>
        <v>0.10075744053308056</v>
      </c>
      <c r="AY317" s="68">
        <f t="shared" si="800"/>
        <v>0.1121828243782762</v>
      </c>
      <c r="AZ317" s="69">
        <f t="shared" si="800"/>
        <v>0.101088057292131</v>
      </c>
      <c r="BA317" s="69">
        <f t="shared" si="800"/>
        <v>0.10094940750355696</v>
      </c>
      <c r="BB317" s="69">
        <f t="shared" si="800"/>
        <v>6.8749290118889417E-2</v>
      </c>
      <c r="BC317" s="69">
        <f t="shared" si="800"/>
        <v>0.1041183021245824</v>
      </c>
      <c r="BD317" s="68">
        <f t="shared" si="800"/>
        <v>9.4207065546492275E-2</v>
      </c>
      <c r="BE317" s="69">
        <f t="shared" si="800"/>
        <v>0.109774135204465</v>
      </c>
      <c r="BF317" s="69">
        <f t="shared" si="800"/>
        <v>0.12829721974448061</v>
      </c>
      <c r="BG317" s="69">
        <f t="shared" si="800"/>
        <v>9.8651268532147784E-2</v>
      </c>
      <c r="BH317" s="69">
        <f t="shared" si="800"/>
        <v>0.12425707792495977</v>
      </c>
      <c r="BI317" s="70">
        <f t="shared" si="800"/>
        <v>0.11545312313059153</v>
      </c>
      <c r="BJ317" s="69">
        <f t="shared" si="800"/>
        <v>0.11177413520446489</v>
      </c>
      <c r="BK317" s="69">
        <f t="shared" si="800"/>
        <v>0.13829721974448073</v>
      </c>
      <c r="BL317" s="69">
        <f t="shared" si="800"/>
        <v>0.10865126853214779</v>
      </c>
      <c r="BM317" s="69">
        <f t="shared" si="800"/>
        <v>0.13425707792495989</v>
      </c>
      <c r="BN317" s="68">
        <f t="shared" si="800"/>
        <v>0.12350268678492238</v>
      </c>
      <c r="BO317" s="69">
        <f t="shared" si="800"/>
        <v>0.11177413520446489</v>
      </c>
      <c r="BP317" s="69">
        <f t="shared" si="800"/>
        <v>0.13829721974448073</v>
      </c>
      <c r="BQ317" s="69">
        <f t="shared" si="800"/>
        <v>0.1086512685321479</v>
      </c>
      <c r="BR317" s="69">
        <f t="shared" si="800"/>
        <v>0.13425707792495978</v>
      </c>
      <c r="BS317" s="68">
        <f t="shared" si="800"/>
        <v>0.12350340324850551</v>
      </c>
      <c r="BT317" s="68">
        <f t="shared" si="800"/>
        <v>0.12350340324850562</v>
      </c>
      <c r="BU317" s="68">
        <f t="shared" si="800"/>
        <v>0.12350340324850562</v>
      </c>
      <c r="BV317" s="68">
        <f t="shared" si="800"/>
        <v>0.12350340324850562</v>
      </c>
      <c r="BW317" s="67"/>
    </row>
    <row r="318" spans="1:75" ht="15.75" customHeight="1" x14ac:dyDescent="0.2">
      <c r="A318" s="66"/>
      <c r="B318" s="67"/>
      <c r="C318" s="68"/>
      <c r="D318" s="68"/>
      <c r="E318" s="68"/>
      <c r="F318" s="68"/>
      <c r="G318" s="69"/>
      <c r="H318" s="69"/>
      <c r="I318" s="69"/>
      <c r="J318" s="69"/>
      <c r="K318" s="68"/>
      <c r="L318" s="69"/>
      <c r="M318" s="69"/>
      <c r="N318" s="69"/>
      <c r="O318" s="69"/>
      <c r="P318" s="68"/>
      <c r="Q318" s="69"/>
      <c r="R318" s="69"/>
      <c r="S318" s="69"/>
      <c r="T318" s="69"/>
      <c r="U318" s="68"/>
      <c r="V318" s="69"/>
      <c r="W318" s="69"/>
      <c r="X318" s="69"/>
      <c r="Y318" s="69"/>
      <c r="Z318" s="68"/>
      <c r="AA318" s="69"/>
      <c r="AB318" s="69"/>
      <c r="AC318" s="69"/>
      <c r="AD318" s="69"/>
      <c r="AE318" s="68"/>
      <c r="AF318" s="69"/>
      <c r="AG318" s="69"/>
      <c r="AH318" s="69"/>
      <c r="AI318" s="69"/>
      <c r="AJ318" s="68"/>
      <c r="AK318" s="69"/>
      <c r="AL318" s="69"/>
      <c r="AM318" s="69"/>
      <c r="AN318" s="69"/>
      <c r="AO318" s="68"/>
      <c r="AP318" s="69"/>
      <c r="AQ318" s="69"/>
      <c r="AR318" s="69"/>
      <c r="AS318" s="69"/>
      <c r="AT318" s="68"/>
      <c r="AU318" s="69"/>
      <c r="AV318" s="69"/>
      <c r="AW318" s="69"/>
      <c r="AX318" s="69"/>
      <c r="AY318" s="68"/>
      <c r="AZ318" s="69"/>
      <c r="BA318" s="69"/>
      <c r="BB318" s="69"/>
      <c r="BC318" s="69"/>
      <c r="BD318" s="68"/>
      <c r="BE318" s="69"/>
      <c r="BF318" s="69"/>
      <c r="BG318" s="69"/>
      <c r="BH318" s="69"/>
      <c r="BI318" s="70"/>
      <c r="BJ318" s="69"/>
      <c r="BK318" s="69"/>
      <c r="BL318" s="69"/>
      <c r="BM318" s="69"/>
      <c r="BN318" s="68"/>
      <c r="BO318" s="69"/>
      <c r="BP318" s="69"/>
      <c r="BQ318" s="69"/>
      <c r="BR318" s="69"/>
      <c r="BS318" s="68"/>
      <c r="BT318" s="68"/>
      <c r="BU318" s="68"/>
      <c r="BV318" s="68"/>
      <c r="BW318" s="37"/>
    </row>
    <row r="319" spans="1:75" ht="15.75" customHeight="1" x14ac:dyDescent="0.2">
      <c r="A319" s="148" t="s">
        <v>663</v>
      </c>
      <c r="B319" s="151"/>
      <c r="C319" s="211"/>
      <c r="D319" s="211"/>
      <c r="E319" s="211"/>
      <c r="F319" s="211"/>
      <c r="G319" s="267"/>
      <c r="H319" s="267"/>
      <c r="I319" s="267"/>
      <c r="J319" s="267"/>
      <c r="K319" s="283">
        <f t="shared" ref="K319:BI321" si="801">F313-K313</f>
        <v>1.0549931465717088E-2</v>
      </c>
      <c r="L319" s="284">
        <f t="shared" ref="L319:T321" si="802">G313-L313</f>
        <v>3.653613729410754E-3</v>
      </c>
      <c r="M319" s="284">
        <f t="shared" si="802"/>
        <v>-1.4306547163980832E-3</v>
      </c>
      <c r="N319" s="284">
        <f t="shared" si="802"/>
        <v>-8.5375523553355981E-3</v>
      </c>
      <c r="O319" s="284">
        <f t="shared" si="802"/>
        <v>-7.6439077633983499E-3</v>
      </c>
      <c r="P319" s="283">
        <f t="shared" si="802"/>
        <v>-3.5369655820202128E-3</v>
      </c>
      <c r="Q319" s="284">
        <f t="shared" si="802"/>
        <v>2.2146702023052578E-2</v>
      </c>
      <c r="R319" s="284">
        <f t="shared" si="802"/>
        <v>2.1151901369396653E-2</v>
      </c>
      <c r="S319" s="284">
        <f t="shared" si="802"/>
        <v>2.8211223498547711E-2</v>
      </c>
      <c r="T319" s="284">
        <f t="shared" si="802"/>
        <v>3.3952565515433797E-2</v>
      </c>
      <c r="U319" s="283">
        <f t="shared" si="801"/>
        <v>2.6379136341760812E-2</v>
      </c>
      <c r="V319" s="284">
        <f t="shared" si="801"/>
        <v>9.0739778531798987E-3</v>
      </c>
      <c r="W319" s="284">
        <f t="shared" si="801"/>
        <v>1.2994444690419965E-2</v>
      </c>
      <c r="X319" s="284">
        <f t="shared" si="801"/>
        <v>7.9373125493323593E-3</v>
      </c>
      <c r="Y319" s="284">
        <f t="shared" si="801"/>
        <v>5.8338216202216686E-3</v>
      </c>
      <c r="Z319" s="283">
        <f t="shared" si="801"/>
        <v>8.9106352649816756E-3</v>
      </c>
      <c r="AA319" s="284">
        <f t="shared" si="801"/>
        <v>6.4356584253913163E-3</v>
      </c>
      <c r="AB319" s="284">
        <f t="shared" si="801"/>
        <v>4.0065999646413109E-4</v>
      </c>
      <c r="AC319" s="284">
        <f t="shared" si="801"/>
        <v>4.1943867148322433E-4</v>
      </c>
      <c r="AD319" s="284">
        <f t="shared" si="801"/>
        <v>-3.0006840255541734E-3</v>
      </c>
      <c r="AE319" s="283">
        <f t="shared" si="801"/>
        <v>1.0967080470109802E-3</v>
      </c>
      <c r="AF319" s="284">
        <f t="shared" si="801"/>
        <v>-8.2756856576074456E-4</v>
      </c>
      <c r="AG319" s="284">
        <f t="shared" si="801"/>
        <v>1.5562590004982724E-3</v>
      </c>
      <c r="AH319" s="284">
        <f t="shared" si="801"/>
        <v>-9.2512649475570696E-4</v>
      </c>
      <c r="AI319" s="284">
        <f t="shared" si="801"/>
        <v>4.8516356833602226E-3</v>
      </c>
      <c r="AJ319" s="283">
        <f t="shared" si="801"/>
        <v>1.2944061994596134E-3</v>
      </c>
      <c r="AK319" s="284">
        <f t="shared" si="801"/>
        <v>2.6449393961267553E-3</v>
      </c>
      <c r="AL319" s="284">
        <f t="shared" si="801"/>
        <v>1.6303160718781629E-3</v>
      </c>
      <c r="AM319" s="284">
        <f t="shared" si="801"/>
        <v>3.2733700791982567E-3</v>
      </c>
      <c r="AN319" s="284">
        <f t="shared" si="801"/>
        <v>2.1933741399930429E-3</v>
      </c>
      <c r="AO319" s="283">
        <f t="shared" si="801"/>
        <v>2.2073502545559565E-3</v>
      </c>
      <c r="AP319" s="284">
        <f t="shared" si="801"/>
        <v>-2.3601340212362765E-3</v>
      </c>
      <c r="AQ319" s="284">
        <f t="shared" si="801"/>
        <v>-2.9306198953622659E-2</v>
      </c>
      <c r="AR319" s="284">
        <f t="shared" si="801"/>
        <v>-4.1340190397073928E-3</v>
      </c>
      <c r="AS319" s="284">
        <f t="shared" si="801"/>
        <v>-3.7235774738792193E-3</v>
      </c>
      <c r="AT319" s="283">
        <f t="shared" si="801"/>
        <v>-7.5828334980997114E-3</v>
      </c>
      <c r="AU319" s="284">
        <f t="shared" si="801"/>
        <v>1.186401985786939E-2</v>
      </c>
      <c r="AV319" s="284">
        <f t="shared" si="801"/>
        <v>3.2691785466636064E-2</v>
      </c>
      <c r="AW319" s="284">
        <f t="shared" si="801"/>
        <v>6.5228162258685884E-3</v>
      </c>
      <c r="AX319" s="284">
        <f t="shared" si="801"/>
        <v>2.4688055063505354E-3</v>
      </c>
      <c r="AY319" s="283">
        <f t="shared" si="801"/>
        <v>1.0900947473789641E-2</v>
      </c>
      <c r="AZ319" s="284">
        <f t="shared" si="801"/>
        <v>-2.0491138497613692E-2</v>
      </c>
      <c r="BA319" s="284">
        <f t="shared" si="801"/>
        <v>-2.6024724391624815E-2</v>
      </c>
      <c r="BB319" s="284">
        <f t="shared" si="801"/>
        <v>-2.8480869609585818E-2</v>
      </c>
      <c r="BC319" s="284">
        <f t="shared" si="801"/>
        <v>-1.655210614342506E-2</v>
      </c>
      <c r="BD319" s="283">
        <f t="shared" si="801"/>
        <v>-2.2613368697232794E-2</v>
      </c>
      <c r="BE319" s="284">
        <f t="shared" si="801"/>
        <v>-3.1288168916923653E-4</v>
      </c>
      <c r="BF319" s="284">
        <f t="shared" si="801"/>
        <v>1.3448120549607173E-2</v>
      </c>
      <c r="BG319" s="284">
        <f t="shared" si="801"/>
        <v>1.8412682425107324E-2</v>
      </c>
      <c r="BH319" s="284">
        <f t="shared" si="801"/>
        <v>1.7429248636976064E-2</v>
      </c>
      <c r="BI319" s="285">
        <f t="shared" si="801"/>
        <v>1.2279034562952484E-2</v>
      </c>
      <c r="BJ319" s="286">
        <v>0</v>
      </c>
      <c r="BK319" s="286">
        <v>0.01</v>
      </c>
      <c r="BL319" s="286">
        <v>0.01</v>
      </c>
      <c r="BM319" s="286">
        <v>0.01</v>
      </c>
      <c r="BN319" s="211">
        <f t="shared" ref="BN319:BN321" si="803">BI313-BN313</f>
        <v>7.5498991567489182E-3</v>
      </c>
      <c r="BO319" s="286">
        <v>0</v>
      </c>
      <c r="BP319" s="286">
        <v>0</v>
      </c>
      <c r="BQ319" s="286">
        <v>0</v>
      </c>
      <c r="BR319" s="286">
        <v>0</v>
      </c>
      <c r="BS319" s="211">
        <f t="shared" ref="BS319:BS321" si="804">BN313-BS313</f>
        <v>7.0714372552016513E-7</v>
      </c>
      <c r="BT319" s="210">
        <v>0</v>
      </c>
      <c r="BU319" s="210">
        <v>0</v>
      </c>
      <c r="BV319" s="210">
        <v>0</v>
      </c>
      <c r="BW319" s="152"/>
    </row>
    <row r="320" spans="1:75" ht="15.75" customHeight="1" x14ac:dyDescent="0.2">
      <c r="A320" s="148" t="s">
        <v>664</v>
      </c>
      <c r="B320" s="151"/>
      <c r="C320" s="211"/>
      <c r="D320" s="211"/>
      <c r="E320" s="211"/>
      <c r="F320" s="211"/>
      <c r="G320" s="267"/>
      <c r="H320" s="267"/>
      <c r="I320" s="267"/>
      <c r="J320" s="267"/>
      <c r="K320" s="283">
        <f t="shared" si="801"/>
        <v>4.2690161881270838E-3</v>
      </c>
      <c r="L320" s="284">
        <f t="shared" si="802"/>
        <v>7.7073628737339694E-4</v>
      </c>
      <c r="M320" s="284">
        <f t="shared" si="802"/>
        <v>-3.2646339003727931E-4</v>
      </c>
      <c r="N320" s="284">
        <f t="shared" si="802"/>
        <v>-4.4186385049301835E-3</v>
      </c>
      <c r="O320" s="284">
        <f t="shared" si="802"/>
        <v>-8.4385135006446732E-3</v>
      </c>
      <c r="P320" s="283">
        <f t="shared" si="802"/>
        <v>-3.1271624258640274E-3</v>
      </c>
      <c r="Q320" s="284">
        <f t="shared" si="802"/>
        <v>2.5548464327817044E-2</v>
      </c>
      <c r="R320" s="284">
        <f t="shared" si="802"/>
        <v>2.8606187847929843E-2</v>
      </c>
      <c r="S320" s="284">
        <f t="shared" si="802"/>
        <v>2.3990787099574806E-2</v>
      </c>
      <c r="T320" s="284">
        <f t="shared" si="802"/>
        <v>2.0472628829915296E-2</v>
      </c>
      <c r="U320" s="283">
        <f t="shared" si="801"/>
        <v>2.4647129577123617E-2</v>
      </c>
      <c r="V320" s="284">
        <f t="shared" si="801"/>
        <v>-4.1464709393908561E-3</v>
      </c>
      <c r="W320" s="284">
        <f t="shared" si="801"/>
        <v>-1.2653275999186642E-2</v>
      </c>
      <c r="X320" s="284">
        <f t="shared" si="801"/>
        <v>-7.5767932177960851E-3</v>
      </c>
      <c r="Y320" s="284">
        <f t="shared" si="801"/>
        <v>-7.2523218349482832E-3</v>
      </c>
      <c r="Z320" s="283">
        <f t="shared" si="801"/>
        <v>-8.0108787974785267E-3</v>
      </c>
      <c r="AA320" s="284">
        <f t="shared" si="801"/>
        <v>-1.0024098740873066E-2</v>
      </c>
      <c r="AB320" s="284">
        <f t="shared" si="801"/>
        <v>-8.7326862221929202E-3</v>
      </c>
      <c r="AC320" s="284">
        <f t="shared" si="801"/>
        <v>-1.5912939983985352E-2</v>
      </c>
      <c r="AD320" s="284">
        <f t="shared" si="801"/>
        <v>-1.0597497182715854E-2</v>
      </c>
      <c r="AE320" s="283">
        <f t="shared" si="801"/>
        <v>-1.1219974296892365E-2</v>
      </c>
      <c r="AF320" s="284">
        <f t="shared" si="801"/>
        <v>-1.344756881723197E-2</v>
      </c>
      <c r="AG320" s="284">
        <f t="shared" si="801"/>
        <v>-2.0117583086213753E-2</v>
      </c>
      <c r="AH320" s="284">
        <f t="shared" si="801"/>
        <v>-4.5017962522693744E-3</v>
      </c>
      <c r="AI320" s="284">
        <f t="shared" si="801"/>
        <v>-1.2833340820731232E-2</v>
      </c>
      <c r="AJ320" s="283">
        <f t="shared" si="801"/>
        <v>-1.4142824354901384E-2</v>
      </c>
      <c r="AK320" s="284">
        <f t="shared" si="801"/>
        <v>-5.9746994352917193E-3</v>
      </c>
      <c r="AL320" s="284">
        <f t="shared" si="801"/>
        <v>-3.069274060126248E-3</v>
      </c>
      <c r="AM320" s="284">
        <f t="shared" si="801"/>
        <v>-1.2719855453561024E-2</v>
      </c>
      <c r="AN320" s="284">
        <f t="shared" si="801"/>
        <v>-3.6770682368065799E-3</v>
      </c>
      <c r="AO320" s="283">
        <f t="shared" si="801"/>
        <v>-4.9817672815271052E-3</v>
      </c>
      <c r="AP320" s="284">
        <f t="shared" si="801"/>
        <v>-2.412867016366399E-2</v>
      </c>
      <c r="AQ320" s="284">
        <f t="shared" si="801"/>
        <v>-6.8590707925361538E-2</v>
      </c>
      <c r="AR320" s="284">
        <f t="shared" si="801"/>
        <v>-2.8678004624949183E-2</v>
      </c>
      <c r="AS320" s="284">
        <f t="shared" si="801"/>
        <v>-3.7004147092530859E-2</v>
      </c>
      <c r="AT320" s="283">
        <f t="shared" si="801"/>
        <v>-3.5607750384529291E-2</v>
      </c>
      <c r="AU320" s="284">
        <f t="shared" si="801"/>
        <v>1.7955599345354734E-2</v>
      </c>
      <c r="AV320" s="284">
        <f t="shared" si="801"/>
        <v>7.2796800382642635E-2</v>
      </c>
      <c r="AW320" s="284">
        <f t="shared" si="801"/>
        <v>2.1918292261339956E-2</v>
      </c>
      <c r="AX320" s="284">
        <f t="shared" si="801"/>
        <v>2.9027108501098242E-2</v>
      </c>
      <c r="AY320" s="283">
        <f t="shared" si="801"/>
        <v>3.1518774176372832E-2</v>
      </c>
      <c r="AZ320" s="284">
        <f t="shared" si="801"/>
        <v>-4.8330510644274405E-3</v>
      </c>
      <c r="BA320" s="284">
        <f t="shared" si="801"/>
        <v>-8.2277513719395401E-3</v>
      </c>
      <c r="BB320" s="284">
        <f t="shared" si="801"/>
        <v>-2.6283407942047088E-3</v>
      </c>
      <c r="BC320" s="284">
        <f t="shared" si="801"/>
        <v>1.5380301971695043E-2</v>
      </c>
      <c r="BD320" s="283">
        <f t="shared" si="801"/>
        <v>2.285318691041538E-4</v>
      </c>
      <c r="BE320" s="284">
        <f t="shared" si="801"/>
        <v>1.3828740092303338E-2</v>
      </c>
      <c r="BF320" s="284">
        <f t="shared" si="801"/>
        <v>1.2653782042795048E-2</v>
      </c>
      <c r="BG320" s="284">
        <f t="shared" si="801"/>
        <v>1.0980547603745949E-2</v>
      </c>
      <c r="BH320" s="284">
        <f t="shared" si="801"/>
        <v>4.718145189917311E-3</v>
      </c>
      <c r="BI320" s="285">
        <f t="shared" si="801"/>
        <v>1.0253292163013572E-2</v>
      </c>
      <c r="BJ320" s="286">
        <v>0</v>
      </c>
      <c r="BK320" s="286">
        <v>0</v>
      </c>
      <c r="BL320" s="286">
        <v>0</v>
      </c>
      <c r="BM320" s="286">
        <v>0</v>
      </c>
      <c r="BN320" s="211">
        <f t="shared" si="803"/>
        <v>1.4938265369301984E-5</v>
      </c>
      <c r="BO320" s="286">
        <v>0</v>
      </c>
      <c r="BP320" s="286">
        <v>0</v>
      </c>
      <c r="BQ320" s="286">
        <v>0</v>
      </c>
      <c r="BR320" s="286">
        <v>0</v>
      </c>
      <c r="BS320" s="211">
        <f t="shared" si="804"/>
        <v>1.1846789876313046E-6</v>
      </c>
      <c r="BT320" s="210">
        <v>0</v>
      </c>
      <c r="BU320" s="210">
        <v>0</v>
      </c>
      <c r="BV320" s="210">
        <v>0</v>
      </c>
      <c r="BW320" s="152"/>
    </row>
    <row r="321" spans="1:75" ht="15.75" customHeight="1" x14ac:dyDescent="0.2">
      <c r="A321" s="287" t="s">
        <v>665</v>
      </c>
      <c r="B321" s="288"/>
      <c r="C321" s="289"/>
      <c r="D321" s="289"/>
      <c r="E321" s="289"/>
      <c r="F321" s="289"/>
      <c r="G321" s="290"/>
      <c r="H321" s="290"/>
      <c r="I321" s="290"/>
      <c r="J321" s="290"/>
      <c r="K321" s="291">
        <f t="shared" si="801"/>
        <v>5.7933360270794876E-3</v>
      </c>
      <c r="L321" s="292">
        <f t="shared" si="802"/>
        <v>4.1591248092002209E-3</v>
      </c>
      <c r="M321" s="292">
        <f t="shared" si="802"/>
        <v>3.0033263182848158E-3</v>
      </c>
      <c r="N321" s="292">
        <f t="shared" si="802"/>
        <v>-2.8961860165682141E-3</v>
      </c>
      <c r="O321" s="292">
        <f t="shared" si="802"/>
        <v>6.5924864070759925E-4</v>
      </c>
      <c r="P321" s="291">
        <f t="shared" si="802"/>
        <v>1.2013003800567801E-3</v>
      </c>
      <c r="Q321" s="292">
        <f t="shared" si="802"/>
        <v>1.991002166124281E-2</v>
      </c>
      <c r="R321" s="292">
        <f t="shared" si="802"/>
        <v>2.4467885965883146E-2</v>
      </c>
      <c r="S321" s="292">
        <f t="shared" si="802"/>
        <v>2.0657056343160896E-2</v>
      </c>
      <c r="T321" s="292">
        <f t="shared" si="802"/>
        <v>2.0695137825114396E-2</v>
      </c>
      <c r="U321" s="291">
        <f t="shared" si="801"/>
        <v>2.1458604089656219E-2</v>
      </c>
      <c r="V321" s="292">
        <f t="shared" si="801"/>
        <v>5.0215653183958986E-3</v>
      </c>
      <c r="W321" s="292">
        <f t="shared" si="801"/>
        <v>-2.0058284436701435E-3</v>
      </c>
      <c r="X321" s="292">
        <f t="shared" si="801"/>
        <v>2.3345043197947613E-3</v>
      </c>
      <c r="Y321" s="292">
        <f t="shared" si="801"/>
        <v>-9.7766155477996275E-4</v>
      </c>
      <c r="Z321" s="291">
        <f t="shared" si="801"/>
        <v>1.0348266120856486E-3</v>
      </c>
      <c r="AA321" s="292">
        <f t="shared" si="801"/>
        <v>-7.7012793101827737E-3</v>
      </c>
      <c r="AB321" s="292">
        <f t="shared" si="801"/>
        <v>-6.016321019045312E-3</v>
      </c>
      <c r="AC321" s="292">
        <f t="shared" si="801"/>
        <v>-8.8296304791792291E-3</v>
      </c>
      <c r="AD321" s="292">
        <f t="shared" si="801"/>
        <v>-9.5195818444454017E-3</v>
      </c>
      <c r="AE321" s="291">
        <f t="shared" si="801"/>
        <v>-7.938413022839208E-3</v>
      </c>
      <c r="AF321" s="292">
        <f t="shared" si="801"/>
        <v>-1.0926793313134786E-2</v>
      </c>
      <c r="AG321" s="292">
        <f t="shared" si="801"/>
        <v>-1.2672883289757131E-3</v>
      </c>
      <c r="AH321" s="292">
        <f t="shared" si="801"/>
        <v>6.2445132342575649E-4</v>
      </c>
      <c r="AI321" s="292">
        <f t="shared" si="801"/>
        <v>8.2068967286843264E-3</v>
      </c>
      <c r="AJ321" s="291">
        <f t="shared" si="801"/>
        <v>1.5217788276243871E-3</v>
      </c>
      <c r="AK321" s="292">
        <f t="shared" si="801"/>
        <v>-4.6279813313273577E-3</v>
      </c>
      <c r="AL321" s="292">
        <f t="shared" si="801"/>
        <v>-4.9047664654850165E-3</v>
      </c>
      <c r="AM321" s="292">
        <f t="shared" si="801"/>
        <v>-6.9031596918855409E-3</v>
      </c>
      <c r="AN321" s="292">
        <f t="shared" si="801"/>
        <v>-2.0390394941823792E-2</v>
      </c>
      <c r="AO321" s="291">
        <f t="shared" si="801"/>
        <v>-1.1808027531524434E-2</v>
      </c>
      <c r="AP321" s="292">
        <f t="shared" si="801"/>
        <v>-1.8486006325165061E-2</v>
      </c>
      <c r="AQ321" s="292">
        <f t="shared" si="801"/>
        <v>-0.18201178249033573</v>
      </c>
      <c r="AR321" s="292">
        <f t="shared" si="801"/>
        <v>-5.7873490410500994E-2</v>
      </c>
      <c r="AS321" s="292">
        <f t="shared" si="801"/>
        <v>-4.7114741637595936E-2</v>
      </c>
      <c r="AT321" s="291">
        <f t="shared" si="801"/>
        <v>-6.1550024375079948E-2</v>
      </c>
      <c r="AU321" s="292">
        <f t="shared" si="801"/>
        <v>-1.8160668086273923E-2</v>
      </c>
      <c r="AV321" s="292">
        <f t="shared" si="801"/>
        <v>0.16954408631576973</v>
      </c>
      <c r="AW321" s="292">
        <f t="shared" si="801"/>
        <v>4.5374971961890387E-2</v>
      </c>
      <c r="AX321" s="292">
        <f t="shared" si="801"/>
        <v>3.7194832867014138E-2</v>
      </c>
      <c r="AY321" s="291">
        <f t="shared" si="801"/>
        <v>4.4833469915381063E-2</v>
      </c>
      <c r="AZ321" s="292">
        <f t="shared" si="801"/>
        <v>3.0057913352502963E-2</v>
      </c>
      <c r="BA321" s="292">
        <f t="shared" si="801"/>
        <v>-3.6751090729775227E-3</v>
      </c>
      <c r="BB321" s="292">
        <f t="shared" si="801"/>
        <v>-9.9210171941804259E-3</v>
      </c>
      <c r="BC321" s="292">
        <f t="shared" si="801"/>
        <v>4.5326657632319134E-3</v>
      </c>
      <c r="BD321" s="291">
        <f t="shared" si="801"/>
        <v>4.4090779963447679E-3</v>
      </c>
      <c r="BE321" s="292">
        <f t="shared" si="801"/>
        <v>-4.8297804908002395E-3</v>
      </c>
      <c r="BF321" s="292">
        <f t="shared" si="801"/>
        <v>1.2459096485212817E-3</v>
      </c>
      <c r="BG321" s="292">
        <f t="shared" si="801"/>
        <v>5.0874838440517767E-4</v>
      </c>
      <c r="BH321" s="292">
        <f t="shared" si="801"/>
        <v>-2.0086180265160847E-3</v>
      </c>
      <c r="BI321" s="293">
        <f t="shared" si="801"/>
        <v>-1.2862691418669137E-3</v>
      </c>
      <c r="BJ321" s="294">
        <v>2E-3</v>
      </c>
      <c r="BK321" s="286">
        <v>0</v>
      </c>
      <c r="BL321" s="286">
        <v>0</v>
      </c>
      <c r="BM321" s="294">
        <v>0</v>
      </c>
      <c r="BN321" s="211">
        <f t="shared" si="803"/>
        <v>4.8472623221262889E-4</v>
      </c>
      <c r="BO321" s="294">
        <v>0</v>
      </c>
      <c r="BP321" s="286">
        <v>0</v>
      </c>
      <c r="BQ321" s="286">
        <v>0</v>
      </c>
      <c r="BR321" s="294">
        <v>0</v>
      </c>
      <c r="BS321" s="211">
        <f t="shared" si="804"/>
        <v>-1.17535912985689E-6</v>
      </c>
      <c r="BT321" s="210">
        <v>0</v>
      </c>
      <c r="BU321" s="295">
        <v>0</v>
      </c>
      <c r="BV321" s="295">
        <v>0</v>
      </c>
      <c r="BW321" s="152"/>
    </row>
    <row r="322" spans="1:75" ht="15.75" customHeight="1" x14ac:dyDescent="0.2">
      <c r="A322" s="296" t="s">
        <v>666</v>
      </c>
      <c r="B322" s="297"/>
      <c r="C322" s="298"/>
      <c r="D322" s="298"/>
      <c r="E322" s="298"/>
      <c r="F322" s="298"/>
      <c r="G322" s="299"/>
      <c r="H322" s="299"/>
      <c r="I322" s="299"/>
      <c r="J322" s="299"/>
      <c r="K322" s="298">
        <f t="shared" ref="K322:BS322" si="805">K317-F317</f>
        <v>2.0612283680923826E-2</v>
      </c>
      <c r="L322" s="299">
        <f t="shared" ref="L322:T322" si="806">L317-G317</f>
        <v>8.5834748259844273E-3</v>
      </c>
      <c r="M322" s="299">
        <f t="shared" si="806"/>
        <v>1.2462082118495088E-3</v>
      </c>
      <c r="N322" s="299">
        <f t="shared" si="806"/>
        <v>-1.5852376876834051E-2</v>
      </c>
      <c r="O322" s="299">
        <f t="shared" si="806"/>
        <v>-1.542317262333559E-2</v>
      </c>
      <c r="P322" s="298">
        <f t="shared" si="806"/>
        <v>-5.4628276278275711E-3</v>
      </c>
      <c r="Q322" s="299">
        <f t="shared" si="806"/>
        <v>6.7605188012112349E-2</v>
      </c>
      <c r="R322" s="299">
        <f t="shared" si="806"/>
        <v>7.4225975183209614E-2</v>
      </c>
      <c r="S322" s="299">
        <f t="shared" si="806"/>
        <v>7.2859066941283523E-2</v>
      </c>
      <c r="T322" s="299">
        <f t="shared" si="806"/>
        <v>7.5120332170463433E-2</v>
      </c>
      <c r="U322" s="298">
        <f t="shared" si="805"/>
        <v>7.2484870008540536E-2</v>
      </c>
      <c r="V322" s="299">
        <f t="shared" si="805"/>
        <v>9.9490722321851077E-3</v>
      </c>
      <c r="W322" s="299">
        <f t="shared" si="805"/>
        <v>-1.6646597524367923E-3</v>
      </c>
      <c r="X322" s="299">
        <f t="shared" si="805"/>
        <v>2.6950236513310077E-3</v>
      </c>
      <c r="Y322" s="299">
        <f t="shared" si="805"/>
        <v>-2.3961617695064108E-3</v>
      </c>
      <c r="Z322" s="298">
        <f t="shared" si="805"/>
        <v>1.9345830795888252E-3</v>
      </c>
      <c r="AA322" s="299">
        <f t="shared" si="805"/>
        <v>-1.1289719625664607E-2</v>
      </c>
      <c r="AB322" s="299">
        <f t="shared" si="805"/>
        <v>-1.4348347244774184E-2</v>
      </c>
      <c r="AC322" s="299">
        <f t="shared" si="805"/>
        <v>-2.4323131791681218E-2</v>
      </c>
      <c r="AD322" s="299">
        <f t="shared" si="805"/>
        <v>-2.3117763052715512E-2</v>
      </c>
      <c r="AE322" s="298">
        <f t="shared" si="805"/>
        <v>-1.8061679272720621E-2</v>
      </c>
      <c r="AF322" s="299">
        <f t="shared" si="805"/>
        <v>-2.5201930696127528E-2</v>
      </c>
      <c r="AG322" s="299">
        <f t="shared" si="805"/>
        <v>-1.9828612414691138E-2</v>
      </c>
      <c r="AH322" s="299">
        <f t="shared" si="805"/>
        <v>-4.8024714235993526E-3</v>
      </c>
      <c r="AI322" s="299">
        <f t="shared" si="805"/>
        <v>2.2519159131317856E-4</v>
      </c>
      <c r="AJ322" s="298">
        <f t="shared" si="805"/>
        <v>-1.1326639327817412E-2</v>
      </c>
      <c r="AK322" s="299">
        <f t="shared" si="805"/>
        <v>-7.9577413704923217E-3</v>
      </c>
      <c r="AL322" s="299">
        <f t="shared" si="805"/>
        <v>-6.3437244537331017E-3</v>
      </c>
      <c r="AM322" s="299">
        <f t="shared" si="805"/>
        <v>-1.6349645066248364E-2</v>
      </c>
      <c r="AN322" s="299">
        <f t="shared" si="805"/>
        <v>-2.1874089038637079E-2</v>
      </c>
      <c r="AO322" s="298">
        <f t="shared" si="805"/>
        <v>-1.4582444558495555E-2</v>
      </c>
      <c r="AP322" s="299">
        <f t="shared" si="805"/>
        <v>-4.4974810510065244E-2</v>
      </c>
      <c r="AQ322" s="299">
        <f t="shared" si="805"/>
        <v>-0.27990868936932001</v>
      </c>
      <c r="AR322" s="299">
        <f t="shared" si="805"/>
        <v>-9.068551407515768E-2</v>
      </c>
      <c r="AS322" s="299">
        <f t="shared" si="805"/>
        <v>-8.7842466204005931E-2</v>
      </c>
      <c r="AT322" s="298">
        <f t="shared" si="805"/>
        <v>-0.10474060825770892</v>
      </c>
      <c r="AU322" s="299">
        <f t="shared" si="805"/>
        <v>1.1658951116950145E-2</v>
      </c>
      <c r="AV322" s="299">
        <f t="shared" si="805"/>
        <v>0.27503267216504856</v>
      </c>
      <c r="AW322" s="299">
        <f t="shared" si="805"/>
        <v>7.3816080449099042E-2</v>
      </c>
      <c r="AX322" s="299">
        <f t="shared" si="805"/>
        <v>6.8690746874462749E-2</v>
      </c>
      <c r="AY322" s="298">
        <f t="shared" si="805"/>
        <v>8.7253191565543564E-2</v>
      </c>
      <c r="AZ322" s="299">
        <f t="shared" si="805"/>
        <v>4.7337237904617746E-3</v>
      </c>
      <c r="BA322" s="299">
        <f t="shared" si="805"/>
        <v>-3.7927584836542128E-2</v>
      </c>
      <c r="BB322" s="299">
        <f t="shared" si="805"/>
        <v>-4.1030227597970925E-2</v>
      </c>
      <c r="BC322" s="299">
        <f t="shared" si="805"/>
        <v>3.3608615915018403E-3</v>
      </c>
      <c r="BD322" s="298">
        <f t="shared" si="805"/>
        <v>-1.7975758831783928E-2</v>
      </c>
      <c r="BE322" s="299">
        <f t="shared" si="805"/>
        <v>8.6860779123340004E-3</v>
      </c>
      <c r="BF322" s="299">
        <f t="shared" si="805"/>
        <v>2.7347812240923641E-2</v>
      </c>
      <c r="BG322" s="299">
        <f t="shared" si="805"/>
        <v>2.9901978413258368E-2</v>
      </c>
      <c r="BH322" s="299">
        <f t="shared" si="805"/>
        <v>2.0138775800377373E-2</v>
      </c>
      <c r="BI322" s="300">
        <f t="shared" si="805"/>
        <v>2.1246057584099254E-2</v>
      </c>
      <c r="BJ322" s="299">
        <f t="shared" si="805"/>
        <v>1.9999999999998908E-3</v>
      </c>
      <c r="BK322" s="299">
        <f t="shared" si="805"/>
        <v>1.000000000000012E-2</v>
      </c>
      <c r="BL322" s="299">
        <f t="shared" si="805"/>
        <v>1.0000000000000009E-2</v>
      </c>
      <c r="BM322" s="299">
        <f t="shared" si="805"/>
        <v>1.000000000000012E-2</v>
      </c>
      <c r="BN322" s="298">
        <f t="shared" si="805"/>
        <v>8.0495636543308491E-3</v>
      </c>
      <c r="BO322" s="299">
        <f t="shared" si="805"/>
        <v>0</v>
      </c>
      <c r="BP322" s="299">
        <f t="shared" si="805"/>
        <v>0</v>
      </c>
      <c r="BQ322" s="299">
        <f t="shared" si="805"/>
        <v>1.1102230246251565E-16</v>
      </c>
      <c r="BR322" s="299">
        <f t="shared" si="805"/>
        <v>0</v>
      </c>
      <c r="BS322" s="298">
        <f t="shared" si="805"/>
        <v>7.1646358312804637E-7</v>
      </c>
      <c r="BT322" s="298">
        <f t="shared" ref="BT322:BV322" si="807">BT317-BS317</f>
        <v>1.1102230246251565E-16</v>
      </c>
      <c r="BU322" s="298">
        <f t="shared" si="807"/>
        <v>0</v>
      </c>
      <c r="BV322" s="298">
        <f t="shared" si="807"/>
        <v>0</v>
      </c>
      <c r="BW322" s="301"/>
    </row>
    <row r="323" spans="1:75" ht="15.75" customHeight="1" x14ac:dyDescent="0.2">
      <c r="A323" s="66"/>
      <c r="B323" s="67"/>
      <c r="C323" s="68"/>
      <c r="D323" s="68"/>
      <c r="E323" s="68"/>
      <c r="F323" s="68"/>
      <c r="G323" s="69"/>
      <c r="H323" s="69"/>
      <c r="I323" s="69"/>
      <c r="J323" s="69"/>
      <c r="K323" s="68"/>
      <c r="L323" s="69"/>
      <c r="M323" s="69"/>
      <c r="N323" s="69"/>
      <c r="O323" s="69"/>
      <c r="P323" s="68"/>
      <c r="Q323" s="69"/>
      <c r="R323" s="69"/>
      <c r="S323" s="69"/>
      <c r="T323" s="69"/>
      <c r="U323" s="68"/>
      <c r="V323" s="69"/>
      <c r="W323" s="69"/>
      <c r="X323" s="69"/>
      <c r="Y323" s="69"/>
      <c r="Z323" s="68"/>
      <c r="AA323" s="69"/>
      <c r="AB323" s="69"/>
      <c r="AC323" s="69"/>
      <c r="AD323" s="69"/>
      <c r="AE323" s="68"/>
      <c r="AF323" s="69"/>
      <c r="AG323" s="69"/>
      <c r="AH323" s="69"/>
      <c r="AI323" s="69"/>
      <c r="AJ323" s="68"/>
      <c r="AK323" s="69"/>
      <c r="AL323" s="69"/>
      <c r="AM323" s="69"/>
      <c r="AN323" s="69"/>
      <c r="AO323" s="68"/>
      <c r="AP323" s="69"/>
      <c r="AQ323" s="69"/>
      <c r="AR323" s="69"/>
      <c r="AS323" s="69"/>
      <c r="AT323" s="68"/>
      <c r="AU323" s="69"/>
      <c r="AV323" s="69"/>
      <c r="AW323" s="69"/>
      <c r="AX323" s="69"/>
      <c r="AY323" s="68"/>
      <c r="AZ323" s="69"/>
      <c r="BA323" s="69"/>
      <c r="BB323" s="69"/>
      <c r="BC323" s="69"/>
      <c r="BD323" s="68"/>
      <c r="BE323" s="69"/>
      <c r="BF323" s="69"/>
      <c r="BG323" s="69"/>
      <c r="BH323" s="69"/>
      <c r="BI323" s="70"/>
      <c r="BJ323" s="69"/>
      <c r="BK323" s="69"/>
      <c r="BL323" s="69"/>
      <c r="BM323" s="69"/>
      <c r="BN323" s="68"/>
      <c r="BO323" s="69"/>
      <c r="BP323" s="69"/>
      <c r="BQ323" s="69"/>
      <c r="BR323" s="69"/>
      <c r="BS323" s="68"/>
      <c r="BT323" s="68"/>
      <c r="BU323" s="68"/>
      <c r="BV323" s="68"/>
      <c r="BW323" s="37"/>
    </row>
    <row r="324" spans="1:75" ht="15.75" customHeight="1" x14ac:dyDescent="0.2">
      <c r="A324" s="302" t="s">
        <v>667</v>
      </c>
      <c r="B324" s="279"/>
      <c r="C324" s="303">
        <f t="shared" ref="C324:BI324" si="808">C39/C$382</f>
        <v>6.0818217001036193E-2</v>
      </c>
      <c r="D324" s="303">
        <f t="shared" si="808"/>
        <v>5.7688784647982043E-2</v>
      </c>
      <c r="E324" s="303">
        <f t="shared" si="808"/>
        <v>5.4768824276409521E-2</v>
      </c>
      <c r="F324" s="303">
        <f t="shared" si="808"/>
        <v>5.7576020568076473E-2</v>
      </c>
      <c r="G324" s="304">
        <f t="shared" si="808"/>
        <v>6.2176848416260283E-2</v>
      </c>
      <c r="H324" s="304">
        <f t="shared" si="808"/>
        <v>5.9157488120003918E-2</v>
      </c>
      <c r="I324" s="304">
        <f t="shared" si="808"/>
        <v>6.1326509104767092E-2</v>
      </c>
      <c r="J324" s="304">
        <f t="shared" si="808"/>
        <v>6.1722885860127349E-2</v>
      </c>
      <c r="K324" s="303">
        <f t="shared" si="808"/>
        <v>6.10934496328365E-2</v>
      </c>
      <c r="L324" s="304">
        <f t="shared" si="808"/>
        <v>6.4894034659172345E-2</v>
      </c>
      <c r="M324" s="304">
        <f t="shared" si="808"/>
        <v>5.85045305657063E-2</v>
      </c>
      <c r="N324" s="304">
        <f t="shared" si="808"/>
        <v>5.9387234178965125E-2</v>
      </c>
      <c r="O324" s="304">
        <f t="shared" si="808"/>
        <v>5.8376178020425357E-2</v>
      </c>
      <c r="P324" s="303">
        <f t="shared" si="808"/>
        <v>6.0251216215122347E-2</v>
      </c>
      <c r="Q324" s="304">
        <f t="shared" si="808"/>
        <v>6.385467968407621E-2</v>
      </c>
      <c r="R324" s="304">
        <f t="shared" si="808"/>
        <v>6.6801233020920156E-2</v>
      </c>
      <c r="S324" s="304">
        <f t="shared" si="808"/>
        <v>6.3181617959778849E-2</v>
      </c>
      <c r="T324" s="304">
        <f t="shared" si="808"/>
        <v>6.7771870450477459E-2</v>
      </c>
      <c r="U324" s="303">
        <f t="shared" si="808"/>
        <v>6.5410554748646696E-2</v>
      </c>
      <c r="V324" s="304">
        <f t="shared" si="808"/>
        <v>6.3820564825634432E-2</v>
      </c>
      <c r="W324" s="304">
        <f t="shared" si="808"/>
        <v>6.4031907698143722E-2</v>
      </c>
      <c r="X324" s="304">
        <f t="shared" si="808"/>
        <v>6.4385430468306373E-2</v>
      </c>
      <c r="Y324" s="304">
        <f t="shared" si="808"/>
        <v>6.44338186774015E-2</v>
      </c>
      <c r="Z324" s="303">
        <f t="shared" si="808"/>
        <v>6.4174003908215385E-2</v>
      </c>
      <c r="AA324" s="304">
        <f t="shared" si="808"/>
        <v>6.440419859928366E-2</v>
      </c>
      <c r="AB324" s="304">
        <f t="shared" si="808"/>
        <v>6.1935286881721938E-2</v>
      </c>
      <c r="AC324" s="304">
        <f t="shared" si="808"/>
        <v>6.3673945609587446E-2</v>
      </c>
      <c r="AD324" s="304">
        <f t="shared" si="808"/>
        <v>6.0486346108444167E-2</v>
      </c>
      <c r="AE324" s="303">
        <f t="shared" si="808"/>
        <v>6.2611313770127158E-2</v>
      </c>
      <c r="AF324" s="304">
        <f t="shared" si="808"/>
        <v>6.6488231579624538E-2</v>
      </c>
      <c r="AG324" s="304">
        <f t="shared" si="808"/>
        <v>6.9832326890073473E-2</v>
      </c>
      <c r="AH324" s="304">
        <f t="shared" si="808"/>
        <v>6.4503634128790371E-2</v>
      </c>
      <c r="AI324" s="304">
        <f t="shared" si="808"/>
        <v>6.2554365937230308E-2</v>
      </c>
      <c r="AJ324" s="303">
        <f t="shared" si="808"/>
        <v>6.6358505718099189E-2</v>
      </c>
      <c r="AK324" s="304">
        <f t="shared" si="808"/>
        <v>6.5261451155249284E-2</v>
      </c>
      <c r="AL324" s="304">
        <f t="shared" si="808"/>
        <v>6.1805872445635492E-2</v>
      </c>
      <c r="AM324" s="304">
        <f t="shared" si="808"/>
        <v>6.7763956517588014E-2</v>
      </c>
      <c r="AN324" s="304">
        <f t="shared" si="808"/>
        <v>6.8113770298113899E-2</v>
      </c>
      <c r="AO324" s="303">
        <f t="shared" si="808"/>
        <v>6.4526328678708444E-2</v>
      </c>
      <c r="AP324" s="304">
        <f t="shared" si="808"/>
        <v>7.1467356845811944E-2</v>
      </c>
      <c r="AQ324" s="304">
        <f t="shared" si="808"/>
        <v>0.12070941115629152</v>
      </c>
      <c r="AR324" s="304">
        <f t="shared" si="808"/>
        <v>7.3003345463535999E-2</v>
      </c>
      <c r="AS324" s="304">
        <f t="shared" si="808"/>
        <v>7.2449472727535047E-2</v>
      </c>
      <c r="AT324" s="303">
        <f t="shared" si="808"/>
        <v>7.9488711568278941E-2</v>
      </c>
      <c r="AU324" s="304">
        <f t="shared" si="808"/>
        <v>7.0809366019728495E-2</v>
      </c>
      <c r="AV324" s="304">
        <f t="shared" si="808"/>
        <v>6.2718803156487493E-2</v>
      </c>
      <c r="AW324" s="304">
        <f t="shared" si="808"/>
        <v>6.0707194681327646E-2</v>
      </c>
      <c r="AX324" s="304">
        <f t="shared" si="808"/>
        <v>6.1387189018054775E-2</v>
      </c>
      <c r="AY324" s="303">
        <f t="shared" si="808"/>
        <v>6.3581027073925545E-2</v>
      </c>
      <c r="AZ324" s="304">
        <f t="shared" si="808"/>
        <v>6.1890362978921767E-2</v>
      </c>
      <c r="BA324" s="304">
        <f t="shared" si="808"/>
        <v>6.0279135235629194E-2</v>
      </c>
      <c r="BB324" s="304">
        <f t="shared" si="808"/>
        <v>6.4188693636870367E-2</v>
      </c>
      <c r="BC324" s="304">
        <f t="shared" si="808"/>
        <v>6.2852681781626868E-2</v>
      </c>
      <c r="BD324" s="303">
        <f t="shared" si="808"/>
        <v>6.2289822218508602E-2</v>
      </c>
      <c r="BE324" s="304">
        <f t="shared" si="808"/>
        <v>6.2427116984600177E-2</v>
      </c>
      <c r="BF324" s="304">
        <f t="shared" si="808"/>
        <v>6.2906819677430531E-2</v>
      </c>
      <c r="BG324" s="304">
        <f t="shared" si="808"/>
        <v>6.5295527637585671E-2</v>
      </c>
      <c r="BH324" s="304">
        <f t="shared" si="808"/>
        <v>6.2351697645064069E-2</v>
      </c>
      <c r="BI324" s="305">
        <f t="shared" si="808"/>
        <v>6.3221052576491424E-2</v>
      </c>
      <c r="BJ324" s="306">
        <v>6.3E-2</v>
      </c>
      <c r="BK324" s="306">
        <v>6.3E-2</v>
      </c>
      <c r="BL324" s="306">
        <v>6.3E-2</v>
      </c>
      <c r="BM324" s="306">
        <v>6.3E-2</v>
      </c>
      <c r="BN324" s="280">
        <f>BN39/BN$382</f>
        <v>6.3E-2</v>
      </c>
      <c r="BO324" s="306">
        <v>6.3E-2</v>
      </c>
      <c r="BP324" s="306">
        <v>6.3E-2</v>
      </c>
      <c r="BQ324" s="306">
        <v>6.3E-2</v>
      </c>
      <c r="BR324" s="306">
        <v>6.3E-2</v>
      </c>
      <c r="BS324" s="280">
        <f>BS39/BS$382</f>
        <v>6.3000000000000014E-2</v>
      </c>
      <c r="BT324" s="307">
        <v>6.2E-2</v>
      </c>
      <c r="BU324" s="307">
        <v>6.2E-2</v>
      </c>
      <c r="BV324" s="307">
        <v>6.2E-2</v>
      </c>
      <c r="BW324" s="37"/>
    </row>
    <row r="325" spans="1:75" ht="15.75" customHeight="1" x14ac:dyDescent="0.2">
      <c r="A325" s="308" t="s">
        <v>668</v>
      </c>
      <c r="B325" s="67"/>
      <c r="C325" s="309">
        <f t="shared" ref="C325:BV325" si="809">C388/C382</f>
        <v>6.4630903484350979E-2</v>
      </c>
      <c r="D325" s="309">
        <f t="shared" si="809"/>
        <v>8.0368614273558348E-2</v>
      </c>
      <c r="E325" s="309">
        <f t="shared" si="809"/>
        <v>8.2574543815969736E-2</v>
      </c>
      <c r="F325" s="309">
        <f t="shared" si="809"/>
        <v>8.8735484520046037E-2</v>
      </c>
      <c r="G325" s="310">
        <f t="shared" si="809"/>
        <v>8.3679252210497101E-2</v>
      </c>
      <c r="H325" s="310">
        <f t="shared" si="809"/>
        <v>9.6099277202744832E-2</v>
      </c>
      <c r="I325" s="310">
        <f t="shared" si="809"/>
        <v>9.3545014998967391E-2</v>
      </c>
      <c r="J325" s="310">
        <f t="shared" si="809"/>
        <v>9.5643845708572428E-2</v>
      </c>
      <c r="K325" s="309">
        <f t="shared" si="809"/>
        <v>9.2282910256615169E-2</v>
      </c>
      <c r="L325" s="310">
        <f t="shared" si="809"/>
        <v>7.3723960442929504E-2</v>
      </c>
      <c r="M325" s="310">
        <f t="shared" si="809"/>
        <v>9.2281318114607852E-2</v>
      </c>
      <c r="N325" s="310">
        <f t="shared" si="809"/>
        <v>7.6417411653449729E-2</v>
      </c>
      <c r="O325" s="310">
        <f t="shared" si="809"/>
        <v>8.0732799250709919E-2</v>
      </c>
      <c r="P325" s="309">
        <f t="shared" si="809"/>
        <v>8.083631484794282E-2</v>
      </c>
      <c r="Q325" s="310">
        <f t="shared" si="809"/>
        <v>8.2060261828319131E-2</v>
      </c>
      <c r="R325" s="310">
        <f t="shared" si="809"/>
        <v>0.10170154619008995</v>
      </c>
      <c r="S325" s="310">
        <f t="shared" si="809"/>
        <v>8.726418676711821E-2</v>
      </c>
      <c r="T325" s="310">
        <f t="shared" si="809"/>
        <v>8.7081301569164105E-2</v>
      </c>
      <c r="U325" s="309">
        <f t="shared" si="809"/>
        <v>8.9571643271070325E-2</v>
      </c>
      <c r="V325" s="310">
        <f t="shared" si="809"/>
        <v>9.193542269813787E-2</v>
      </c>
      <c r="W325" s="310">
        <f t="shared" si="809"/>
        <v>0.10287333903539687</v>
      </c>
      <c r="X325" s="310">
        <f t="shared" si="809"/>
        <v>9.2934512819230833E-2</v>
      </c>
      <c r="Y325" s="310">
        <f t="shared" si="809"/>
        <v>8.9920185162464653E-2</v>
      </c>
      <c r="Z325" s="309">
        <f t="shared" si="809"/>
        <v>9.4333263465304781E-2</v>
      </c>
      <c r="AA325" s="310">
        <f t="shared" si="809"/>
        <v>8.0434697724279802E-2</v>
      </c>
      <c r="AB325" s="310">
        <f t="shared" si="809"/>
        <v>9.1199907347127102E-2</v>
      </c>
      <c r="AC325" s="310">
        <f t="shared" si="809"/>
        <v>6.7856576976262031E-2</v>
      </c>
      <c r="AD325" s="310">
        <f t="shared" si="809"/>
        <v>7.255493472539204E-2</v>
      </c>
      <c r="AE325" s="309">
        <f t="shared" si="809"/>
        <v>7.8064960791894858E-2</v>
      </c>
      <c r="AF325" s="310">
        <f t="shared" si="809"/>
        <v>5.5274246602707827E-2</v>
      </c>
      <c r="AG325" s="310">
        <f t="shared" si="809"/>
        <v>6.5031069931791211E-2</v>
      </c>
      <c r="AH325" s="310">
        <f t="shared" si="809"/>
        <v>6.3710013393425732E-2</v>
      </c>
      <c r="AI325" s="310">
        <f t="shared" si="809"/>
        <v>6.7523989370337489E-2</v>
      </c>
      <c r="AJ325" s="309">
        <f t="shared" si="809"/>
        <v>6.3346926315347024E-2</v>
      </c>
      <c r="AK325" s="310">
        <f t="shared" si="809"/>
        <v>5.3843241070192414E-2</v>
      </c>
      <c r="AL325" s="310">
        <f t="shared" si="809"/>
        <v>7.0147433397771491E-2</v>
      </c>
      <c r="AM325" s="310">
        <f t="shared" si="809"/>
        <v>5.0312342294420109E-2</v>
      </c>
      <c r="AN325" s="310">
        <f t="shared" si="809"/>
        <v>4.9054075472242088E-2</v>
      </c>
      <c r="AO325" s="309">
        <f t="shared" si="809"/>
        <v>5.6912818827305207E-2</v>
      </c>
      <c r="AP325" s="310">
        <f t="shared" si="809"/>
        <v>2.8076461617997151E-3</v>
      </c>
      <c r="AQ325" s="310">
        <f t="shared" si="809"/>
        <v>-0.26728657330886135</v>
      </c>
      <c r="AR325" s="310">
        <f t="shared" si="809"/>
        <v>-3.9759250245308131E-2</v>
      </c>
      <c r="AS325" s="310">
        <f t="shared" si="809"/>
        <v>-3.7664637401001073E-2</v>
      </c>
      <c r="AT325" s="309">
        <f t="shared" si="809"/>
        <v>-5.9913020459100894E-2</v>
      </c>
      <c r="AU325" s="310">
        <f t="shared" si="809"/>
        <v>2.206506996144518E-2</v>
      </c>
      <c r="AV325" s="310">
        <f t="shared" si="809"/>
        <v>7.1855866915662439E-2</v>
      </c>
      <c r="AW325" s="310">
        <f t="shared" si="809"/>
        <v>4.6696108812232087E-2</v>
      </c>
      <c r="AX325" s="310">
        <f t="shared" si="809"/>
        <v>3.7787130822602641E-2</v>
      </c>
      <c r="AY325" s="309">
        <f t="shared" si="809"/>
        <v>4.5662228355547625E-2</v>
      </c>
      <c r="AZ325" s="310">
        <f t="shared" si="809"/>
        <v>3.9287649141374045E-2</v>
      </c>
      <c r="BA325" s="310">
        <f t="shared" si="809"/>
        <v>3.8363380224177686E-2</v>
      </c>
      <c r="BB325" s="310">
        <f t="shared" si="809"/>
        <v>4.0854539726353518E-3</v>
      </c>
      <c r="BC325" s="310">
        <f t="shared" si="809"/>
        <v>3.8295165109396595E-2</v>
      </c>
      <c r="BD325" s="309">
        <f t="shared" si="809"/>
        <v>3.0431199737463135E-2</v>
      </c>
      <c r="BE325" s="310">
        <f t="shared" si="809"/>
        <v>4.665552109768472E-2</v>
      </c>
      <c r="BF325" s="310">
        <f t="shared" si="809"/>
        <v>6.2471570246025468E-2</v>
      </c>
      <c r="BG325" s="310">
        <f t="shared" si="809"/>
        <v>3.2803748449187459E-2</v>
      </c>
      <c r="BH325" s="310">
        <f t="shared" si="809"/>
        <v>6.0821496700718146E-2</v>
      </c>
      <c r="BI325" s="311">
        <f t="shared" si="809"/>
        <v>5.0907064189215784E-2</v>
      </c>
      <c r="BJ325" s="69">
        <f t="shared" si="809"/>
        <v>4.6721710064337126E-2</v>
      </c>
      <c r="BK325" s="69">
        <f t="shared" si="809"/>
        <v>7.0640519032950766E-2</v>
      </c>
      <c r="BL325" s="69">
        <f t="shared" si="809"/>
        <v>4.1923805909671034E-2</v>
      </c>
      <c r="BM325" s="69">
        <f t="shared" si="809"/>
        <v>6.7297491932340192E-2</v>
      </c>
      <c r="BN325" s="68">
        <f t="shared" si="809"/>
        <v>5.6886128917432562E-2</v>
      </c>
      <c r="BO325" s="69">
        <f t="shared" si="809"/>
        <v>4.460711921300433E-2</v>
      </c>
      <c r="BP325" s="69">
        <f t="shared" si="809"/>
        <v>6.8723504997724089E-2</v>
      </c>
      <c r="BQ325" s="69">
        <f t="shared" si="809"/>
        <v>4.0019095896291809E-2</v>
      </c>
      <c r="BR325" s="69">
        <f t="shared" si="809"/>
        <v>6.5607418238409793E-2</v>
      </c>
      <c r="BS325" s="68">
        <f t="shared" si="809"/>
        <v>5.4982524528877419E-2</v>
      </c>
      <c r="BT325" s="68">
        <f t="shared" si="809"/>
        <v>5.5772124274769644E-2</v>
      </c>
      <c r="BU325" s="68">
        <f t="shared" si="809"/>
        <v>5.5680341357815612E-2</v>
      </c>
      <c r="BV325" s="68">
        <f t="shared" si="809"/>
        <v>5.6006046178746348E-2</v>
      </c>
      <c r="BW325" s="37"/>
    </row>
    <row r="326" spans="1:75" ht="15.75" customHeight="1" x14ac:dyDescent="0.2">
      <c r="A326" s="308" t="s">
        <v>669</v>
      </c>
      <c r="B326" s="67"/>
      <c r="C326" s="309">
        <f t="shared" ref="C326:BV326" si="810">C389/C382</f>
        <v>6.4630903484350979E-2</v>
      </c>
      <c r="D326" s="309">
        <f t="shared" si="810"/>
        <v>8.0368614273558348E-2</v>
      </c>
      <c r="E326" s="309">
        <f t="shared" si="810"/>
        <v>8.2574543815969736E-2</v>
      </c>
      <c r="F326" s="309">
        <f t="shared" si="810"/>
        <v>8.8735484520046037E-2</v>
      </c>
      <c r="G326" s="310">
        <f t="shared" si="810"/>
        <v>8.3679252210497101E-2</v>
      </c>
      <c r="H326" s="310">
        <f t="shared" si="810"/>
        <v>9.6099277202744832E-2</v>
      </c>
      <c r="I326" s="310">
        <f t="shared" si="810"/>
        <v>9.3545014998967391E-2</v>
      </c>
      <c r="J326" s="310">
        <f t="shared" si="810"/>
        <v>9.5643845708572428E-2</v>
      </c>
      <c r="K326" s="309">
        <f t="shared" si="810"/>
        <v>9.2282910256615169E-2</v>
      </c>
      <c r="L326" s="310">
        <f t="shared" si="810"/>
        <v>7.3723960442929504E-2</v>
      </c>
      <c r="M326" s="310">
        <f t="shared" si="810"/>
        <v>9.2281318114607852E-2</v>
      </c>
      <c r="N326" s="310">
        <f t="shared" si="810"/>
        <v>7.6417411653449729E-2</v>
      </c>
      <c r="O326" s="310">
        <f t="shared" si="810"/>
        <v>8.0732799250709919E-2</v>
      </c>
      <c r="P326" s="309">
        <f t="shared" si="810"/>
        <v>8.083631484794282E-2</v>
      </c>
      <c r="Q326" s="310">
        <f t="shared" si="810"/>
        <v>8.2060261828319131E-2</v>
      </c>
      <c r="R326" s="310">
        <f t="shared" si="810"/>
        <v>0.10170154619008995</v>
      </c>
      <c r="S326" s="310">
        <f t="shared" si="810"/>
        <v>8.726418676711821E-2</v>
      </c>
      <c r="T326" s="310">
        <f t="shared" si="810"/>
        <v>8.7081301569164105E-2</v>
      </c>
      <c r="U326" s="309">
        <f t="shared" si="810"/>
        <v>8.9571643271070325E-2</v>
      </c>
      <c r="V326" s="310">
        <f t="shared" si="810"/>
        <v>9.193542269813787E-2</v>
      </c>
      <c r="W326" s="310">
        <f t="shared" si="810"/>
        <v>0.10287333903539687</v>
      </c>
      <c r="X326" s="310">
        <f t="shared" si="810"/>
        <v>9.2934512819230833E-2</v>
      </c>
      <c r="Y326" s="310">
        <f t="shared" si="810"/>
        <v>8.9920185162464653E-2</v>
      </c>
      <c r="Z326" s="309">
        <f t="shared" si="810"/>
        <v>9.4333263465304781E-2</v>
      </c>
      <c r="AA326" s="310">
        <f t="shared" si="810"/>
        <v>8.0434697724279802E-2</v>
      </c>
      <c r="AB326" s="310">
        <f t="shared" si="810"/>
        <v>9.1199907347127102E-2</v>
      </c>
      <c r="AC326" s="310">
        <f t="shared" si="810"/>
        <v>6.7856576976262031E-2</v>
      </c>
      <c r="AD326" s="310">
        <f t="shared" si="810"/>
        <v>7.255493472539204E-2</v>
      </c>
      <c r="AE326" s="309">
        <f t="shared" si="810"/>
        <v>7.8064960791894858E-2</v>
      </c>
      <c r="AF326" s="310">
        <f t="shared" si="810"/>
        <v>5.5274246602707827E-2</v>
      </c>
      <c r="AG326" s="310">
        <f t="shared" si="810"/>
        <v>6.5031069931791211E-2</v>
      </c>
      <c r="AH326" s="310">
        <f t="shared" si="810"/>
        <v>6.3710013393425732E-2</v>
      </c>
      <c r="AI326" s="310">
        <f t="shared" si="810"/>
        <v>6.7523989370337489E-2</v>
      </c>
      <c r="AJ326" s="309">
        <f t="shared" si="810"/>
        <v>6.3346926315347024E-2</v>
      </c>
      <c r="AK326" s="310">
        <f t="shared" si="810"/>
        <v>5.3843241070192414E-2</v>
      </c>
      <c r="AL326" s="310">
        <f t="shared" si="810"/>
        <v>7.0147433397771491E-2</v>
      </c>
      <c r="AM326" s="310">
        <f t="shared" si="810"/>
        <v>5.0312342294420109E-2</v>
      </c>
      <c r="AN326" s="310">
        <f t="shared" si="810"/>
        <v>4.9054075472242088E-2</v>
      </c>
      <c r="AO326" s="309">
        <f t="shared" si="810"/>
        <v>5.6912818827305207E-2</v>
      </c>
      <c r="AP326" s="310">
        <f t="shared" si="810"/>
        <v>2.8076461617997151E-3</v>
      </c>
      <c r="AQ326" s="310">
        <f t="shared" si="810"/>
        <v>-0.26728657330886135</v>
      </c>
      <c r="AR326" s="310">
        <f t="shared" si="810"/>
        <v>-3.9759250245308131E-2</v>
      </c>
      <c r="AS326" s="310">
        <f t="shared" si="810"/>
        <v>-3.7664637401001073E-2</v>
      </c>
      <c r="AT326" s="309">
        <f t="shared" si="810"/>
        <v>-5.9913020459100894E-2</v>
      </c>
      <c r="AU326" s="310">
        <f t="shared" si="810"/>
        <v>2.206506996144518E-2</v>
      </c>
      <c r="AV326" s="310">
        <f t="shared" si="810"/>
        <v>7.1855866915662439E-2</v>
      </c>
      <c r="AW326" s="310">
        <f t="shared" si="810"/>
        <v>4.6696108812232087E-2</v>
      </c>
      <c r="AX326" s="310">
        <f t="shared" si="810"/>
        <v>3.7787130822602641E-2</v>
      </c>
      <c r="AY326" s="309">
        <f t="shared" si="810"/>
        <v>4.5662228355547625E-2</v>
      </c>
      <c r="AZ326" s="310">
        <f t="shared" si="810"/>
        <v>3.9287649141374045E-2</v>
      </c>
      <c r="BA326" s="310">
        <f t="shared" si="810"/>
        <v>3.8363380224177686E-2</v>
      </c>
      <c r="BB326" s="310">
        <f t="shared" si="810"/>
        <v>4.0854539726353518E-3</v>
      </c>
      <c r="BC326" s="310">
        <f t="shared" si="810"/>
        <v>3.8295165109396595E-2</v>
      </c>
      <c r="BD326" s="309">
        <f t="shared" si="810"/>
        <v>3.0431199737463135E-2</v>
      </c>
      <c r="BE326" s="310">
        <f t="shared" si="810"/>
        <v>4.665552109768472E-2</v>
      </c>
      <c r="BF326" s="310">
        <f t="shared" si="810"/>
        <v>6.2471570246025468E-2</v>
      </c>
      <c r="BG326" s="310">
        <f t="shared" si="810"/>
        <v>3.2803748449187459E-2</v>
      </c>
      <c r="BH326" s="310">
        <f t="shared" si="810"/>
        <v>6.0821496700718146E-2</v>
      </c>
      <c r="BI326" s="311">
        <f t="shared" si="810"/>
        <v>5.0907064189215784E-2</v>
      </c>
      <c r="BJ326" s="69">
        <f t="shared" si="810"/>
        <v>4.6721710064337126E-2</v>
      </c>
      <c r="BK326" s="69">
        <f t="shared" si="810"/>
        <v>7.0640519032950766E-2</v>
      </c>
      <c r="BL326" s="69">
        <f t="shared" si="810"/>
        <v>4.1923805909671034E-2</v>
      </c>
      <c r="BM326" s="69">
        <f t="shared" si="810"/>
        <v>6.7297491932340192E-2</v>
      </c>
      <c r="BN326" s="68">
        <f t="shared" si="810"/>
        <v>5.6886128917432562E-2</v>
      </c>
      <c r="BO326" s="69">
        <f t="shared" si="810"/>
        <v>4.460711921300433E-2</v>
      </c>
      <c r="BP326" s="69">
        <f t="shared" si="810"/>
        <v>6.8723504997724089E-2</v>
      </c>
      <c r="BQ326" s="69">
        <f t="shared" si="810"/>
        <v>4.0019095896291809E-2</v>
      </c>
      <c r="BR326" s="69">
        <f t="shared" si="810"/>
        <v>6.5607418238409793E-2</v>
      </c>
      <c r="BS326" s="68">
        <f t="shared" si="810"/>
        <v>5.4982524528877419E-2</v>
      </c>
      <c r="BT326" s="68">
        <f t="shared" si="810"/>
        <v>5.5772124274769644E-2</v>
      </c>
      <c r="BU326" s="68">
        <f t="shared" si="810"/>
        <v>5.5680341357815612E-2</v>
      </c>
      <c r="BV326" s="68">
        <f t="shared" si="810"/>
        <v>5.6006046178746348E-2</v>
      </c>
      <c r="BW326" s="37"/>
    </row>
    <row r="327" spans="1:75" ht="15.75" customHeight="1" x14ac:dyDescent="0.2">
      <c r="A327" s="148" t="s">
        <v>670</v>
      </c>
      <c r="B327" s="151"/>
      <c r="C327" s="211"/>
      <c r="D327" s="211"/>
      <c r="E327" s="211"/>
      <c r="F327" s="211"/>
      <c r="G327" s="267"/>
      <c r="H327" s="267"/>
      <c r="I327" s="267"/>
      <c r="J327" s="267"/>
      <c r="K327" s="211"/>
      <c r="L327" s="267"/>
      <c r="M327" s="267"/>
      <c r="N327" s="267"/>
      <c r="O327" s="267"/>
      <c r="P327" s="211"/>
      <c r="Q327" s="267"/>
      <c r="R327" s="267"/>
      <c r="S327" s="267"/>
      <c r="T327" s="267"/>
      <c r="U327" s="211"/>
      <c r="V327" s="267"/>
      <c r="W327" s="267"/>
      <c r="X327" s="267"/>
      <c r="Y327" s="267"/>
      <c r="Z327" s="211"/>
      <c r="AA327" s="267"/>
      <c r="AB327" s="267"/>
      <c r="AC327" s="267"/>
      <c r="AD327" s="267"/>
      <c r="AE327" s="211"/>
      <c r="AF327" s="267"/>
      <c r="AG327" s="267"/>
      <c r="AH327" s="267"/>
      <c r="AI327" s="267"/>
      <c r="AJ327" s="211"/>
      <c r="AK327" s="267"/>
      <c r="AL327" s="267"/>
      <c r="AM327" s="267"/>
      <c r="AN327" s="267"/>
      <c r="AO327" s="211"/>
      <c r="AP327" s="267"/>
      <c r="AQ327" s="267"/>
      <c r="AR327" s="267"/>
      <c r="AS327" s="267"/>
      <c r="AT327" s="211"/>
      <c r="AU327" s="267"/>
      <c r="AV327" s="267"/>
      <c r="AW327" s="267"/>
      <c r="AX327" s="267"/>
      <c r="AY327" s="211"/>
      <c r="AZ327" s="267"/>
      <c r="BA327" s="267"/>
      <c r="BB327" s="267"/>
      <c r="BC327" s="267"/>
      <c r="BD327" s="211"/>
      <c r="BE327" s="267"/>
      <c r="BF327" s="267"/>
      <c r="BG327" s="267"/>
      <c r="BH327" s="267"/>
      <c r="BI327" s="212"/>
      <c r="BJ327" s="267">
        <f t="shared" ref="BJ327:BV327" ca="1" si="811">IFERROR(BJ390/BJ383,0)</f>
        <v>0</v>
      </c>
      <c r="BK327" s="267">
        <f t="shared" ca="1" si="811"/>
        <v>0</v>
      </c>
      <c r="BL327" s="267">
        <f t="shared" ca="1" si="811"/>
        <v>0</v>
      </c>
      <c r="BM327" s="267">
        <f t="shared" ca="1" si="811"/>
        <v>0</v>
      </c>
      <c r="BN327" s="211">
        <f t="shared" ca="1" si="811"/>
        <v>0</v>
      </c>
      <c r="BO327" s="267">
        <f t="shared" ca="1" si="811"/>
        <v>0</v>
      </c>
      <c r="BP327" s="267">
        <f t="shared" ca="1" si="811"/>
        <v>0</v>
      </c>
      <c r="BQ327" s="267">
        <f t="shared" ca="1" si="811"/>
        <v>0</v>
      </c>
      <c r="BR327" s="267">
        <f t="shared" ca="1" si="811"/>
        <v>0</v>
      </c>
      <c r="BS327" s="211">
        <f t="shared" ca="1" si="811"/>
        <v>0</v>
      </c>
      <c r="BT327" s="211">
        <f t="shared" ca="1" si="811"/>
        <v>0</v>
      </c>
      <c r="BU327" s="211">
        <f t="shared" ca="1" si="811"/>
        <v>0</v>
      </c>
      <c r="BV327" s="211">
        <f t="shared" ca="1" si="811"/>
        <v>0</v>
      </c>
      <c r="BW327" s="37"/>
    </row>
    <row r="328" spans="1:75" ht="15.75" customHeight="1" x14ac:dyDescent="0.2">
      <c r="A328" s="66"/>
      <c r="B328" s="67"/>
      <c r="C328" s="68"/>
      <c r="D328" s="68"/>
      <c r="E328" s="68"/>
      <c r="F328" s="68"/>
      <c r="G328" s="69"/>
      <c r="H328" s="69"/>
      <c r="I328" s="69"/>
      <c r="J328" s="69"/>
      <c r="K328" s="68"/>
      <c r="L328" s="69"/>
      <c r="M328" s="69"/>
      <c r="N328" s="69"/>
      <c r="O328" s="69"/>
      <c r="P328" s="68"/>
      <c r="Q328" s="69"/>
      <c r="R328" s="69"/>
      <c r="S328" s="69"/>
      <c r="T328" s="69"/>
      <c r="U328" s="68"/>
      <c r="V328" s="69"/>
      <c r="W328" s="69"/>
      <c r="X328" s="69"/>
      <c r="Y328" s="69"/>
      <c r="Z328" s="68"/>
      <c r="AA328" s="69"/>
      <c r="AB328" s="69"/>
      <c r="AC328" s="69"/>
      <c r="AD328" s="69"/>
      <c r="AE328" s="68"/>
      <c r="AF328" s="69"/>
      <c r="AG328" s="69"/>
      <c r="AH328" s="69"/>
      <c r="AI328" s="69"/>
      <c r="AJ328" s="68"/>
      <c r="AK328" s="69"/>
      <c r="AL328" s="69"/>
      <c r="AM328" s="69"/>
      <c r="AN328" s="69"/>
      <c r="AO328" s="68"/>
      <c r="AP328" s="69"/>
      <c r="AQ328" s="69"/>
      <c r="AR328" s="69"/>
      <c r="AS328" s="69"/>
      <c r="AT328" s="68"/>
      <c r="AU328" s="69"/>
      <c r="AV328" s="69"/>
      <c r="AW328" s="69"/>
      <c r="AX328" s="69"/>
      <c r="AY328" s="68"/>
      <c r="AZ328" s="69"/>
      <c r="BA328" s="69"/>
      <c r="BB328" s="69"/>
      <c r="BC328" s="69"/>
      <c r="BD328" s="68"/>
      <c r="BE328" s="69"/>
      <c r="BF328" s="69"/>
      <c r="BG328" s="69"/>
      <c r="BH328" s="69"/>
      <c r="BI328" s="70"/>
      <c r="BJ328" s="69"/>
      <c r="BK328" s="69"/>
      <c r="BL328" s="69"/>
      <c r="BM328" s="69"/>
      <c r="BN328" s="68"/>
      <c r="BO328" s="69"/>
      <c r="BP328" s="69"/>
      <c r="BQ328" s="69"/>
      <c r="BR328" s="69"/>
      <c r="BS328" s="68"/>
      <c r="BT328" s="68"/>
      <c r="BU328" s="68"/>
      <c r="BV328" s="68"/>
      <c r="BW328" s="37"/>
    </row>
    <row r="329" spans="1:75" ht="15.75" customHeight="1" x14ac:dyDescent="0.2">
      <c r="A329" s="38" t="s">
        <v>671</v>
      </c>
      <c r="B329" s="39"/>
      <c r="C329" s="43">
        <f t="shared" ref="C329:BV330" si="812">C392/C$382</f>
        <v>4.693074992821563E-2</v>
      </c>
      <c r="D329" s="43">
        <f t="shared" si="812"/>
        <v>4.3473439861540647E-2</v>
      </c>
      <c r="E329" s="43">
        <f t="shared" si="812"/>
        <v>4.0940496943601135E-2</v>
      </c>
      <c r="F329" s="43">
        <f t="shared" si="812"/>
        <v>4.1145550318211495E-2</v>
      </c>
      <c r="G329" s="42">
        <f t="shared" si="812"/>
        <v>4.1531862692163156E-2</v>
      </c>
      <c r="H329" s="42">
        <f t="shared" si="812"/>
        <v>4.0872717062524731E-2</v>
      </c>
      <c r="I329" s="42">
        <f t="shared" si="812"/>
        <v>4.185872228810366E-2</v>
      </c>
      <c r="J329" s="42">
        <f t="shared" si="812"/>
        <v>4.305004472977951E-2</v>
      </c>
      <c r="K329" s="43">
        <f t="shared" si="812"/>
        <v>4.1832675687333259E-2</v>
      </c>
      <c r="L329" s="42">
        <f t="shared" si="812"/>
        <v>4.2064179498204318E-2</v>
      </c>
      <c r="M329" s="42">
        <f t="shared" si="812"/>
        <v>4.1365334020942529E-2</v>
      </c>
      <c r="N329" s="42">
        <f t="shared" si="812"/>
        <v>4.1934307593054894E-2</v>
      </c>
      <c r="O329" s="42">
        <f t="shared" si="812"/>
        <v>4.2267643038547215E-2</v>
      </c>
      <c r="P329" s="43">
        <f t="shared" si="812"/>
        <v>4.1907312670492712E-2</v>
      </c>
      <c r="Q329" s="42">
        <f t="shared" si="812"/>
        <v>4.0884370420852058E-2</v>
      </c>
      <c r="R329" s="42">
        <f t="shared" si="812"/>
        <v>3.9988130945158545E-2</v>
      </c>
      <c r="S329" s="42">
        <f t="shared" si="812"/>
        <v>4.0473677015614558E-2</v>
      </c>
      <c r="T329" s="42">
        <f t="shared" si="812"/>
        <v>4.158939793979588E-2</v>
      </c>
      <c r="U329" s="43">
        <f t="shared" si="812"/>
        <v>4.073247329702958E-2</v>
      </c>
      <c r="V329" s="42">
        <f t="shared" si="812"/>
        <v>3.8765164089125198E-2</v>
      </c>
      <c r="W329" s="42">
        <f t="shared" si="812"/>
        <v>3.8401251113870688E-2</v>
      </c>
      <c r="X329" s="42">
        <f t="shared" si="812"/>
        <v>3.8630901149605906E-2</v>
      </c>
      <c r="Y329" s="42">
        <f t="shared" si="812"/>
        <v>3.8881133257950812E-2</v>
      </c>
      <c r="Z329" s="43">
        <f t="shared" si="812"/>
        <v>3.8673491762383667E-2</v>
      </c>
      <c r="AA329" s="42">
        <f t="shared" si="812"/>
        <v>4.116955909027982E-2</v>
      </c>
      <c r="AB329" s="42">
        <f t="shared" si="812"/>
        <v>4.088132535723122E-2</v>
      </c>
      <c r="AC329" s="42">
        <f t="shared" si="812"/>
        <v>4.1410391219174919E-2</v>
      </c>
      <c r="AD329" s="42">
        <f t="shared" si="812"/>
        <v>4.063726904680709E-2</v>
      </c>
      <c r="AE329" s="43">
        <f t="shared" si="812"/>
        <v>4.1021419136103396E-2</v>
      </c>
      <c r="AF329" s="42">
        <f t="shared" si="812"/>
        <v>4.0633766216177321E-2</v>
      </c>
      <c r="AG329" s="42">
        <f t="shared" si="812"/>
        <v>3.9999797699847267E-2</v>
      </c>
      <c r="AH329" s="42">
        <f t="shared" si="812"/>
        <v>4.1471417602886647E-2</v>
      </c>
      <c r="AI329" s="42">
        <f t="shared" si="812"/>
        <v>4.1283078842358011E-2</v>
      </c>
      <c r="AJ329" s="43">
        <f t="shared" si="812"/>
        <v>4.1150248399562495E-2</v>
      </c>
      <c r="AK329" s="42">
        <f t="shared" si="812"/>
        <v>3.5634156879033693E-2</v>
      </c>
      <c r="AL329" s="42">
        <f t="shared" si="812"/>
        <v>3.5939898281741323E-2</v>
      </c>
      <c r="AM329" s="42">
        <f t="shared" si="812"/>
        <v>3.6386513359793773E-2</v>
      </c>
      <c r="AN329" s="42">
        <f t="shared" si="812"/>
        <v>3.4249239946399994E-2</v>
      </c>
      <c r="AO329" s="43">
        <f t="shared" si="812"/>
        <v>3.5498966444488481E-2</v>
      </c>
      <c r="AP329" s="42">
        <f t="shared" si="812"/>
        <v>3.8305592857166088E-2</v>
      </c>
      <c r="AQ329" s="42">
        <f t="shared" si="812"/>
        <v>7.6356003528803354E-2</v>
      </c>
      <c r="AR329" s="42">
        <f t="shared" si="812"/>
        <v>4.3751786693863044E-2</v>
      </c>
      <c r="AS329" s="42">
        <f t="shared" si="812"/>
        <v>4.0775256423202899E-2</v>
      </c>
      <c r="AT329" s="43">
        <f t="shared" si="812"/>
        <v>4.609411438439915E-2</v>
      </c>
      <c r="AU329" s="42">
        <f t="shared" si="812"/>
        <v>3.5073961974253165E-2</v>
      </c>
      <c r="AV329" s="42">
        <f t="shared" si="812"/>
        <v>2.8900223159712649E-2</v>
      </c>
      <c r="AW329" s="42">
        <f t="shared" si="812"/>
        <v>2.9922833656295642E-2</v>
      </c>
      <c r="AX329" s="42">
        <f t="shared" si="812"/>
        <v>2.9418315859676858E-2</v>
      </c>
      <c r="AY329" s="43">
        <f t="shared" si="812"/>
        <v>3.0624346721137882E-2</v>
      </c>
      <c r="AZ329" s="42">
        <f t="shared" si="812"/>
        <v>2.7094278766803995E-2</v>
      </c>
      <c r="BA329" s="42">
        <f t="shared" si="812"/>
        <v>2.7152092793670275E-2</v>
      </c>
      <c r="BB329" s="42">
        <f t="shared" si="812"/>
        <v>2.8891544781192883E-2</v>
      </c>
      <c r="BC329" s="42">
        <f t="shared" si="812"/>
        <v>2.8691691998897862E-2</v>
      </c>
      <c r="BD329" s="43">
        <f t="shared" si="812"/>
        <v>2.7967192587937111E-2</v>
      </c>
      <c r="BE329" s="42">
        <f t="shared" si="812"/>
        <v>2.6503439501035658E-2</v>
      </c>
      <c r="BF329" s="42">
        <f t="shared" si="812"/>
        <v>2.693697542052946E-2</v>
      </c>
      <c r="BG329" s="42">
        <f t="shared" si="812"/>
        <v>2.7507498102889629E-2</v>
      </c>
      <c r="BH329" s="42">
        <f t="shared" si="812"/>
        <v>2.7379422560087754E-2</v>
      </c>
      <c r="BI329" s="44">
        <f t="shared" si="812"/>
        <v>2.7078330793722231E-2</v>
      </c>
      <c r="BJ329" s="41">
        <f t="shared" si="812"/>
        <v>2.7968715609437277E-2</v>
      </c>
      <c r="BK329" s="41">
        <f t="shared" si="812"/>
        <v>2.8040428995879489E-2</v>
      </c>
      <c r="BL329" s="41">
        <f t="shared" si="812"/>
        <v>2.9998461842811165E-2</v>
      </c>
      <c r="BM329" s="41">
        <f t="shared" si="812"/>
        <v>2.9110400070688762E-2</v>
      </c>
      <c r="BN329" s="40">
        <f t="shared" si="812"/>
        <v>2.8772325865358397E-2</v>
      </c>
      <c r="BO329" s="41">
        <f t="shared" si="812"/>
        <v>2.9342338258441722E-2</v>
      </c>
      <c r="BP329" s="41">
        <f t="shared" si="812"/>
        <v>2.9304752380232297E-2</v>
      </c>
      <c r="BQ329" s="41">
        <f t="shared" si="812"/>
        <v>3.1173066967585674E-2</v>
      </c>
      <c r="BR329" s="41">
        <f t="shared" si="812"/>
        <v>3.0057412039242146E-2</v>
      </c>
      <c r="BS329" s="40">
        <f t="shared" si="812"/>
        <v>2.9960705458294289E-2</v>
      </c>
      <c r="BT329" s="40">
        <f t="shared" si="812"/>
        <v>2.9216810568222777E-2</v>
      </c>
      <c r="BU329" s="40">
        <f t="shared" si="812"/>
        <v>2.8345725483691176E-2</v>
      </c>
      <c r="BV329" s="40">
        <f t="shared" si="812"/>
        <v>2.694378159106393E-2</v>
      </c>
      <c r="BW329" s="45"/>
    </row>
    <row r="330" spans="1:75" ht="15.75" customHeight="1" x14ac:dyDescent="0.2">
      <c r="A330" s="38" t="s">
        <v>672</v>
      </c>
      <c r="B330" s="39"/>
      <c r="C330" s="43">
        <f t="shared" si="812"/>
        <v>9.1197363328797392E-3</v>
      </c>
      <c r="D330" s="43">
        <f t="shared" si="812"/>
        <v>6.5764575715136281E-3</v>
      </c>
      <c r="E330" s="43">
        <f t="shared" si="812"/>
        <v>5.4818322917757154E-3</v>
      </c>
      <c r="F330" s="43">
        <f t="shared" si="812"/>
        <v>5.9910990333424171E-3</v>
      </c>
      <c r="G330" s="42">
        <f t="shared" si="812"/>
        <v>7.3539257653050206E-3</v>
      </c>
      <c r="H330" s="42">
        <f t="shared" si="812"/>
        <v>7.2492438068740188E-3</v>
      </c>
      <c r="I330" s="42">
        <f t="shared" si="812"/>
        <v>7.3664197709596996E-3</v>
      </c>
      <c r="J330" s="42">
        <f t="shared" si="812"/>
        <v>8.1292427511445563E-3</v>
      </c>
      <c r="K330" s="43">
        <f t="shared" si="812"/>
        <v>7.5269847862783623E-3</v>
      </c>
      <c r="L330" s="42">
        <f t="shared" si="812"/>
        <v>7.9741437506101603E-3</v>
      </c>
      <c r="M330" s="42">
        <f t="shared" si="812"/>
        <v>7.8544578429753081E-3</v>
      </c>
      <c r="N330" s="42">
        <f t="shared" si="812"/>
        <v>8.1243964304747989E-3</v>
      </c>
      <c r="O330" s="42">
        <f t="shared" si="812"/>
        <v>1.0054575692502898E-2</v>
      </c>
      <c r="P330" s="43">
        <f t="shared" si="812"/>
        <v>8.5079408122131477E-3</v>
      </c>
      <c r="Q330" s="42">
        <f t="shared" si="812"/>
        <v>9.1336807130873617E-3</v>
      </c>
      <c r="R330" s="42">
        <f t="shared" si="812"/>
        <v>9.3478256760919816E-3</v>
      </c>
      <c r="S330" s="42">
        <f t="shared" si="812"/>
        <v>9.2502582173886634E-3</v>
      </c>
      <c r="T330" s="42">
        <f t="shared" si="812"/>
        <v>1.0447174764302705E-2</v>
      </c>
      <c r="U330" s="43">
        <f t="shared" si="812"/>
        <v>9.5462791980801768E-3</v>
      </c>
      <c r="V330" s="42">
        <f t="shared" si="812"/>
        <v>9.3643950709147491E-3</v>
      </c>
      <c r="W330" s="42">
        <f t="shared" si="812"/>
        <v>1.0949035719014713E-2</v>
      </c>
      <c r="X330" s="42">
        <f t="shared" si="812"/>
        <v>8.7015060230206873E-3</v>
      </c>
      <c r="Y330" s="42">
        <f t="shared" si="812"/>
        <v>8.7806269128867642E-3</v>
      </c>
      <c r="Z330" s="43">
        <f t="shared" si="812"/>
        <v>9.4356992229708489E-3</v>
      </c>
      <c r="AA330" s="42">
        <f t="shared" si="812"/>
        <v>8.1909603035713648E-3</v>
      </c>
      <c r="AB330" s="42">
        <f t="shared" si="812"/>
        <v>9.0775248346549823E-3</v>
      </c>
      <c r="AC330" s="42">
        <f t="shared" si="812"/>
        <v>9.5049982714911253E-3</v>
      </c>
      <c r="AD330" s="42">
        <f t="shared" si="812"/>
        <v>2.4308561335396944E-3</v>
      </c>
      <c r="AE330" s="43">
        <f t="shared" si="812"/>
        <v>7.2802412915361284E-3</v>
      </c>
      <c r="AF330" s="42">
        <f t="shared" si="812"/>
        <v>1.017960321047722E-2</v>
      </c>
      <c r="AG330" s="42">
        <f t="shared" si="812"/>
        <v>8.5336947762728876E-3</v>
      </c>
      <c r="AH330" s="42">
        <f t="shared" si="812"/>
        <v>8.1462327977110689E-3</v>
      </c>
      <c r="AI330" s="42">
        <f t="shared" si="812"/>
        <v>7.1451153967752121E-3</v>
      </c>
      <c r="AJ330" s="43">
        <f t="shared" si="812"/>
        <v>8.569967127307402E-3</v>
      </c>
      <c r="AK330" s="42">
        <f t="shared" si="812"/>
        <v>9.7534367227651922E-3</v>
      </c>
      <c r="AL330" s="42">
        <f t="shared" si="812"/>
        <v>7.7010511992964339E-3</v>
      </c>
      <c r="AM330" s="42">
        <f t="shared" si="812"/>
        <v>7.9227873480911676E-3</v>
      </c>
      <c r="AN330" s="42">
        <f t="shared" si="812"/>
        <v>6.1063642782012307E-3</v>
      </c>
      <c r="AO330" s="43">
        <f t="shared" si="812"/>
        <v>7.8032232753801117E-3</v>
      </c>
      <c r="AP330" s="42">
        <f t="shared" si="812"/>
        <v>8.9529284383504625E-3</v>
      </c>
      <c r="AQ330" s="42">
        <f t="shared" si="812"/>
        <v>1.7272207969552245E-2</v>
      </c>
      <c r="AR330" s="42">
        <f t="shared" si="812"/>
        <v>9.4974851076652066E-3</v>
      </c>
      <c r="AS330" s="42">
        <f t="shared" si="812"/>
        <v>1.048774506268123E-2</v>
      </c>
      <c r="AT330" s="43">
        <f t="shared" si="812"/>
        <v>1.0765293902608128E-2</v>
      </c>
      <c r="AU330" s="42">
        <f t="shared" si="812"/>
        <v>8.6768449053819061E-3</v>
      </c>
      <c r="AV330" s="42">
        <f t="shared" si="812"/>
        <v>7.1408507118742824E-3</v>
      </c>
      <c r="AW330" s="42">
        <f t="shared" si="812"/>
        <v>7.149351733790694E-3</v>
      </c>
      <c r="AX330" s="42">
        <f t="shared" si="812"/>
        <v>8.5735290520192672E-3</v>
      </c>
      <c r="AY330" s="43">
        <f t="shared" si="812"/>
        <v>7.8523265267084301E-3</v>
      </c>
      <c r="AZ330" s="42">
        <f t="shared" si="812"/>
        <v>6.9521613687618901E-3</v>
      </c>
      <c r="BA330" s="42">
        <f t="shared" si="812"/>
        <v>7.3128579715436258E-3</v>
      </c>
      <c r="BB330" s="42">
        <f t="shared" si="812"/>
        <v>7.159429643584638E-3</v>
      </c>
      <c r="BC330" s="42">
        <f t="shared" si="812"/>
        <v>8.0712184784532317E-3</v>
      </c>
      <c r="BD330" s="43">
        <f t="shared" si="812"/>
        <v>7.3947461155331445E-3</v>
      </c>
      <c r="BE330" s="42">
        <f t="shared" si="812"/>
        <v>6.8143454556790443E-3</v>
      </c>
      <c r="BF330" s="42">
        <f t="shared" si="812"/>
        <v>7.3022616807324201E-3</v>
      </c>
      <c r="BG330" s="42">
        <f t="shared" si="812"/>
        <v>7.9774996687585076E-3</v>
      </c>
      <c r="BH330" s="42">
        <f t="shared" si="812"/>
        <v>7.9029975747113169E-3</v>
      </c>
      <c r="BI330" s="44">
        <f t="shared" si="812"/>
        <v>7.4955596782442105E-3</v>
      </c>
      <c r="BJ330" s="41">
        <f t="shared" si="812"/>
        <v>6.6195600733728677E-3</v>
      </c>
      <c r="BK330" s="41">
        <f t="shared" si="812"/>
        <v>6.4783030297632244E-3</v>
      </c>
      <c r="BL330" s="41">
        <f t="shared" si="812"/>
        <v>6.7545359917606197E-3</v>
      </c>
      <c r="BM330" s="41">
        <f t="shared" si="812"/>
        <v>6.3970819212652592E-3</v>
      </c>
      <c r="BN330" s="40">
        <f t="shared" si="812"/>
        <v>6.559540765430999E-3</v>
      </c>
      <c r="BO330" s="41">
        <f t="shared" si="812"/>
        <v>6.3013734950409205E-3</v>
      </c>
      <c r="BP330" s="41">
        <f t="shared" si="812"/>
        <v>6.1743482939197267E-3</v>
      </c>
      <c r="BQ330" s="41">
        <f t="shared" si="812"/>
        <v>6.4327203085755621E-3</v>
      </c>
      <c r="BR330" s="41">
        <f t="shared" si="812"/>
        <v>6.0811703462061049E-3</v>
      </c>
      <c r="BS330" s="40">
        <f t="shared" si="812"/>
        <v>6.2446020100815772E-3</v>
      </c>
      <c r="BT330" s="40">
        <f t="shared" si="812"/>
        <v>5.8011710425047106E-3</v>
      </c>
      <c r="BU330" s="40">
        <f t="shared" si="812"/>
        <v>5.3784012057023897E-3</v>
      </c>
      <c r="BV330" s="40">
        <f t="shared" si="812"/>
        <v>4.9213006094611265E-3</v>
      </c>
      <c r="BW330" s="45"/>
    </row>
    <row r="331" spans="1:75" ht="15.75" customHeight="1" x14ac:dyDescent="0.2">
      <c r="A331" s="59" t="s">
        <v>673</v>
      </c>
      <c r="B331" s="60"/>
      <c r="C331" s="62">
        <f t="shared" ref="C331:BV331" si="813">C394/C382</f>
        <v>0.12068138974544634</v>
      </c>
      <c r="D331" s="62">
        <f t="shared" si="813"/>
        <v>0.13041851170661262</v>
      </c>
      <c r="E331" s="62">
        <f t="shared" si="813"/>
        <v>0.12899687305134661</v>
      </c>
      <c r="F331" s="62">
        <f t="shared" si="813"/>
        <v>0.13587213387159994</v>
      </c>
      <c r="G331" s="64">
        <f t="shared" si="813"/>
        <v>0.13256504066796529</v>
      </c>
      <c r="H331" s="64">
        <f t="shared" si="813"/>
        <v>0.1442212380721436</v>
      </c>
      <c r="I331" s="64">
        <f t="shared" si="813"/>
        <v>0.14277015705803078</v>
      </c>
      <c r="J331" s="64">
        <f t="shared" si="813"/>
        <v>0.14682313318949647</v>
      </c>
      <c r="K331" s="62">
        <f t="shared" si="813"/>
        <v>0.14164257073022679</v>
      </c>
      <c r="L331" s="64">
        <f t="shared" si="813"/>
        <v>0.123762283691744</v>
      </c>
      <c r="M331" s="64">
        <f t="shared" si="813"/>
        <v>0.14150110997852569</v>
      </c>
      <c r="N331" s="64">
        <f t="shared" si="813"/>
        <v>0.12647611567697942</v>
      </c>
      <c r="O331" s="64">
        <f t="shared" si="813"/>
        <v>0.13305501798176003</v>
      </c>
      <c r="P331" s="62">
        <f t="shared" si="813"/>
        <v>0.13125156833064869</v>
      </c>
      <c r="Q331" s="64">
        <f t="shared" si="813"/>
        <v>0.13207831296225855</v>
      </c>
      <c r="R331" s="64">
        <f t="shared" si="813"/>
        <v>0.15103750281134048</v>
      </c>
      <c r="S331" s="64">
        <f t="shared" si="813"/>
        <v>0.13698812200012142</v>
      </c>
      <c r="T331" s="64">
        <f t="shared" si="813"/>
        <v>0.13911787427326269</v>
      </c>
      <c r="U331" s="62">
        <f t="shared" si="813"/>
        <v>0.13985039576618005</v>
      </c>
      <c r="V331" s="64">
        <f t="shared" si="813"/>
        <v>0.14006498185817784</v>
      </c>
      <c r="W331" s="64">
        <f t="shared" si="813"/>
        <v>0.15222362586828228</v>
      </c>
      <c r="X331" s="64">
        <f t="shared" si="813"/>
        <v>0.14026691999185745</v>
      </c>
      <c r="Y331" s="64">
        <f t="shared" si="813"/>
        <v>0.13758194533330223</v>
      </c>
      <c r="Z331" s="62">
        <f t="shared" si="813"/>
        <v>0.14244245445065931</v>
      </c>
      <c r="AA331" s="64">
        <f t="shared" si="813"/>
        <v>0.129795217118131</v>
      </c>
      <c r="AB331" s="64">
        <f t="shared" si="813"/>
        <v>0.1411587575390133</v>
      </c>
      <c r="AC331" s="64">
        <f t="shared" si="813"/>
        <v>0.11877196646692806</v>
      </c>
      <c r="AD331" s="64">
        <f t="shared" si="813"/>
        <v>0.11562305990573882</v>
      </c>
      <c r="AE331" s="62">
        <f t="shared" si="813"/>
        <v>0.1263666212195344</v>
      </c>
      <c r="AF331" s="64">
        <f t="shared" si="813"/>
        <v>0.10608761602936237</v>
      </c>
      <c r="AG331" s="64">
        <f t="shared" si="813"/>
        <v>0.11356456240791137</v>
      </c>
      <c r="AH331" s="64">
        <f t="shared" si="813"/>
        <v>0.11332766379402345</v>
      </c>
      <c r="AI331" s="64">
        <f t="shared" si="813"/>
        <v>0.1159521836094707</v>
      </c>
      <c r="AJ331" s="62">
        <f t="shared" si="813"/>
        <v>0.11306714184221692</v>
      </c>
      <c r="AK331" s="64">
        <f t="shared" si="813"/>
        <v>9.9230834671991314E-2</v>
      </c>
      <c r="AL331" s="64">
        <f t="shared" si="813"/>
        <v>0.11378838287880925</v>
      </c>
      <c r="AM331" s="64">
        <f t="shared" si="813"/>
        <v>9.462164300230505E-2</v>
      </c>
      <c r="AN331" s="64">
        <f t="shared" si="813"/>
        <v>8.9409679696843311E-2</v>
      </c>
      <c r="AO331" s="62">
        <f t="shared" si="813"/>
        <v>0.1002150085471738</v>
      </c>
      <c r="AP331" s="64">
        <f t="shared" si="813"/>
        <v>5.0066167457316263E-2</v>
      </c>
      <c r="AQ331" s="64">
        <f t="shared" si="813"/>
        <v>-0.17365836181050576</v>
      </c>
      <c r="AR331" s="64">
        <f t="shared" si="813"/>
        <v>1.3490021556220111E-2</v>
      </c>
      <c r="AS331" s="64">
        <f t="shared" si="813"/>
        <v>1.3598364084883057E-2</v>
      </c>
      <c r="AT331" s="62">
        <f t="shared" si="813"/>
        <v>-3.0536121720936117E-3</v>
      </c>
      <c r="AU331" s="64">
        <f t="shared" si="813"/>
        <v>6.5815876841080256E-2</v>
      </c>
      <c r="AV331" s="64">
        <f t="shared" si="813"/>
        <v>0.10789694078724937</v>
      </c>
      <c r="AW331" s="64">
        <f t="shared" si="813"/>
        <v>8.3768294202318419E-2</v>
      </c>
      <c r="AX331" s="64">
        <f t="shared" si="813"/>
        <v>7.5778975734298773E-2</v>
      </c>
      <c r="AY331" s="62">
        <f t="shared" si="813"/>
        <v>8.4138901603393934E-2</v>
      </c>
      <c r="AZ331" s="64">
        <f t="shared" si="813"/>
        <v>7.3334089276939921E-2</v>
      </c>
      <c r="BA331" s="64">
        <f t="shared" si="813"/>
        <v>7.2828330989391593E-2</v>
      </c>
      <c r="BB331" s="64">
        <f t="shared" si="813"/>
        <v>4.0136428397412868E-2</v>
      </c>
      <c r="BC331" s="64">
        <f t="shared" si="813"/>
        <v>7.5058075586747694E-2</v>
      </c>
      <c r="BD331" s="62">
        <f t="shared" si="813"/>
        <v>6.5793138440933388E-2</v>
      </c>
      <c r="BE331" s="64">
        <f t="shared" si="813"/>
        <v>7.9973306054399423E-2</v>
      </c>
      <c r="BF331" s="64">
        <f t="shared" si="813"/>
        <v>9.6710807347287348E-2</v>
      </c>
      <c r="BG331" s="64">
        <f t="shared" si="813"/>
        <v>6.8288746220835597E-2</v>
      </c>
      <c r="BH331" s="64">
        <f t="shared" si="813"/>
        <v>9.6103916835517222E-2</v>
      </c>
      <c r="BI331" s="65">
        <f t="shared" si="813"/>
        <v>8.5480954661182232E-2</v>
      </c>
      <c r="BJ331" s="63">
        <f t="shared" si="813"/>
        <v>8.1309985747147276E-2</v>
      </c>
      <c r="BK331" s="63">
        <f t="shared" si="813"/>
        <v>0.10515925105859349</v>
      </c>
      <c r="BL331" s="63">
        <f t="shared" si="813"/>
        <v>7.8676803744242824E-2</v>
      </c>
      <c r="BM331" s="63">
        <f t="shared" si="813"/>
        <v>0.10280497392429422</v>
      </c>
      <c r="BN331" s="61">
        <f t="shared" si="813"/>
        <v>9.2217995548221951E-2</v>
      </c>
      <c r="BO331" s="63">
        <f t="shared" si="813"/>
        <v>8.0250830966486969E-2</v>
      </c>
      <c r="BP331" s="63">
        <f t="shared" si="813"/>
        <v>0.10420260567187611</v>
      </c>
      <c r="BQ331" s="63">
        <f t="shared" si="813"/>
        <v>7.7624883172453044E-2</v>
      </c>
      <c r="BR331" s="63">
        <f t="shared" si="813"/>
        <v>0.10174600062385805</v>
      </c>
      <c r="BS331" s="61">
        <f t="shared" si="813"/>
        <v>9.1187831997253277E-2</v>
      </c>
      <c r="BT331" s="61">
        <f t="shared" si="813"/>
        <v>9.079010588549713E-2</v>
      </c>
      <c r="BU331" s="61">
        <f t="shared" si="813"/>
        <v>8.9404468047209182E-2</v>
      </c>
      <c r="BV331" s="61">
        <f t="shared" si="813"/>
        <v>8.7871128379271399E-2</v>
      </c>
      <c r="BW331" s="37"/>
    </row>
    <row r="332" spans="1:75" ht="15.75" customHeight="1" x14ac:dyDescent="0.2">
      <c r="A332" s="308" t="s">
        <v>674</v>
      </c>
      <c r="B332" s="67"/>
      <c r="C332" s="309">
        <f t="shared" ref="C332:BV332" si="814">C395/C382</f>
        <v>0.12068138974544634</v>
      </c>
      <c r="D332" s="309">
        <f t="shared" si="814"/>
        <v>0.13041851170661262</v>
      </c>
      <c r="E332" s="309">
        <f t="shared" si="814"/>
        <v>0.12899687305134661</v>
      </c>
      <c r="F332" s="309">
        <f t="shared" si="814"/>
        <v>0.13587213387159994</v>
      </c>
      <c r="G332" s="310">
        <f t="shared" si="814"/>
        <v>0.13256504066796529</v>
      </c>
      <c r="H332" s="310">
        <f t="shared" si="814"/>
        <v>0.1442212380721436</v>
      </c>
      <c r="I332" s="310">
        <f t="shared" si="814"/>
        <v>0.14277015705803078</v>
      </c>
      <c r="J332" s="310">
        <f t="shared" si="814"/>
        <v>0.14682313318949647</v>
      </c>
      <c r="K332" s="309">
        <f t="shared" si="814"/>
        <v>0.14164257073022679</v>
      </c>
      <c r="L332" s="310">
        <f t="shared" si="814"/>
        <v>0.123762283691744</v>
      </c>
      <c r="M332" s="310">
        <f t="shared" si="814"/>
        <v>0.14150110997852569</v>
      </c>
      <c r="N332" s="310">
        <f t="shared" si="814"/>
        <v>0.12647611567697942</v>
      </c>
      <c r="O332" s="310">
        <f t="shared" si="814"/>
        <v>0.13305501798176003</v>
      </c>
      <c r="P332" s="309">
        <f t="shared" si="814"/>
        <v>0.13125156833064869</v>
      </c>
      <c r="Q332" s="310">
        <f t="shared" si="814"/>
        <v>0.13207831296225855</v>
      </c>
      <c r="R332" s="310">
        <f t="shared" si="814"/>
        <v>0.15103750281134048</v>
      </c>
      <c r="S332" s="310">
        <f t="shared" si="814"/>
        <v>0.13698812200012142</v>
      </c>
      <c r="T332" s="310">
        <f t="shared" si="814"/>
        <v>0.13911787427326269</v>
      </c>
      <c r="U332" s="309">
        <f t="shared" si="814"/>
        <v>0.13985039576618005</v>
      </c>
      <c r="V332" s="310">
        <f t="shared" si="814"/>
        <v>0.14006498185817784</v>
      </c>
      <c r="W332" s="310">
        <f t="shared" si="814"/>
        <v>0.15222362586828228</v>
      </c>
      <c r="X332" s="310">
        <f t="shared" si="814"/>
        <v>0.14026691999185745</v>
      </c>
      <c r="Y332" s="310">
        <f t="shared" si="814"/>
        <v>0.13758194533330223</v>
      </c>
      <c r="Z332" s="309">
        <f t="shared" si="814"/>
        <v>0.14244245445065931</v>
      </c>
      <c r="AA332" s="310">
        <f t="shared" si="814"/>
        <v>0.129795217118131</v>
      </c>
      <c r="AB332" s="310">
        <f t="shared" si="814"/>
        <v>0.1411587575390133</v>
      </c>
      <c r="AC332" s="310">
        <f t="shared" si="814"/>
        <v>0.11877196646692806</v>
      </c>
      <c r="AD332" s="310">
        <f t="shared" si="814"/>
        <v>0.11562305990573882</v>
      </c>
      <c r="AE332" s="309">
        <f t="shared" si="814"/>
        <v>0.1263666212195344</v>
      </c>
      <c r="AF332" s="310">
        <f t="shared" si="814"/>
        <v>0.10608761602936237</v>
      </c>
      <c r="AG332" s="310">
        <f t="shared" si="814"/>
        <v>0.11356456240791137</v>
      </c>
      <c r="AH332" s="310">
        <f t="shared" si="814"/>
        <v>0.11332766379402345</v>
      </c>
      <c r="AI332" s="310">
        <f t="shared" si="814"/>
        <v>0.1159521836094707</v>
      </c>
      <c r="AJ332" s="309">
        <f t="shared" si="814"/>
        <v>0.11306714184221692</v>
      </c>
      <c r="AK332" s="310">
        <f t="shared" si="814"/>
        <v>9.9230834671991314E-2</v>
      </c>
      <c r="AL332" s="310">
        <f t="shared" si="814"/>
        <v>0.11378838287880925</v>
      </c>
      <c r="AM332" s="310">
        <f t="shared" si="814"/>
        <v>9.462164300230505E-2</v>
      </c>
      <c r="AN332" s="310">
        <f t="shared" si="814"/>
        <v>8.9409679696843311E-2</v>
      </c>
      <c r="AO332" s="309">
        <f t="shared" si="814"/>
        <v>0.1002150085471738</v>
      </c>
      <c r="AP332" s="310">
        <f t="shared" si="814"/>
        <v>5.0066167457316263E-2</v>
      </c>
      <c r="AQ332" s="310">
        <f t="shared" si="814"/>
        <v>-0.17365836181050576</v>
      </c>
      <c r="AR332" s="310">
        <f t="shared" si="814"/>
        <v>1.3490021556220111E-2</v>
      </c>
      <c r="AS332" s="310">
        <f t="shared" si="814"/>
        <v>1.3598364084883057E-2</v>
      </c>
      <c r="AT332" s="309">
        <f t="shared" si="814"/>
        <v>-3.0536121720936117E-3</v>
      </c>
      <c r="AU332" s="310">
        <f t="shared" si="814"/>
        <v>6.5815876841080256E-2</v>
      </c>
      <c r="AV332" s="310">
        <f t="shared" si="814"/>
        <v>0.10789694078724937</v>
      </c>
      <c r="AW332" s="310">
        <f t="shared" si="814"/>
        <v>8.3768294202318419E-2</v>
      </c>
      <c r="AX332" s="310">
        <f t="shared" si="814"/>
        <v>7.5778975734298773E-2</v>
      </c>
      <c r="AY332" s="309">
        <f t="shared" si="814"/>
        <v>8.4138901603393934E-2</v>
      </c>
      <c r="AZ332" s="310">
        <f t="shared" si="814"/>
        <v>7.3334089276939921E-2</v>
      </c>
      <c r="BA332" s="310">
        <f t="shared" si="814"/>
        <v>7.2828330989391593E-2</v>
      </c>
      <c r="BB332" s="310">
        <f t="shared" si="814"/>
        <v>4.0136428397412868E-2</v>
      </c>
      <c r="BC332" s="310">
        <f t="shared" si="814"/>
        <v>7.5058075586747694E-2</v>
      </c>
      <c r="BD332" s="309">
        <f t="shared" si="814"/>
        <v>6.5793138440933388E-2</v>
      </c>
      <c r="BE332" s="310">
        <f t="shared" si="814"/>
        <v>7.9973306054399423E-2</v>
      </c>
      <c r="BF332" s="310">
        <f t="shared" si="814"/>
        <v>9.6710807347287348E-2</v>
      </c>
      <c r="BG332" s="310">
        <f t="shared" si="814"/>
        <v>6.8288746220835597E-2</v>
      </c>
      <c r="BH332" s="310">
        <f t="shared" si="814"/>
        <v>9.6103916835517222E-2</v>
      </c>
      <c r="BI332" s="311">
        <f t="shared" si="814"/>
        <v>8.5480954661182232E-2</v>
      </c>
      <c r="BJ332" s="69">
        <f t="shared" si="814"/>
        <v>8.1309985747147276E-2</v>
      </c>
      <c r="BK332" s="69">
        <f t="shared" si="814"/>
        <v>0.10515925105859349</v>
      </c>
      <c r="BL332" s="69">
        <f t="shared" si="814"/>
        <v>7.8676803744242824E-2</v>
      </c>
      <c r="BM332" s="69">
        <f t="shared" si="814"/>
        <v>0.10280497392429422</v>
      </c>
      <c r="BN332" s="68">
        <f t="shared" si="814"/>
        <v>9.2217995548221923E-2</v>
      </c>
      <c r="BO332" s="69">
        <f t="shared" si="814"/>
        <v>8.0250830966486969E-2</v>
      </c>
      <c r="BP332" s="69">
        <f t="shared" si="814"/>
        <v>0.10420260567187611</v>
      </c>
      <c r="BQ332" s="69">
        <f t="shared" si="814"/>
        <v>7.7624883172453044E-2</v>
      </c>
      <c r="BR332" s="69">
        <f t="shared" si="814"/>
        <v>0.10174600062385805</v>
      </c>
      <c r="BS332" s="68">
        <f t="shared" si="814"/>
        <v>9.1187831997253346E-2</v>
      </c>
      <c r="BT332" s="68">
        <f t="shared" si="814"/>
        <v>9.079010588549713E-2</v>
      </c>
      <c r="BU332" s="68">
        <f t="shared" si="814"/>
        <v>8.9404468047209182E-2</v>
      </c>
      <c r="BV332" s="68">
        <f t="shared" si="814"/>
        <v>8.7871128379271399E-2</v>
      </c>
      <c r="BW332" s="37"/>
    </row>
    <row r="333" spans="1:75" ht="15.75" customHeight="1" x14ac:dyDescent="0.2">
      <c r="A333" s="148" t="s">
        <v>675</v>
      </c>
      <c r="B333" s="149"/>
      <c r="C333" s="312"/>
      <c r="D333" s="312"/>
      <c r="E333" s="312"/>
      <c r="F333" s="312"/>
      <c r="G333" s="149"/>
      <c r="H333" s="149"/>
      <c r="I333" s="149"/>
      <c r="J333" s="149"/>
      <c r="K333" s="312"/>
      <c r="L333" s="149"/>
      <c r="M333" s="149"/>
      <c r="N333" s="149"/>
      <c r="O333" s="149"/>
      <c r="P333" s="312"/>
      <c r="Q333" s="149"/>
      <c r="R333" s="149"/>
      <c r="S333" s="149"/>
      <c r="T333" s="149"/>
      <c r="U333" s="312"/>
      <c r="V333" s="149"/>
      <c r="W333" s="149"/>
      <c r="X333" s="149"/>
      <c r="Y333" s="149"/>
      <c r="Z333" s="312"/>
      <c r="AA333" s="149"/>
      <c r="AB333" s="149"/>
      <c r="AC333" s="149"/>
      <c r="AD333" s="149"/>
      <c r="AE333" s="312"/>
      <c r="AF333" s="149"/>
      <c r="AG333" s="149"/>
      <c r="AH333" s="149"/>
      <c r="AI333" s="149"/>
      <c r="AJ333" s="312"/>
      <c r="AK333" s="149"/>
      <c r="AL333" s="149"/>
      <c r="AM333" s="149"/>
      <c r="AN333" s="149"/>
      <c r="AO333" s="312"/>
      <c r="AP333" s="149"/>
      <c r="AQ333" s="149"/>
      <c r="AR333" s="149"/>
      <c r="AS333" s="149"/>
      <c r="AT333" s="312"/>
      <c r="AU333" s="149"/>
      <c r="AV333" s="149"/>
      <c r="AW333" s="149"/>
      <c r="AX333" s="149"/>
      <c r="AY333" s="312"/>
      <c r="AZ333" s="149"/>
      <c r="BA333" s="149"/>
      <c r="BB333" s="149"/>
      <c r="BC333" s="149"/>
      <c r="BD333" s="312"/>
      <c r="BE333" s="149"/>
      <c r="BF333" s="149"/>
      <c r="BG333" s="149"/>
      <c r="BH333" s="149"/>
      <c r="BI333" s="313"/>
      <c r="BJ333" s="149">
        <f t="shared" ref="BJ333:BV333" ca="1" si="815">IFERROR(BJ396/BJ383,0)</f>
        <v>0</v>
      </c>
      <c r="BK333" s="149">
        <f t="shared" ca="1" si="815"/>
        <v>0</v>
      </c>
      <c r="BL333" s="149">
        <f t="shared" ca="1" si="815"/>
        <v>0</v>
      </c>
      <c r="BM333" s="149">
        <f t="shared" ca="1" si="815"/>
        <v>0</v>
      </c>
      <c r="BN333" s="312">
        <f t="shared" ca="1" si="815"/>
        <v>0</v>
      </c>
      <c r="BO333" s="149">
        <f t="shared" ca="1" si="815"/>
        <v>0</v>
      </c>
      <c r="BP333" s="149">
        <f t="shared" ca="1" si="815"/>
        <v>0</v>
      </c>
      <c r="BQ333" s="149">
        <f t="shared" ca="1" si="815"/>
        <v>0</v>
      </c>
      <c r="BR333" s="149">
        <f t="shared" ca="1" si="815"/>
        <v>0</v>
      </c>
      <c r="BS333" s="312">
        <f t="shared" ca="1" si="815"/>
        <v>0</v>
      </c>
      <c r="BT333" s="312">
        <f t="shared" ca="1" si="815"/>
        <v>0</v>
      </c>
      <c r="BU333" s="312">
        <f t="shared" ca="1" si="815"/>
        <v>0</v>
      </c>
      <c r="BV333" s="312">
        <f t="shared" ca="1" si="815"/>
        <v>0</v>
      </c>
      <c r="BW333" s="148"/>
    </row>
    <row r="334" spans="1:75" ht="15.75" customHeight="1" x14ac:dyDescent="0.2">
      <c r="A334" s="39"/>
      <c r="B334" s="39"/>
      <c r="C334" s="314"/>
      <c r="D334" s="314"/>
      <c r="E334" s="314"/>
      <c r="F334" s="314"/>
      <c r="G334" s="315"/>
      <c r="H334" s="315"/>
      <c r="I334" s="315"/>
      <c r="J334" s="315"/>
      <c r="K334" s="314"/>
      <c r="L334" s="315"/>
      <c r="M334" s="315"/>
      <c r="N334" s="315"/>
      <c r="O334" s="315"/>
      <c r="P334" s="314"/>
      <c r="Q334" s="315"/>
      <c r="R334" s="315"/>
      <c r="S334" s="315"/>
      <c r="T334" s="315"/>
      <c r="U334" s="314"/>
      <c r="V334" s="315"/>
      <c r="W334" s="315"/>
      <c r="X334" s="315"/>
      <c r="Y334" s="315"/>
      <c r="Z334" s="189"/>
      <c r="AA334" s="315"/>
      <c r="AB334" s="315"/>
      <c r="AC334" s="315"/>
      <c r="AD334" s="315"/>
      <c r="AE334" s="189"/>
      <c r="AF334" s="315"/>
      <c r="AG334" s="315"/>
      <c r="AH334" s="315"/>
      <c r="AI334" s="315"/>
      <c r="AJ334" s="189"/>
      <c r="AK334" s="315"/>
      <c r="AL334" s="315"/>
      <c r="AM334" s="315"/>
      <c r="AN334" s="315"/>
      <c r="AO334" s="189"/>
      <c r="AP334" s="315"/>
      <c r="AQ334" s="315"/>
      <c r="AR334" s="315"/>
      <c r="AS334" s="315"/>
      <c r="AT334" s="189"/>
      <c r="AU334" s="315"/>
      <c r="AV334" s="315"/>
      <c r="AW334" s="315"/>
      <c r="AX334" s="315"/>
      <c r="AY334" s="189"/>
      <c r="AZ334" s="315"/>
      <c r="BA334" s="315"/>
      <c r="BB334" s="315"/>
      <c r="BC334" s="315"/>
      <c r="BD334" s="189"/>
      <c r="BE334" s="315"/>
      <c r="BF334" s="315"/>
      <c r="BG334" s="315"/>
      <c r="BH334" s="315"/>
      <c r="BI334" s="190"/>
      <c r="BJ334" s="315"/>
      <c r="BK334" s="315"/>
      <c r="BL334" s="315"/>
      <c r="BM334" s="315"/>
      <c r="BN334" s="189"/>
      <c r="BO334" s="315"/>
      <c r="BP334" s="315"/>
      <c r="BQ334" s="315"/>
      <c r="BR334" s="315"/>
      <c r="BS334" s="189"/>
      <c r="BT334" s="189"/>
      <c r="BU334" s="189"/>
      <c r="BV334" s="189"/>
      <c r="BW334" s="45"/>
    </row>
    <row r="335" spans="1:75" ht="15.75" customHeight="1" x14ac:dyDescent="0.2">
      <c r="A335" s="81" t="s">
        <v>676</v>
      </c>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2"/>
      <c r="BJ335" s="81"/>
      <c r="BK335" s="81"/>
      <c r="BL335" s="81"/>
      <c r="BM335" s="81"/>
      <c r="BN335" s="81"/>
      <c r="BO335" s="81"/>
      <c r="BP335" s="81"/>
      <c r="BQ335" s="81"/>
      <c r="BR335" s="81"/>
      <c r="BS335" s="81"/>
      <c r="BT335" s="81"/>
      <c r="BU335" s="81"/>
      <c r="BV335" s="81"/>
      <c r="BW335" s="83"/>
    </row>
    <row r="336" spans="1:75" ht="15.75" customHeight="1" outlineLevel="1" x14ac:dyDescent="0.2">
      <c r="A336" s="229" t="s">
        <v>677</v>
      </c>
      <c r="B336" s="108"/>
      <c r="C336" s="316">
        <v>1602.02</v>
      </c>
      <c r="D336" s="316">
        <v>1659.404</v>
      </c>
      <c r="E336" s="316">
        <v>1757.624</v>
      </c>
      <c r="F336" s="316">
        <v>1809.0170000000001</v>
      </c>
      <c r="G336" s="317">
        <v>463.01799999999997</v>
      </c>
      <c r="H336" s="317">
        <v>470.11799999999999</v>
      </c>
      <c r="I336" s="317">
        <v>469.69900000000001</v>
      </c>
      <c r="J336" s="317">
        <v>475.07499999999999</v>
      </c>
      <c r="K336" s="316">
        <v>1877.91</v>
      </c>
      <c r="L336" s="317">
        <v>481.43099999999998</v>
      </c>
      <c r="M336" s="317">
        <v>496.40600000000001</v>
      </c>
      <c r="N336" s="317">
        <v>499.11399999999998</v>
      </c>
      <c r="O336" s="317">
        <v>499.673</v>
      </c>
      <c r="P336" s="316">
        <v>1976.624</v>
      </c>
      <c r="Q336" s="317">
        <v>517.97299999999996</v>
      </c>
      <c r="R336" s="317">
        <v>529.10699999999997</v>
      </c>
      <c r="S336" s="317">
        <v>526.68799999999999</v>
      </c>
      <c r="T336" s="317">
        <v>526.84100000000001</v>
      </c>
      <c r="U336" s="316">
        <v>2100.6089999999999</v>
      </c>
      <c r="V336" s="317">
        <v>553.69299999999998</v>
      </c>
      <c r="W336" s="317">
        <v>558.86199999999997</v>
      </c>
      <c r="X336" s="317">
        <v>560.01800000000003</v>
      </c>
      <c r="Y336" s="317">
        <v>603.14599999999996</v>
      </c>
      <c r="Z336" s="316">
        <v>2275.7190000000001</v>
      </c>
      <c r="AA336" s="317">
        <v>563.42600000000004</v>
      </c>
      <c r="AB336" s="317">
        <v>569.86900000000003</v>
      </c>
      <c r="AC336" s="317">
        <v>555.39200000000005</v>
      </c>
      <c r="AD336" s="317">
        <v>571.81500000000005</v>
      </c>
      <c r="AE336" s="316">
        <v>2260.502</v>
      </c>
      <c r="AF336" s="317">
        <v>590.69100000000003</v>
      </c>
      <c r="AG336" s="317">
        <v>593.178</v>
      </c>
      <c r="AH336" s="317">
        <v>580.88199999999995</v>
      </c>
      <c r="AI336" s="317">
        <v>585.15499999999997</v>
      </c>
      <c r="AJ336" s="316">
        <v>2332.3310000000001</v>
      </c>
      <c r="AK336" s="317">
        <v>599.48099999999999</v>
      </c>
      <c r="AL336" s="317">
        <v>602.64499999999998</v>
      </c>
      <c r="AM336" s="317">
        <v>586.53599999999994</v>
      </c>
      <c r="AN336" s="83">
        <f t="shared" ref="AN336:AN339" si="816">AO336-SUM(AK336,AL336,AM336)</f>
        <v>694.0300000000002</v>
      </c>
      <c r="AO336" s="316">
        <v>2482.692</v>
      </c>
      <c r="AP336" s="317">
        <v>615.10599999999999</v>
      </c>
      <c r="AQ336" s="317">
        <v>295.851</v>
      </c>
      <c r="AR336" s="317">
        <v>517.71600000000001</v>
      </c>
      <c r="AS336" s="83">
        <f t="shared" ref="AS336:AS345" si="817">AT336-SUM(AP336,AQ336,AR336)</f>
        <v>554.55199999999991</v>
      </c>
      <c r="AT336" s="316">
        <v>1983.2249999999999</v>
      </c>
      <c r="AU336" s="317">
        <v>627.41700000000003</v>
      </c>
      <c r="AV336" s="317">
        <v>768.95600000000002</v>
      </c>
      <c r="AW336" s="317">
        <v>754.47400000000005</v>
      </c>
      <c r="AX336" s="83">
        <f t="shared" ref="AX336:AX345" si="818">AY336-SUM(AU336,AV336,AW336)</f>
        <v>776.69299999999976</v>
      </c>
      <c r="AY336" s="316">
        <v>2927.54</v>
      </c>
      <c r="AZ336" s="317">
        <v>793.71</v>
      </c>
      <c r="BA336" s="317">
        <v>832.64300000000003</v>
      </c>
      <c r="BB336" s="317">
        <v>784.00099999999998</v>
      </c>
      <c r="BC336" s="83">
        <f t="shared" ref="BC336:BC345" si="819">BD336-SUM(AZ336,BA336,BB336)</f>
        <v>892.80199999999968</v>
      </c>
      <c r="BD336" s="316">
        <v>3303.1559999999999</v>
      </c>
      <c r="BE336" s="317">
        <v>866.11400000000003</v>
      </c>
      <c r="BF336" s="317">
        <v>866.17</v>
      </c>
      <c r="BG336" s="317">
        <v>830.21</v>
      </c>
      <c r="BH336" s="83">
        <f t="shared" ref="BH336:BH345" si="820">BI336-SUM(BE336,BF336,BG336)</f>
        <v>877.00900000000001</v>
      </c>
      <c r="BI336" s="318">
        <v>3439.5030000000002</v>
      </c>
      <c r="BJ336" s="110"/>
      <c r="BK336" s="110"/>
      <c r="BL336" s="110"/>
      <c r="BM336" s="110"/>
      <c r="BN336" s="109"/>
      <c r="BO336" s="110"/>
      <c r="BP336" s="110"/>
      <c r="BQ336" s="110"/>
      <c r="BR336" s="110"/>
      <c r="BS336" s="109"/>
      <c r="BT336" s="109"/>
      <c r="BU336" s="109"/>
      <c r="BV336" s="109"/>
      <c r="BW336" s="83"/>
    </row>
    <row r="337" spans="1:75" ht="15.75" customHeight="1" outlineLevel="1" x14ac:dyDescent="0.2">
      <c r="A337" s="84" t="s">
        <v>678</v>
      </c>
      <c r="B337" s="85"/>
      <c r="C337" s="87">
        <v>394.40899999999999</v>
      </c>
      <c r="D337" s="87">
        <v>412.85500000000002</v>
      </c>
      <c r="E337" s="87">
        <v>448.46800000000002</v>
      </c>
      <c r="F337" s="87">
        <v>450.15300000000002</v>
      </c>
      <c r="G337" s="88">
        <v>114.29300000000001</v>
      </c>
      <c r="H337" s="88">
        <v>112.947</v>
      </c>
      <c r="I337" s="88">
        <v>112.43</v>
      </c>
      <c r="J337" s="88">
        <v>116.015</v>
      </c>
      <c r="K337" s="87">
        <v>455.685</v>
      </c>
      <c r="L337" s="88">
        <v>119.36199999999999</v>
      </c>
      <c r="M337" s="88">
        <v>120.667</v>
      </c>
      <c r="N337" s="88">
        <v>124.02800000000001</v>
      </c>
      <c r="O337" s="88">
        <v>126.249</v>
      </c>
      <c r="P337" s="87">
        <v>490.30599999999998</v>
      </c>
      <c r="Q337" s="88">
        <v>126.61199999999999</v>
      </c>
      <c r="R337" s="88">
        <v>126.623</v>
      </c>
      <c r="S337" s="88">
        <v>125.605</v>
      </c>
      <c r="T337" s="88">
        <v>125.191</v>
      </c>
      <c r="U337" s="87">
        <v>504.03100000000001</v>
      </c>
      <c r="V337" s="88">
        <v>130.773</v>
      </c>
      <c r="W337" s="88">
        <v>126.93300000000001</v>
      </c>
      <c r="X337" s="88">
        <v>128.83799999999999</v>
      </c>
      <c r="Y337" s="88">
        <v>140.084</v>
      </c>
      <c r="Z337" s="87">
        <v>526.62800000000004</v>
      </c>
      <c r="AA337" s="88">
        <v>129.13900000000001</v>
      </c>
      <c r="AB337" s="88">
        <v>128.78100000000001</v>
      </c>
      <c r="AC337" s="88">
        <v>127.453</v>
      </c>
      <c r="AD337" s="88">
        <v>134.01499999999999</v>
      </c>
      <c r="AE337" s="87">
        <v>519.38800000000003</v>
      </c>
      <c r="AF337" s="88">
        <v>135.71899999999999</v>
      </c>
      <c r="AG337" s="88">
        <v>133.136</v>
      </c>
      <c r="AH337" s="88">
        <v>133.59800000000001</v>
      </c>
      <c r="AI337" s="88">
        <v>134.821</v>
      </c>
      <c r="AJ337" s="87">
        <v>532.88</v>
      </c>
      <c r="AK337" s="88">
        <v>136.18700000000001</v>
      </c>
      <c r="AL337" s="88">
        <v>134.43799999999999</v>
      </c>
      <c r="AM337" s="88">
        <v>132.941</v>
      </c>
      <c r="AN337" s="4">
        <f t="shared" si="816"/>
        <v>158.21699999999998</v>
      </c>
      <c r="AO337" s="87">
        <v>561.78300000000002</v>
      </c>
      <c r="AP337" s="88">
        <v>140.905</v>
      </c>
      <c r="AQ337" s="88">
        <v>72.138999999999996</v>
      </c>
      <c r="AR337" s="88">
        <v>118.093</v>
      </c>
      <c r="AS337" s="4">
        <f t="shared" si="817"/>
        <v>127.19499999999999</v>
      </c>
      <c r="AT337" s="87">
        <v>458.33199999999999</v>
      </c>
      <c r="AU337" s="88">
        <v>135.875</v>
      </c>
      <c r="AV337" s="88">
        <v>168.94399999999999</v>
      </c>
      <c r="AW337" s="88">
        <v>169.41800000000001</v>
      </c>
      <c r="AX337" s="4">
        <f t="shared" si="818"/>
        <v>178.89600000000007</v>
      </c>
      <c r="AY337" s="87">
        <v>653.13300000000004</v>
      </c>
      <c r="AZ337" s="88">
        <v>188.501</v>
      </c>
      <c r="BA337" s="88">
        <v>204.18199999999999</v>
      </c>
      <c r="BB337" s="88">
        <v>197.774</v>
      </c>
      <c r="BC337" s="4">
        <f t="shared" si="819"/>
        <v>220.46900000000005</v>
      </c>
      <c r="BD337" s="87">
        <v>810.92600000000004</v>
      </c>
      <c r="BE337" s="88">
        <v>206.22399999999999</v>
      </c>
      <c r="BF337" s="88">
        <v>201.09399999999999</v>
      </c>
      <c r="BG337" s="88">
        <v>194.733</v>
      </c>
      <c r="BH337" s="4">
        <f t="shared" si="820"/>
        <v>201.44900000000007</v>
      </c>
      <c r="BI337" s="89">
        <v>803.5</v>
      </c>
      <c r="BJ337" s="2"/>
      <c r="BK337" s="2"/>
      <c r="BL337" s="2"/>
      <c r="BM337" s="2"/>
      <c r="BN337" s="86"/>
      <c r="BO337" s="2"/>
      <c r="BP337" s="2"/>
      <c r="BQ337" s="2"/>
      <c r="BR337" s="2"/>
      <c r="BS337" s="86"/>
      <c r="BT337" s="86"/>
      <c r="BU337" s="86"/>
      <c r="BV337" s="86"/>
      <c r="BW337" s="4"/>
    </row>
    <row r="338" spans="1:75" ht="15.75" customHeight="1" outlineLevel="1" x14ac:dyDescent="0.2">
      <c r="A338" s="84" t="s">
        <v>223</v>
      </c>
      <c r="B338" s="85"/>
      <c r="C338" s="87">
        <v>528.57799999999997</v>
      </c>
      <c r="D338" s="87">
        <v>536.95399999999995</v>
      </c>
      <c r="E338" s="87">
        <v>567.35799999999995</v>
      </c>
      <c r="F338" s="87">
        <v>580.19200000000001</v>
      </c>
      <c r="G338" s="88">
        <v>150.983</v>
      </c>
      <c r="H338" s="88">
        <v>151.16200000000001</v>
      </c>
      <c r="I338" s="88">
        <v>150.91</v>
      </c>
      <c r="J338" s="88">
        <v>150.01400000000001</v>
      </c>
      <c r="K338" s="87">
        <v>603.06899999999996</v>
      </c>
      <c r="L338" s="88">
        <v>159.44999999999999</v>
      </c>
      <c r="M338" s="88">
        <v>160.77699999999999</v>
      </c>
      <c r="N338" s="88">
        <v>163.279</v>
      </c>
      <c r="O338" s="88">
        <v>162.596</v>
      </c>
      <c r="P338" s="87">
        <v>646.10199999999998</v>
      </c>
      <c r="Q338" s="88">
        <v>171.16900000000001</v>
      </c>
      <c r="R338" s="88">
        <v>168.495</v>
      </c>
      <c r="S338" s="88">
        <v>172.101</v>
      </c>
      <c r="T338" s="88">
        <v>173.053</v>
      </c>
      <c r="U338" s="87">
        <v>684.81799999999998</v>
      </c>
      <c r="V338" s="88">
        <v>185.65799999999999</v>
      </c>
      <c r="W338" s="88">
        <v>185.21100000000001</v>
      </c>
      <c r="X338" s="88">
        <v>186.56700000000001</v>
      </c>
      <c r="Y338" s="88">
        <v>202.56200000000001</v>
      </c>
      <c r="Z338" s="87">
        <v>759.99800000000005</v>
      </c>
      <c r="AA338" s="88">
        <v>193.83500000000001</v>
      </c>
      <c r="AB338" s="88">
        <v>193.06299999999999</v>
      </c>
      <c r="AC338" s="88">
        <v>193.46600000000001</v>
      </c>
      <c r="AD338" s="88">
        <v>197.23099999999999</v>
      </c>
      <c r="AE338" s="87">
        <v>777.59500000000003</v>
      </c>
      <c r="AF338" s="88">
        <v>210.714</v>
      </c>
      <c r="AG338" s="88">
        <v>212.52099999999999</v>
      </c>
      <c r="AH338" s="88">
        <v>204.53700000000001</v>
      </c>
      <c r="AI338" s="88">
        <v>209.702</v>
      </c>
      <c r="AJ338" s="87">
        <v>834.13400000000001</v>
      </c>
      <c r="AK338" s="88">
        <v>217.31</v>
      </c>
      <c r="AL338" s="88">
        <v>217.92099999999999</v>
      </c>
      <c r="AM338" s="88">
        <v>213.6</v>
      </c>
      <c r="AN338" s="4">
        <f t="shared" si="816"/>
        <v>250.83600000000001</v>
      </c>
      <c r="AO338" s="87">
        <v>899.66700000000003</v>
      </c>
      <c r="AP338" s="88">
        <v>236.982</v>
      </c>
      <c r="AQ338" s="88">
        <v>122.812</v>
      </c>
      <c r="AR338" s="88">
        <v>200.666</v>
      </c>
      <c r="AS338" s="4">
        <f t="shared" si="817"/>
        <v>218.12599999999998</v>
      </c>
      <c r="AT338" s="87">
        <v>778.58600000000001</v>
      </c>
      <c r="AU338" s="88">
        <v>229.732</v>
      </c>
      <c r="AV338" s="88">
        <v>274.81200000000001</v>
      </c>
      <c r="AW338" s="88">
        <v>279.95699999999999</v>
      </c>
      <c r="AX338" s="4">
        <f t="shared" si="818"/>
        <v>288.12699999999995</v>
      </c>
      <c r="AY338" s="87">
        <v>1072.6279999999999</v>
      </c>
      <c r="AZ338" s="88">
        <v>295.76299999999998</v>
      </c>
      <c r="BA338" s="88">
        <v>304.51900000000001</v>
      </c>
      <c r="BB338" s="88">
        <v>293.04000000000002</v>
      </c>
      <c r="BC338" s="4">
        <f t="shared" si="819"/>
        <v>318.62900000000013</v>
      </c>
      <c r="BD338" s="87">
        <v>1211.951</v>
      </c>
      <c r="BE338" s="88">
        <v>311.52800000000002</v>
      </c>
      <c r="BF338" s="88">
        <v>306.149</v>
      </c>
      <c r="BG338" s="88">
        <v>301.66300000000001</v>
      </c>
      <c r="BH338" s="4">
        <f t="shared" si="820"/>
        <v>308.55499999999995</v>
      </c>
      <c r="BI338" s="89">
        <v>1227.895</v>
      </c>
      <c r="BJ338" s="2"/>
      <c r="BK338" s="2"/>
      <c r="BL338" s="2"/>
      <c r="BM338" s="2"/>
      <c r="BN338" s="86"/>
      <c r="BO338" s="2"/>
      <c r="BP338" s="2"/>
      <c r="BQ338" s="2"/>
      <c r="BR338" s="2"/>
      <c r="BS338" s="86"/>
      <c r="BT338" s="86"/>
      <c r="BU338" s="86"/>
      <c r="BV338" s="86"/>
      <c r="BW338" s="4"/>
    </row>
    <row r="339" spans="1:75" ht="15.75" customHeight="1" outlineLevel="1" x14ac:dyDescent="0.2">
      <c r="A339" s="84" t="s">
        <v>679</v>
      </c>
      <c r="B339" s="85"/>
      <c r="C339" s="87">
        <v>402.87700000000001</v>
      </c>
      <c r="D339" s="87">
        <v>408.36200000000002</v>
      </c>
      <c r="E339" s="87">
        <v>428.44200000000001</v>
      </c>
      <c r="F339" s="87">
        <v>439.55900000000003</v>
      </c>
      <c r="G339" s="88">
        <v>110.97799999999999</v>
      </c>
      <c r="H339" s="88">
        <v>113.80500000000001</v>
      </c>
      <c r="I339" s="88">
        <v>113.955</v>
      </c>
      <c r="J339" s="88">
        <v>113.833</v>
      </c>
      <c r="K339" s="87">
        <v>452.57100000000003</v>
      </c>
      <c r="L339" s="88">
        <v>115.633</v>
      </c>
      <c r="M339" s="88">
        <v>119.577</v>
      </c>
      <c r="N339" s="88">
        <v>123.095</v>
      </c>
      <c r="O339" s="88">
        <v>120.199</v>
      </c>
      <c r="P339" s="87">
        <v>478.50400000000002</v>
      </c>
      <c r="Q339" s="88">
        <v>123.435</v>
      </c>
      <c r="R339" s="88">
        <v>123.675</v>
      </c>
      <c r="S339" s="88">
        <v>128.42699999999999</v>
      </c>
      <c r="T339" s="88">
        <v>125.10299999999999</v>
      </c>
      <c r="U339" s="87">
        <v>500.64</v>
      </c>
      <c r="V339" s="88">
        <v>129.55699999999999</v>
      </c>
      <c r="W339" s="88">
        <v>131.97999999999999</v>
      </c>
      <c r="X339" s="88">
        <v>134.87700000000001</v>
      </c>
      <c r="Y339" s="88">
        <v>143.95099999999999</v>
      </c>
      <c r="Z339" s="87">
        <v>540.36500000000001</v>
      </c>
      <c r="AA339" s="88">
        <v>135.65</v>
      </c>
      <c r="AB339" s="88">
        <v>137.46100000000001</v>
      </c>
      <c r="AC339" s="88">
        <v>138.423</v>
      </c>
      <c r="AD339" s="88">
        <v>141.25700000000001</v>
      </c>
      <c r="AE339" s="87">
        <v>552.79100000000005</v>
      </c>
      <c r="AF339" s="88">
        <v>148.33199999999999</v>
      </c>
      <c r="AG339" s="88">
        <v>143.79599999999999</v>
      </c>
      <c r="AH339" s="88">
        <v>144.18</v>
      </c>
      <c r="AI339" s="88">
        <v>140.35900000000001</v>
      </c>
      <c r="AJ339" s="87">
        <v>566.82500000000005</v>
      </c>
      <c r="AK339" s="88">
        <v>153.221</v>
      </c>
      <c r="AL339" s="88">
        <v>149.10599999999999</v>
      </c>
      <c r="AM339" s="88">
        <v>149.39699999999999</v>
      </c>
      <c r="AN339" s="4">
        <f t="shared" si="816"/>
        <v>179.88900000000007</v>
      </c>
      <c r="AO339" s="87">
        <v>631.61300000000006</v>
      </c>
      <c r="AP339" s="88">
        <v>167.97</v>
      </c>
      <c r="AQ339" s="88">
        <v>121.675</v>
      </c>
      <c r="AR339" s="88">
        <v>159.095</v>
      </c>
      <c r="AS339" s="4">
        <f t="shared" si="817"/>
        <v>167.32899999999995</v>
      </c>
      <c r="AT339" s="87">
        <v>616.06899999999996</v>
      </c>
      <c r="AU339" s="88">
        <v>181.53299999999999</v>
      </c>
      <c r="AV339" s="88">
        <v>199.495</v>
      </c>
      <c r="AW339" s="88">
        <v>201.49</v>
      </c>
      <c r="AX339" s="4">
        <f t="shared" si="818"/>
        <v>209.79300000000001</v>
      </c>
      <c r="AY339" s="87">
        <v>792.31100000000004</v>
      </c>
      <c r="AZ339" s="88">
        <v>207.63499999999999</v>
      </c>
      <c r="BA339" s="88">
        <v>219.2</v>
      </c>
      <c r="BB339" s="88">
        <v>217.00899999999999</v>
      </c>
      <c r="BC339" s="4">
        <f t="shared" si="819"/>
        <v>237.78300000000002</v>
      </c>
      <c r="BD339" s="87">
        <v>881.62699999999995</v>
      </c>
      <c r="BE339" s="88">
        <v>230.929</v>
      </c>
      <c r="BF339" s="88">
        <v>226.99600000000001</v>
      </c>
      <c r="BG339" s="88">
        <v>229.53399999999999</v>
      </c>
      <c r="BH339" s="4">
        <f t="shared" si="820"/>
        <v>234.96899999999994</v>
      </c>
      <c r="BI339" s="89">
        <v>922.428</v>
      </c>
      <c r="BJ339" s="2"/>
      <c r="BK339" s="2"/>
      <c r="BL339" s="2"/>
      <c r="BM339" s="2"/>
      <c r="BN339" s="86"/>
      <c r="BO339" s="2"/>
      <c r="BP339" s="2"/>
      <c r="BQ339" s="2"/>
      <c r="BR339" s="2"/>
      <c r="BS339" s="86"/>
      <c r="BT339" s="86"/>
      <c r="BU339" s="86"/>
      <c r="BV339" s="86"/>
      <c r="BW339" s="4"/>
    </row>
    <row r="340" spans="1:75" ht="15.75" customHeight="1" outlineLevel="1" x14ac:dyDescent="0.2">
      <c r="A340" s="84" t="s">
        <v>680</v>
      </c>
      <c r="B340" s="85"/>
      <c r="C340" s="87">
        <v>97.432000000000002</v>
      </c>
      <c r="D340" s="87">
        <v>95.728999999999999</v>
      </c>
      <c r="E340" s="87">
        <v>96.263000000000005</v>
      </c>
      <c r="F340" s="87">
        <v>104.15600000000001</v>
      </c>
      <c r="G340" s="88">
        <v>28.789000000000001</v>
      </c>
      <c r="H340" s="88">
        <v>27.811</v>
      </c>
      <c r="I340" s="88">
        <v>28.805</v>
      </c>
      <c r="J340" s="88">
        <v>29.323</v>
      </c>
      <c r="K340" s="87">
        <v>114.72799999999999</v>
      </c>
      <c r="L340" s="88">
        <v>31.242000000000001</v>
      </c>
      <c r="M340" s="88">
        <v>29.042000000000002</v>
      </c>
      <c r="N340" s="88">
        <v>29.640999999999998</v>
      </c>
      <c r="O340" s="88">
        <v>29.169</v>
      </c>
      <c r="P340" s="87">
        <v>119.09399999999999</v>
      </c>
      <c r="Q340" s="88">
        <v>33.075000000000003</v>
      </c>
      <c r="R340" s="88">
        <v>35.344999999999999</v>
      </c>
      <c r="S340" s="88">
        <v>33.277000000000001</v>
      </c>
      <c r="T340" s="88">
        <v>35.704999999999998</v>
      </c>
      <c r="U340" s="87">
        <v>137.40199999999999</v>
      </c>
      <c r="V340" s="88">
        <v>35.337000000000003</v>
      </c>
      <c r="W340" s="88">
        <v>35.784999999999997</v>
      </c>
      <c r="X340" s="88">
        <v>36.057000000000002</v>
      </c>
      <c r="Y340" s="88">
        <v>38.863</v>
      </c>
      <c r="Z340" s="87">
        <v>146.042</v>
      </c>
      <c r="AA340" s="88">
        <v>36.286999999999999</v>
      </c>
      <c r="AB340" s="88">
        <v>35.295000000000002</v>
      </c>
      <c r="AC340" s="88">
        <v>35.363999999999997</v>
      </c>
      <c r="AD340" s="88">
        <v>34.587000000000003</v>
      </c>
      <c r="AE340" s="87">
        <v>141.53299999999999</v>
      </c>
      <c r="AF340" s="88">
        <v>39.274000000000001</v>
      </c>
      <c r="AG340" s="88">
        <v>41.423000000000002</v>
      </c>
      <c r="AH340" s="88">
        <v>37.469000000000001</v>
      </c>
      <c r="AI340" s="88">
        <v>36.603999999999999</v>
      </c>
      <c r="AJ340" s="87">
        <v>154.77000000000001</v>
      </c>
      <c r="AK340" s="88">
        <v>39.122999999999998</v>
      </c>
      <c r="AL340" s="88">
        <v>37.247</v>
      </c>
      <c r="AM340" s="88">
        <v>39.746000000000002</v>
      </c>
      <c r="AN340" s="88">
        <v>47.273000000000003</v>
      </c>
      <c r="AO340" s="87">
        <v>160.19900000000001</v>
      </c>
      <c r="AP340" s="88">
        <v>43.96</v>
      </c>
      <c r="AQ340" s="88">
        <v>35.712000000000003</v>
      </c>
      <c r="AR340" s="88">
        <v>37.795000000000002</v>
      </c>
      <c r="AS340" s="4">
        <f t="shared" si="817"/>
        <v>40.177000000000007</v>
      </c>
      <c r="AT340" s="87">
        <v>157.64400000000001</v>
      </c>
      <c r="AU340" s="88">
        <v>44.427</v>
      </c>
      <c r="AV340" s="88">
        <v>48.228000000000002</v>
      </c>
      <c r="AW340" s="88">
        <v>45.802</v>
      </c>
      <c r="AX340" s="4">
        <f t="shared" si="818"/>
        <v>47.679000000000002</v>
      </c>
      <c r="AY340" s="87">
        <v>186.136</v>
      </c>
      <c r="AZ340" s="88">
        <v>49.122999999999998</v>
      </c>
      <c r="BA340" s="88">
        <v>50.191000000000003</v>
      </c>
      <c r="BB340" s="88">
        <v>50.323999999999998</v>
      </c>
      <c r="BC340" s="4">
        <f t="shared" si="819"/>
        <v>56.115000000000009</v>
      </c>
      <c r="BD340" s="87">
        <v>205.75299999999999</v>
      </c>
      <c r="BE340" s="88">
        <v>54.069000000000003</v>
      </c>
      <c r="BF340" s="88">
        <v>54.488</v>
      </c>
      <c r="BG340" s="88">
        <v>54.209000000000003</v>
      </c>
      <c r="BH340" s="4">
        <f t="shared" si="820"/>
        <v>54.682999999999993</v>
      </c>
      <c r="BI340" s="89">
        <v>217.44900000000001</v>
      </c>
      <c r="BJ340" s="2"/>
      <c r="BK340" s="2"/>
      <c r="BL340" s="2"/>
      <c r="BM340" s="2"/>
      <c r="BN340" s="86"/>
      <c r="BO340" s="2"/>
      <c r="BP340" s="2"/>
      <c r="BQ340" s="2"/>
      <c r="BR340" s="2"/>
      <c r="BS340" s="86"/>
      <c r="BT340" s="86"/>
      <c r="BU340" s="86"/>
      <c r="BV340" s="86"/>
      <c r="BW340" s="4"/>
    </row>
    <row r="341" spans="1:75" ht="15.75" customHeight="1" outlineLevel="1" x14ac:dyDescent="0.2">
      <c r="A341" s="84" t="s">
        <v>415</v>
      </c>
      <c r="B341" s="85"/>
      <c r="C341" s="87">
        <v>75.183999999999997</v>
      </c>
      <c r="D341" s="87">
        <v>72.14</v>
      </c>
      <c r="E341" s="87">
        <v>71.957999999999998</v>
      </c>
      <c r="F341" s="87">
        <v>74.433000000000007</v>
      </c>
      <c r="G341" s="88">
        <v>19.23</v>
      </c>
      <c r="H341" s="88">
        <v>19.215</v>
      </c>
      <c r="I341" s="88">
        <v>19.661000000000001</v>
      </c>
      <c r="J341" s="88">
        <v>20.452000000000002</v>
      </c>
      <c r="K341" s="87">
        <v>78.558000000000007</v>
      </c>
      <c r="L341" s="88">
        <v>20.251000000000001</v>
      </c>
      <c r="M341" s="88">
        <v>20.533999999999999</v>
      </c>
      <c r="N341" s="88">
        <v>20.93</v>
      </c>
      <c r="O341" s="88">
        <v>21.12</v>
      </c>
      <c r="P341" s="87">
        <v>82.834999999999994</v>
      </c>
      <c r="Q341" s="88">
        <v>21.177</v>
      </c>
      <c r="R341" s="88">
        <v>21.158000000000001</v>
      </c>
      <c r="S341" s="88">
        <v>21.317</v>
      </c>
      <c r="T341" s="88">
        <v>21.911000000000001</v>
      </c>
      <c r="U341" s="87">
        <v>85.563000000000002</v>
      </c>
      <c r="V341" s="88">
        <v>21.463999999999999</v>
      </c>
      <c r="W341" s="88">
        <v>21.460999999999999</v>
      </c>
      <c r="X341" s="88">
        <v>21.634</v>
      </c>
      <c r="Y341" s="88">
        <v>23.451000000000001</v>
      </c>
      <c r="Z341" s="87">
        <v>88.01</v>
      </c>
      <c r="AA341" s="88">
        <v>23.196000000000002</v>
      </c>
      <c r="AB341" s="88">
        <v>23.297000000000001</v>
      </c>
      <c r="AC341" s="88">
        <v>22.998999999999999</v>
      </c>
      <c r="AD341" s="88">
        <v>23.236999999999998</v>
      </c>
      <c r="AE341" s="87">
        <v>92.728999999999999</v>
      </c>
      <c r="AF341" s="88">
        <v>24.001999999999999</v>
      </c>
      <c r="AG341" s="88">
        <v>23.727</v>
      </c>
      <c r="AH341" s="88">
        <v>24.09</v>
      </c>
      <c r="AI341" s="88">
        <v>24.157</v>
      </c>
      <c r="AJ341" s="87">
        <v>95.975999999999999</v>
      </c>
      <c r="AK341" s="88">
        <v>21.361999999999998</v>
      </c>
      <c r="AL341" s="88">
        <v>21.658999999999999</v>
      </c>
      <c r="AM341" s="88">
        <v>21.341999999999999</v>
      </c>
      <c r="AN341" s="4">
        <f t="shared" ref="AN341:AN342" si="821">AO341-SUM(AK341,AL341,AM341)</f>
        <v>23.769999999999996</v>
      </c>
      <c r="AO341" s="87">
        <v>88.132999999999996</v>
      </c>
      <c r="AP341" s="88">
        <v>23.562000000000001</v>
      </c>
      <c r="AQ341" s="88">
        <v>22.59</v>
      </c>
      <c r="AR341" s="88">
        <v>22.651</v>
      </c>
      <c r="AS341" s="4">
        <f t="shared" si="817"/>
        <v>22.612000000000009</v>
      </c>
      <c r="AT341" s="87">
        <v>91.415000000000006</v>
      </c>
      <c r="AU341" s="88">
        <v>22.006</v>
      </c>
      <c r="AV341" s="88">
        <v>22.222999999999999</v>
      </c>
      <c r="AW341" s="88">
        <v>22.576000000000001</v>
      </c>
      <c r="AX341" s="4">
        <f t="shared" si="818"/>
        <v>22.84899999999999</v>
      </c>
      <c r="AY341" s="87">
        <v>89.653999999999996</v>
      </c>
      <c r="AZ341" s="88">
        <v>21.504999999999999</v>
      </c>
      <c r="BA341" s="88">
        <v>22.608000000000001</v>
      </c>
      <c r="BB341" s="88">
        <v>22.651</v>
      </c>
      <c r="BC341" s="4">
        <f t="shared" si="819"/>
        <v>25.616</v>
      </c>
      <c r="BD341" s="87">
        <v>92.38</v>
      </c>
      <c r="BE341" s="88">
        <v>22.954999999999998</v>
      </c>
      <c r="BF341" s="88">
        <v>23.332000000000001</v>
      </c>
      <c r="BG341" s="88">
        <v>22.837</v>
      </c>
      <c r="BH341" s="4">
        <f t="shared" si="820"/>
        <v>24.012</v>
      </c>
      <c r="BI341" s="89">
        <v>93.135999999999996</v>
      </c>
      <c r="BJ341" s="2"/>
      <c r="BK341" s="2"/>
      <c r="BL341" s="2"/>
      <c r="BM341" s="2"/>
      <c r="BN341" s="86"/>
      <c r="BO341" s="2"/>
      <c r="BP341" s="2"/>
      <c r="BQ341" s="2"/>
      <c r="BR341" s="2"/>
      <c r="BS341" s="86"/>
      <c r="BT341" s="86"/>
      <c r="BU341" s="86"/>
      <c r="BV341" s="86"/>
      <c r="BW341" s="4"/>
    </row>
    <row r="342" spans="1:75" ht="15.75" customHeight="1" outlineLevel="1" x14ac:dyDescent="0.2">
      <c r="A342" s="84" t="s">
        <v>416</v>
      </c>
      <c r="B342" s="85"/>
      <c r="C342" s="87">
        <v>26.541</v>
      </c>
      <c r="D342" s="86"/>
      <c r="E342" s="87">
        <v>1.5469999999999999</v>
      </c>
      <c r="F342" s="87">
        <v>9.5359999999999996</v>
      </c>
      <c r="G342" s="88">
        <v>0.64400000000000002</v>
      </c>
      <c r="H342" s="88">
        <v>1.5049999999999999</v>
      </c>
      <c r="I342" s="88">
        <v>1.097</v>
      </c>
      <c r="J342" s="4">
        <f>K342-I342-H342-G342</f>
        <v>-3.8069999999999999</v>
      </c>
      <c r="K342" s="87">
        <v>-0.56100000000000005</v>
      </c>
      <c r="L342" s="88">
        <v>0.186</v>
      </c>
      <c r="M342" s="88">
        <v>0.51</v>
      </c>
      <c r="N342" s="2"/>
      <c r="O342" s="88">
        <v>0</v>
      </c>
      <c r="P342" s="87">
        <v>0.69599999999999995</v>
      </c>
      <c r="Q342" s="2"/>
      <c r="R342" s="2"/>
      <c r="S342" s="88">
        <v>6.0110000000000001</v>
      </c>
      <c r="T342" s="88">
        <v>0</v>
      </c>
      <c r="U342" s="87">
        <v>6.0110000000000001</v>
      </c>
      <c r="V342" s="2"/>
      <c r="W342" s="2"/>
      <c r="X342" s="2"/>
      <c r="Y342" s="88">
        <v>0.114</v>
      </c>
      <c r="Z342" s="87">
        <v>0.114</v>
      </c>
      <c r="AA342" s="88">
        <v>0.78600000000000003</v>
      </c>
      <c r="AB342" s="88">
        <v>0.44500000000000001</v>
      </c>
      <c r="AC342" s="2"/>
      <c r="AD342" s="88">
        <v>9.1120000000000001</v>
      </c>
      <c r="AE342" s="87">
        <v>10.343</v>
      </c>
      <c r="AF342" s="2"/>
      <c r="AG342" s="88">
        <v>2.5830000000000002</v>
      </c>
      <c r="AH342" s="88">
        <v>0.26300000000000001</v>
      </c>
      <c r="AI342" s="88">
        <v>15.015000000000001</v>
      </c>
      <c r="AJ342" s="87">
        <v>17.861000000000001</v>
      </c>
      <c r="AK342" s="2"/>
      <c r="AL342" s="2"/>
      <c r="AM342" s="2"/>
      <c r="AN342" s="4">
        <f t="shared" si="821"/>
        <v>18.247</v>
      </c>
      <c r="AO342" s="87">
        <v>18.247</v>
      </c>
      <c r="AP342" s="88">
        <v>191.89599999999999</v>
      </c>
      <c r="AQ342" s="88">
        <v>2.4329999999999998</v>
      </c>
      <c r="AR342" s="88">
        <v>10.402000000000001</v>
      </c>
      <c r="AS342" s="4">
        <f t="shared" si="817"/>
        <v>14.602000000000004</v>
      </c>
      <c r="AT342" s="87">
        <v>219.333</v>
      </c>
      <c r="AU342" s="88">
        <v>0.59399999999999997</v>
      </c>
      <c r="AV342" s="2"/>
      <c r="AW342" s="2"/>
      <c r="AX342" s="4">
        <f t="shared" si="818"/>
        <v>17.544999999999998</v>
      </c>
      <c r="AY342" s="87">
        <v>18.138999999999999</v>
      </c>
      <c r="AZ342" s="88">
        <v>0.20699999999999999</v>
      </c>
      <c r="BA342" s="88">
        <v>0.106</v>
      </c>
      <c r="BB342" s="2"/>
      <c r="BC342" s="4">
        <f t="shared" si="819"/>
        <v>31.074000000000002</v>
      </c>
      <c r="BD342" s="87">
        <v>31.387</v>
      </c>
      <c r="BE342" s="88">
        <v>2.242</v>
      </c>
      <c r="BF342" s="88">
        <v>-0.65300000000000002</v>
      </c>
      <c r="BG342" s="88">
        <v>4.8000000000000001E-2</v>
      </c>
      <c r="BH342" s="4">
        <f t="shared" si="820"/>
        <v>27.826999999999998</v>
      </c>
      <c r="BI342" s="89">
        <v>29.463999999999999</v>
      </c>
      <c r="BJ342" s="2"/>
      <c r="BK342" s="2"/>
      <c r="BL342" s="2"/>
      <c r="BM342" s="2"/>
      <c r="BN342" s="86"/>
      <c r="BO342" s="2"/>
      <c r="BP342" s="2"/>
      <c r="BQ342" s="2"/>
      <c r="BR342" s="2"/>
      <c r="BS342" s="86"/>
      <c r="BT342" s="86"/>
      <c r="BU342" s="86"/>
      <c r="BV342" s="86"/>
      <c r="BW342" s="4"/>
    </row>
    <row r="343" spans="1:75" ht="15.75" customHeight="1" outlineLevel="1" x14ac:dyDescent="0.2">
      <c r="A343" s="84" t="s">
        <v>681</v>
      </c>
      <c r="B343" s="85"/>
      <c r="C343" s="86"/>
      <c r="D343" s="86"/>
      <c r="E343" s="86"/>
      <c r="F343" s="86"/>
      <c r="G343" s="2"/>
      <c r="H343" s="2"/>
      <c r="I343" s="2"/>
      <c r="J343" s="2"/>
      <c r="K343" s="86"/>
      <c r="L343" s="2"/>
      <c r="M343" s="2"/>
      <c r="N343" s="2"/>
      <c r="O343" s="2"/>
      <c r="P343" s="86"/>
      <c r="Q343" s="2"/>
      <c r="R343" s="2"/>
      <c r="S343" s="2"/>
      <c r="T343" s="2"/>
      <c r="U343" s="86"/>
      <c r="V343" s="2"/>
      <c r="W343" s="2"/>
      <c r="X343" s="2"/>
      <c r="Y343" s="2"/>
      <c r="Z343" s="86"/>
      <c r="AA343" s="2"/>
      <c r="AB343" s="2"/>
      <c r="AC343" s="2"/>
      <c r="AD343" s="2"/>
      <c r="AE343" s="86"/>
      <c r="AF343" s="2"/>
      <c r="AG343" s="2"/>
      <c r="AH343" s="2"/>
      <c r="AI343" s="2"/>
      <c r="AJ343" s="86"/>
      <c r="AK343" s="2"/>
      <c r="AL343" s="2"/>
      <c r="AM343" s="2"/>
      <c r="AN343" s="88">
        <v>2.08</v>
      </c>
      <c r="AO343" s="87">
        <v>5.27</v>
      </c>
      <c r="AP343" s="88">
        <v>1.236</v>
      </c>
      <c r="AQ343" s="88">
        <v>1.0680000000000001</v>
      </c>
      <c r="AR343" s="88">
        <v>3.9E-2</v>
      </c>
      <c r="AS343" s="4">
        <f t="shared" si="817"/>
        <v>0.35599999999999943</v>
      </c>
      <c r="AT343" s="87">
        <v>2.6989999999999998</v>
      </c>
      <c r="AU343" s="2"/>
      <c r="AV343" s="2"/>
      <c r="AW343" s="2"/>
      <c r="AX343" s="4">
        <f t="shared" si="818"/>
        <v>0</v>
      </c>
      <c r="AY343" s="86"/>
      <c r="AZ343" s="2"/>
      <c r="BA343" s="2"/>
      <c r="BB343" s="2"/>
      <c r="BC343" s="4">
        <f t="shared" si="819"/>
        <v>0</v>
      </c>
      <c r="BD343" s="86"/>
      <c r="BE343" s="2"/>
      <c r="BF343" s="2"/>
      <c r="BG343" s="2"/>
      <c r="BH343" s="4">
        <f t="shared" si="820"/>
        <v>0</v>
      </c>
      <c r="BI343" s="90"/>
      <c r="BJ343" s="2"/>
      <c r="BK343" s="2"/>
      <c r="BL343" s="2"/>
      <c r="BM343" s="2"/>
      <c r="BN343" s="86"/>
      <c r="BO343" s="2"/>
      <c r="BP343" s="2"/>
      <c r="BQ343" s="2"/>
      <c r="BR343" s="2"/>
      <c r="BS343" s="86"/>
      <c r="BT343" s="86"/>
      <c r="BU343" s="86"/>
      <c r="BV343" s="86"/>
      <c r="BW343" s="4"/>
    </row>
    <row r="344" spans="1:75" ht="15.75" customHeight="1" outlineLevel="1" x14ac:dyDescent="0.2">
      <c r="A344" s="84" t="s">
        <v>682</v>
      </c>
      <c r="B344" s="85"/>
      <c r="C344" s="86"/>
      <c r="D344" s="86"/>
      <c r="E344" s="86"/>
      <c r="F344" s="86"/>
      <c r="G344" s="2"/>
      <c r="H344" s="2"/>
      <c r="I344" s="2"/>
      <c r="J344" s="2"/>
      <c r="K344" s="86"/>
      <c r="L344" s="2"/>
      <c r="M344" s="2"/>
      <c r="N344" s="2"/>
      <c r="O344" s="2"/>
      <c r="P344" s="86"/>
      <c r="Q344" s="2"/>
      <c r="R344" s="2"/>
      <c r="S344" s="2"/>
      <c r="T344" s="2"/>
      <c r="U344" s="86"/>
      <c r="V344" s="2"/>
      <c r="W344" s="2"/>
      <c r="X344" s="2"/>
      <c r="Y344" s="2"/>
      <c r="Z344" s="86"/>
      <c r="AA344" s="2"/>
      <c r="AB344" s="2"/>
      <c r="AC344" s="2"/>
      <c r="AD344" s="2"/>
      <c r="AE344" s="86"/>
      <c r="AF344" s="2"/>
      <c r="AG344" s="2"/>
      <c r="AH344" s="2"/>
      <c r="AI344" s="2"/>
      <c r="AJ344" s="86"/>
      <c r="AK344" s="2"/>
      <c r="AL344" s="2"/>
      <c r="AM344" s="2"/>
      <c r="AN344" s="4">
        <f t="shared" ref="AN344:AN345" si="822">AO344-SUM(AK344,AL344,AM344)</f>
        <v>1.0329999999999999</v>
      </c>
      <c r="AO344" s="87">
        <v>1.0329999999999999</v>
      </c>
      <c r="AP344" s="88">
        <v>-4.4660000000000002</v>
      </c>
      <c r="AQ344" s="88">
        <v>-0.96499999999999997</v>
      </c>
      <c r="AR344" s="88">
        <v>1.4390000000000001</v>
      </c>
      <c r="AS344" s="4">
        <f t="shared" si="817"/>
        <v>0.12000000000000011</v>
      </c>
      <c r="AT344" s="87">
        <v>-3.8719999999999999</v>
      </c>
      <c r="AU344" s="88">
        <v>0.55000000000000004</v>
      </c>
      <c r="AV344" s="88">
        <v>11.356999999999999</v>
      </c>
      <c r="AW344" s="88">
        <v>0.68500000000000005</v>
      </c>
      <c r="AX344" s="4">
        <f t="shared" si="818"/>
        <v>6.918000000000001</v>
      </c>
      <c r="AY344" s="87">
        <v>19.510000000000002</v>
      </c>
      <c r="AZ344" s="88">
        <v>0.89100000000000001</v>
      </c>
      <c r="BA344" s="88">
        <v>0.94799999999999995</v>
      </c>
      <c r="BB344" s="88">
        <v>1.081</v>
      </c>
      <c r="BC344" s="4">
        <f t="shared" si="819"/>
        <v>10.448</v>
      </c>
      <c r="BD344" s="87">
        <v>13.368</v>
      </c>
      <c r="BE344" s="88">
        <v>1.1890000000000001</v>
      </c>
      <c r="BF344" s="88">
        <v>1.2869999999999999</v>
      </c>
      <c r="BG344" s="88">
        <v>1.4139999999999999</v>
      </c>
      <c r="BH344" s="4">
        <f t="shared" si="820"/>
        <v>7.7960000000000003</v>
      </c>
      <c r="BI344" s="89">
        <v>11.686</v>
      </c>
      <c r="BJ344" s="2"/>
      <c r="BK344" s="2"/>
      <c r="BL344" s="2"/>
      <c r="BM344" s="2"/>
      <c r="BN344" s="86"/>
      <c r="BO344" s="2"/>
      <c r="BP344" s="2"/>
      <c r="BQ344" s="2"/>
      <c r="BR344" s="2"/>
      <c r="BS344" s="86"/>
      <c r="BT344" s="86"/>
      <c r="BU344" s="86"/>
      <c r="BV344" s="86"/>
      <c r="BW344" s="4"/>
    </row>
    <row r="345" spans="1:75" ht="15.75" customHeight="1" outlineLevel="1" x14ac:dyDescent="0.2">
      <c r="A345" s="84" t="s">
        <v>683</v>
      </c>
      <c r="B345" s="85"/>
      <c r="C345" s="87">
        <v>3.282</v>
      </c>
      <c r="D345" s="87">
        <v>5.1529999999999996</v>
      </c>
      <c r="E345" s="87">
        <v>10.138</v>
      </c>
      <c r="F345" s="87">
        <v>12.289</v>
      </c>
      <c r="G345" s="88">
        <v>1.3140000000000001</v>
      </c>
      <c r="H345" s="88">
        <v>2.5030000000000001</v>
      </c>
      <c r="I345" s="88">
        <v>4.21</v>
      </c>
      <c r="J345" s="88">
        <v>4.8789999999999996</v>
      </c>
      <c r="K345" s="87">
        <v>12.906000000000001</v>
      </c>
      <c r="L345" s="88">
        <v>2.234</v>
      </c>
      <c r="M345" s="88">
        <v>2.6080000000000001</v>
      </c>
      <c r="N345" s="88">
        <v>3.9660000000000002</v>
      </c>
      <c r="O345" s="88">
        <v>5.548</v>
      </c>
      <c r="P345" s="87">
        <v>14.356</v>
      </c>
      <c r="Q345" s="88">
        <v>1.4510000000000001</v>
      </c>
      <c r="R345" s="88">
        <v>4.0579999999999998</v>
      </c>
      <c r="S345" s="88">
        <v>4.306</v>
      </c>
      <c r="T345" s="88">
        <v>7.0830000000000002</v>
      </c>
      <c r="U345" s="87">
        <v>16.898</v>
      </c>
      <c r="V345" s="88">
        <v>2.31</v>
      </c>
      <c r="W345" s="88">
        <v>2.302</v>
      </c>
      <c r="X345" s="88">
        <v>1.982</v>
      </c>
      <c r="Y345" s="88">
        <v>6.9749999999999996</v>
      </c>
      <c r="Z345" s="87">
        <v>13.569000000000001</v>
      </c>
      <c r="AA345" s="88">
        <v>0.97</v>
      </c>
      <c r="AB345" s="88">
        <v>1.3089999999999999</v>
      </c>
      <c r="AC345" s="88">
        <v>3.37</v>
      </c>
      <c r="AD345" s="88">
        <v>7.6289999999999996</v>
      </c>
      <c r="AE345" s="87">
        <v>13.278</v>
      </c>
      <c r="AF345" s="88">
        <v>1.099</v>
      </c>
      <c r="AG345" s="88">
        <v>1.4490000000000001</v>
      </c>
      <c r="AH345" s="88">
        <v>3.25</v>
      </c>
      <c r="AI345" s="88">
        <v>5.1379999999999999</v>
      </c>
      <c r="AJ345" s="87">
        <v>10.936999999999999</v>
      </c>
      <c r="AK345" s="88">
        <v>2.13</v>
      </c>
      <c r="AL345" s="88">
        <v>2.1749999999999998</v>
      </c>
      <c r="AM345" s="88">
        <v>2.5459999999999998</v>
      </c>
      <c r="AN345" s="4">
        <f t="shared" si="822"/>
        <v>6.298</v>
      </c>
      <c r="AO345" s="87">
        <v>13.148999999999999</v>
      </c>
      <c r="AP345" s="88">
        <v>3.1190000000000002</v>
      </c>
      <c r="AQ345" s="88">
        <v>2.097</v>
      </c>
      <c r="AR345" s="88">
        <v>2.3940000000000001</v>
      </c>
      <c r="AS345" s="4">
        <f t="shared" si="817"/>
        <v>2.8459999999999992</v>
      </c>
      <c r="AT345" s="87">
        <v>10.456</v>
      </c>
      <c r="AU345" s="88">
        <v>3.8559999999999999</v>
      </c>
      <c r="AV345" s="88">
        <v>2.7789999999999999</v>
      </c>
      <c r="AW345" s="88">
        <v>3.169</v>
      </c>
      <c r="AX345" s="4">
        <f t="shared" si="818"/>
        <v>3.907</v>
      </c>
      <c r="AY345" s="87">
        <v>13.711</v>
      </c>
      <c r="AZ345" s="88">
        <v>1.764</v>
      </c>
      <c r="BA345" s="88">
        <v>2.9470000000000001</v>
      </c>
      <c r="BB345" s="88">
        <v>4.327</v>
      </c>
      <c r="BC345" s="4">
        <f t="shared" si="819"/>
        <v>7.7910000000000004</v>
      </c>
      <c r="BD345" s="87">
        <v>16.829000000000001</v>
      </c>
      <c r="BE345" s="88">
        <v>3.052</v>
      </c>
      <c r="BF345" s="88">
        <v>6.0060000000000002</v>
      </c>
      <c r="BG345" s="88">
        <v>6.742</v>
      </c>
      <c r="BH345" s="4">
        <f t="shared" si="820"/>
        <v>9.5790000000000006</v>
      </c>
      <c r="BI345" s="89">
        <v>25.379000000000001</v>
      </c>
      <c r="BJ345" s="2"/>
      <c r="BK345" s="2"/>
      <c r="BL345" s="2"/>
      <c r="BM345" s="2"/>
      <c r="BN345" s="86"/>
      <c r="BO345" s="2"/>
      <c r="BP345" s="2"/>
      <c r="BQ345" s="2"/>
      <c r="BR345" s="2"/>
      <c r="BS345" s="86"/>
      <c r="BT345" s="86"/>
      <c r="BU345" s="86"/>
      <c r="BV345" s="86"/>
      <c r="BW345" s="4"/>
    </row>
    <row r="346" spans="1:75" ht="15.75" customHeight="1" outlineLevel="1" x14ac:dyDescent="0.2">
      <c r="A346" s="101" t="s">
        <v>684</v>
      </c>
      <c r="B346" s="102"/>
      <c r="C346" s="104">
        <f t="shared" ref="C346:BI346" si="823">SUM(C337:C345)</f>
        <v>1528.3029999999999</v>
      </c>
      <c r="D346" s="104">
        <f t="shared" si="823"/>
        <v>1531.1930000000002</v>
      </c>
      <c r="E346" s="104">
        <f t="shared" si="823"/>
        <v>1624.174</v>
      </c>
      <c r="F346" s="104">
        <f t="shared" si="823"/>
        <v>1670.318</v>
      </c>
      <c r="G346" s="105">
        <f t="shared" si="823"/>
        <v>426.23100000000005</v>
      </c>
      <c r="H346" s="105">
        <f t="shared" si="823"/>
        <v>428.94799999999998</v>
      </c>
      <c r="I346" s="105">
        <f t="shared" si="823"/>
        <v>431.06799999999998</v>
      </c>
      <c r="J346" s="105">
        <f t="shared" si="823"/>
        <v>430.70899999999995</v>
      </c>
      <c r="K346" s="104">
        <f t="shared" si="823"/>
        <v>1716.9559999999999</v>
      </c>
      <c r="L346" s="105">
        <f t="shared" si="823"/>
        <v>448.35799999999995</v>
      </c>
      <c r="M346" s="105">
        <f t="shared" si="823"/>
        <v>453.71499999999997</v>
      </c>
      <c r="N346" s="105">
        <f t="shared" si="823"/>
        <v>464.93900000000008</v>
      </c>
      <c r="O346" s="105">
        <f t="shared" si="823"/>
        <v>464.88100000000003</v>
      </c>
      <c r="P346" s="104">
        <f t="shared" si="823"/>
        <v>1831.8929999999998</v>
      </c>
      <c r="Q346" s="105">
        <f t="shared" si="823"/>
        <v>476.91900000000004</v>
      </c>
      <c r="R346" s="105">
        <f t="shared" si="823"/>
        <v>479.35400000000004</v>
      </c>
      <c r="S346" s="105">
        <f t="shared" si="823"/>
        <v>491.04400000000004</v>
      </c>
      <c r="T346" s="105">
        <f t="shared" si="823"/>
        <v>488.04600000000005</v>
      </c>
      <c r="U346" s="104">
        <f t="shared" si="823"/>
        <v>1935.3630000000001</v>
      </c>
      <c r="V346" s="105">
        <f t="shared" si="823"/>
        <v>505.09899999999993</v>
      </c>
      <c r="W346" s="105">
        <f t="shared" si="823"/>
        <v>503.67200000000003</v>
      </c>
      <c r="X346" s="105">
        <f t="shared" si="823"/>
        <v>509.95500000000004</v>
      </c>
      <c r="Y346" s="106">
        <f t="shared" si="823"/>
        <v>556.00000000000011</v>
      </c>
      <c r="Z346" s="103">
        <f t="shared" si="823"/>
        <v>2074.7260000000001</v>
      </c>
      <c r="AA346" s="105">
        <f t="shared" si="823"/>
        <v>519.86299999999994</v>
      </c>
      <c r="AB346" s="105">
        <f t="shared" si="823"/>
        <v>519.65100000000007</v>
      </c>
      <c r="AC346" s="105">
        <f t="shared" si="823"/>
        <v>521.07499999999993</v>
      </c>
      <c r="AD346" s="106">
        <f t="shared" si="823"/>
        <v>547.06799999999998</v>
      </c>
      <c r="AE346" s="103">
        <f t="shared" si="823"/>
        <v>2107.6569999999997</v>
      </c>
      <c r="AF346" s="105">
        <f t="shared" si="823"/>
        <v>559.14</v>
      </c>
      <c r="AG346" s="105">
        <f t="shared" si="823"/>
        <v>558.63499999999988</v>
      </c>
      <c r="AH346" s="105">
        <f t="shared" si="823"/>
        <v>547.38700000000006</v>
      </c>
      <c r="AI346" s="106">
        <f t="shared" si="823"/>
        <v>565.79600000000016</v>
      </c>
      <c r="AJ346" s="103">
        <f t="shared" si="823"/>
        <v>2213.3830000000003</v>
      </c>
      <c r="AK346" s="105">
        <f t="shared" si="823"/>
        <v>569.33299999999997</v>
      </c>
      <c r="AL346" s="105">
        <f t="shared" si="823"/>
        <v>562.54599999999994</v>
      </c>
      <c r="AM346" s="105">
        <f t="shared" si="823"/>
        <v>559.572</v>
      </c>
      <c r="AN346" s="106">
        <f t="shared" si="823"/>
        <v>687.64300000000003</v>
      </c>
      <c r="AO346" s="103">
        <f t="shared" si="823"/>
        <v>2379.0939999999996</v>
      </c>
      <c r="AP346" s="105">
        <f t="shared" si="823"/>
        <v>805.16399999999999</v>
      </c>
      <c r="AQ346" s="105">
        <f t="shared" si="823"/>
        <v>379.56099999999992</v>
      </c>
      <c r="AR346" s="105">
        <f t="shared" si="823"/>
        <v>552.57399999999996</v>
      </c>
      <c r="AS346" s="106">
        <f t="shared" si="823"/>
        <v>593.36299999999983</v>
      </c>
      <c r="AT346" s="103">
        <f t="shared" si="823"/>
        <v>2330.6620000000007</v>
      </c>
      <c r="AU346" s="105">
        <f t="shared" si="823"/>
        <v>618.57299999999998</v>
      </c>
      <c r="AV346" s="105">
        <f t="shared" si="823"/>
        <v>727.83799999999985</v>
      </c>
      <c r="AW346" s="105">
        <f t="shared" si="823"/>
        <v>723.09699999999998</v>
      </c>
      <c r="AX346" s="106">
        <f t="shared" si="823"/>
        <v>775.71400000000006</v>
      </c>
      <c r="AY346" s="103">
        <f t="shared" si="823"/>
        <v>2845.2220000000002</v>
      </c>
      <c r="AZ346" s="105">
        <f t="shared" si="823"/>
        <v>765.38900000000001</v>
      </c>
      <c r="BA346" s="105">
        <f t="shared" si="823"/>
        <v>804.70100000000002</v>
      </c>
      <c r="BB346" s="105">
        <f t="shared" si="823"/>
        <v>786.2059999999999</v>
      </c>
      <c r="BC346" s="106">
        <f t="shared" si="823"/>
        <v>907.92500000000018</v>
      </c>
      <c r="BD346" s="103">
        <f t="shared" si="823"/>
        <v>3264.2210000000005</v>
      </c>
      <c r="BE346" s="105">
        <f t="shared" si="823"/>
        <v>832.18799999999987</v>
      </c>
      <c r="BF346" s="105">
        <f t="shared" si="823"/>
        <v>818.69900000000007</v>
      </c>
      <c r="BG346" s="105">
        <f t="shared" si="823"/>
        <v>811.18000000000006</v>
      </c>
      <c r="BH346" s="106">
        <f t="shared" si="823"/>
        <v>868.86999999999989</v>
      </c>
      <c r="BI346" s="115">
        <f t="shared" si="823"/>
        <v>3330.9369999999999</v>
      </c>
      <c r="BJ346" s="106"/>
      <c r="BK346" s="106"/>
      <c r="BL346" s="106"/>
      <c r="BM346" s="106"/>
      <c r="BN346" s="103"/>
      <c r="BO346" s="106"/>
      <c r="BP346" s="106"/>
      <c r="BQ346" s="106"/>
      <c r="BR346" s="106"/>
      <c r="BS346" s="103"/>
      <c r="BT346" s="103"/>
      <c r="BU346" s="103"/>
      <c r="BV346" s="103"/>
      <c r="BW346" s="83"/>
    </row>
    <row r="347" spans="1:75" ht="15.75" customHeight="1" outlineLevel="1" x14ac:dyDescent="0.2">
      <c r="A347" s="229" t="s">
        <v>685</v>
      </c>
      <c r="B347" s="108"/>
      <c r="C347" s="319">
        <f t="shared" ref="C347:BI347" si="824">C336-C346</f>
        <v>73.717000000000098</v>
      </c>
      <c r="D347" s="319">
        <f t="shared" si="824"/>
        <v>128.21099999999979</v>
      </c>
      <c r="E347" s="319">
        <f t="shared" si="824"/>
        <v>133.45000000000005</v>
      </c>
      <c r="F347" s="319">
        <f t="shared" si="824"/>
        <v>138.69900000000007</v>
      </c>
      <c r="G347" s="83">
        <f t="shared" si="824"/>
        <v>36.786999999999921</v>
      </c>
      <c r="H347" s="83">
        <f t="shared" si="824"/>
        <v>41.170000000000016</v>
      </c>
      <c r="I347" s="83">
        <f t="shared" si="824"/>
        <v>38.631000000000029</v>
      </c>
      <c r="J347" s="83">
        <f t="shared" si="824"/>
        <v>44.366000000000042</v>
      </c>
      <c r="K347" s="319">
        <f t="shared" si="824"/>
        <v>160.95400000000018</v>
      </c>
      <c r="L347" s="83">
        <f t="shared" si="824"/>
        <v>33.073000000000036</v>
      </c>
      <c r="M347" s="83">
        <f t="shared" si="824"/>
        <v>42.691000000000031</v>
      </c>
      <c r="N347" s="83">
        <f t="shared" si="824"/>
        <v>34.174999999999898</v>
      </c>
      <c r="O347" s="83">
        <f t="shared" si="824"/>
        <v>34.791999999999973</v>
      </c>
      <c r="P347" s="319">
        <f t="shared" si="824"/>
        <v>144.73100000000022</v>
      </c>
      <c r="Q347" s="83">
        <f t="shared" si="824"/>
        <v>41.053999999999917</v>
      </c>
      <c r="R347" s="83">
        <f t="shared" si="824"/>
        <v>49.752999999999929</v>
      </c>
      <c r="S347" s="83">
        <f t="shared" si="824"/>
        <v>35.643999999999949</v>
      </c>
      <c r="T347" s="83">
        <f t="shared" si="824"/>
        <v>38.794999999999959</v>
      </c>
      <c r="U347" s="319">
        <f t="shared" si="824"/>
        <v>165.24599999999987</v>
      </c>
      <c r="V347" s="83">
        <f t="shared" si="824"/>
        <v>48.594000000000051</v>
      </c>
      <c r="W347" s="83">
        <f t="shared" si="824"/>
        <v>55.189999999999941</v>
      </c>
      <c r="X347" s="83">
        <f t="shared" si="824"/>
        <v>50.062999999999988</v>
      </c>
      <c r="Y347" s="110">
        <f t="shared" si="824"/>
        <v>47.145999999999844</v>
      </c>
      <c r="Z347" s="109">
        <f t="shared" si="824"/>
        <v>200.99299999999994</v>
      </c>
      <c r="AA347" s="83">
        <f t="shared" si="824"/>
        <v>43.563000000000102</v>
      </c>
      <c r="AB347" s="83">
        <f t="shared" si="824"/>
        <v>50.217999999999961</v>
      </c>
      <c r="AC347" s="83">
        <f t="shared" si="824"/>
        <v>34.317000000000121</v>
      </c>
      <c r="AD347" s="110">
        <f t="shared" si="824"/>
        <v>24.747000000000071</v>
      </c>
      <c r="AE347" s="109">
        <f t="shared" si="824"/>
        <v>152.84500000000025</v>
      </c>
      <c r="AF347" s="83">
        <f t="shared" si="824"/>
        <v>31.551000000000045</v>
      </c>
      <c r="AG347" s="83">
        <f t="shared" si="824"/>
        <v>34.54300000000012</v>
      </c>
      <c r="AH347" s="83">
        <f t="shared" si="824"/>
        <v>33.494999999999891</v>
      </c>
      <c r="AI347" s="110">
        <f t="shared" si="824"/>
        <v>19.35899999999981</v>
      </c>
      <c r="AJ347" s="109">
        <f t="shared" si="824"/>
        <v>118.94799999999987</v>
      </c>
      <c r="AK347" s="83">
        <f t="shared" si="824"/>
        <v>30.148000000000025</v>
      </c>
      <c r="AL347" s="83">
        <f t="shared" si="824"/>
        <v>40.099000000000046</v>
      </c>
      <c r="AM347" s="83">
        <f t="shared" si="824"/>
        <v>26.963999999999942</v>
      </c>
      <c r="AN347" s="110">
        <f t="shared" si="824"/>
        <v>6.387000000000171</v>
      </c>
      <c r="AO347" s="109">
        <f t="shared" si="824"/>
        <v>103.59800000000041</v>
      </c>
      <c r="AP347" s="83">
        <f t="shared" si="824"/>
        <v>-190.05799999999999</v>
      </c>
      <c r="AQ347" s="83">
        <f t="shared" si="824"/>
        <v>-83.709999999999923</v>
      </c>
      <c r="AR347" s="83">
        <f t="shared" si="824"/>
        <v>-34.857999999999947</v>
      </c>
      <c r="AS347" s="110">
        <f t="shared" si="824"/>
        <v>-38.810999999999922</v>
      </c>
      <c r="AT347" s="109">
        <f t="shared" si="824"/>
        <v>-347.43700000000081</v>
      </c>
      <c r="AU347" s="83">
        <f t="shared" si="824"/>
        <v>8.8440000000000509</v>
      </c>
      <c r="AV347" s="83">
        <f t="shared" si="824"/>
        <v>41.118000000000166</v>
      </c>
      <c r="AW347" s="83">
        <f t="shared" si="824"/>
        <v>31.377000000000066</v>
      </c>
      <c r="AX347" s="110">
        <f t="shared" si="824"/>
        <v>0.97899999999970078</v>
      </c>
      <c r="AY347" s="109">
        <f t="shared" si="824"/>
        <v>82.317999999999756</v>
      </c>
      <c r="AZ347" s="83">
        <f t="shared" si="824"/>
        <v>28.321000000000026</v>
      </c>
      <c r="BA347" s="83">
        <f t="shared" si="824"/>
        <v>27.942000000000007</v>
      </c>
      <c r="BB347" s="83">
        <f t="shared" si="824"/>
        <v>-2.2049999999999272</v>
      </c>
      <c r="BC347" s="110">
        <f t="shared" si="824"/>
        <v>-15.123000000000502</v>
      </c>
      <c r="BD347" s="109">
        <f t="shared" si="824"/>
        <v>38.934999999999491</v>
      </c>
      <c r="BE347" s="83">
        <f t="shared" si="824"/>
        <v>33.926000000000158</v>
      </c>
      <c r="BF347" s="83">
        <f t="shared" si="824"/>
        <v>47.47099999999989</v>
      </c>
      <c r="BG347" s="83">
        <f t="shared" si="824"/>
        <v>19.029999999999973</v>
      </c>
      <c r="BH347" s="110">
        <f t="shared" si="824"/>
        <v>8.1390000000001237</v>
      </c>
      <c r="BI347" s="107">
        <f t="shared" si="824"/>
        <v>108.56600000000026</v>
      </c>
      <c r="BJ347" s="110"/>
      <c r="BK347" s="110"/>
      <c r="BL347" s="110"/>
      <c r="BM347" s="110"/>
      <c r="BN347" s="884"/>
      <c r="BO347" s="110"/>
      <c r="BP347" s="110"/>
      <c r="BQ347" s="110"/>
      <c r="BR347" s="110"/>
      <c r="BS347" s="109"/>
      <c r="BT347" s="109"/>
      <c r="BU347" s="109"/>
      <c r="BV347" s="109"/>
      <c r="BW347" s="83"/>
    </row>
    <row r="348" spans="1:75" ht="15.75" customHeight="1" outlineLevel="1" x14ac:dyDescent="0.2">
      <c r="A348" s="84" t="s">
        <v>686</v>
      </c>
      <c r="B348" s="85"/>
      <c r="C348" s="86"/>
      <c r="D348" s="86"/>
      <c r="E348" s="86"/>
      <c r="F348" s="86"/>
      <c r="G348" s="2"/>
      <c r="H348" s="2"/>
      <c r="I348" s="2"/>
      <c r="J348" s="2"/>
      <c r="K348" s="86"/>
      <c r="L348" s="2"/>
      <c r="M348" s="2"/>
      <c r="N348" s="2"/>
      <c r="O348" s="2"/>
      <c r="P348" s="86"/>
      <c r="Q348" s="2"/>
      <c r="R348" s="2"/>
      <c r="S348" s="2"/>
      <c r="T348" s="2"/>
      <c r="U348" s="86"/>
      <c r="V348" s="2"/>
      <c r="W348" s="2"/>
      <c r="X348" s="2"/>
      <c r="Y348" s="2"/>
      <c r="Z348" s="86"/>
      <c r="AA348" s="2"/>
      <c r="AB348" s="2"/>
      <c r="AC348" s="2"/>
      <c r="AD348" s="2"/>
      <c r="AE348" s="86"/>
      <c r="AF348" s="2"/>
      <c r="AG348" s="2"/>
      <c r="AH348" s="2"/>
      <c r="AI348" s="88">
        <v>-2.0680000000000001</v>
      </c>
      <c r="AJ348" s="87">
        <v>-4.7539999999999996</v>
      </c>
      <c r="AK348" s="88">
        <v>-1.45</v>
      </c>
      <c r="AL348" s="88">
        <v>-1.6439999999999999</v>
      </c>
      <c r="AM348" s="88">
        <v>-10.345000000000001</v>
      </c>
      <c r="AN348" s="4">
        <f t="shared" ref="AN348:AN349" si="825">AO348-SUM(AK348,AL348,AM348)</f>
        <v>52.671999999999997</v>
      </c>
      <c r="AO348" s="87">
        <v>39.232999999999997</v>
      </c>
      <c r="AP348" s="2"/>
      <c r="AQ348" s="2"/>
      <c r="AR348" s="2"/>
      <c r="AS348" s="4">
        <f t="shared" ref="AS348:AS349" si="826">AT348-SUM(AP348,AQ348,AR348)</f>
        <v>0</v>
      </c>
      <c r="AT348" s="86"/>
      <c r="AU348" s="2"/>
      <c r="AV348" s="2"/>
      <c r="AW348" s="2"/>
      <c r="AX348" s="4">
        <f t="shared" ref="AX348:AX349" si="827">AY348-SUM(AU348,AV348,AW348)</f>
        <v>0</v>
      </c>
      <c r="AY348" s="86"/>
      <c r="AZ348" s="2"/>
      <c r="BA348" s="2"/>
      <c r="BB348" s="2"/>
      <c r="BC348" s="4">
        <f t="shared" ref="BC348:BC349" si="828">BD348-SUM(AZ348,BA348,BB348)</f>
        <v>0</v>
      </c>
      <c r="BD348" s="86"/>
      <c r="BE348" s="2"/>
      <c r="BF348" s="2"/>
      <c r="BG348" s="2"/>
      <c r="BH348" s="4">
        <f t="shared" ref="BH348:BH349" si="829">BI348-SUM(BE348,BF348,BG348)</f>
        <v>0</v>
      </c>
      <c r="BI348" s="90"/>
      <c r="BJ348" s="2"/>
      <c r="BK348" s="2"/>
      <c r="BL348" s="2"/>
      <c r="BM348" s="2"/>
      <c r="BN348" s="86"/>
      <c r="BO348" s="2"/>
      <c r="BP348" s="2"/>
      <c r="BQ348" s="2"/>
      <c r="BR348" s="2"/>
      <c r="BS348" s="86"/>
      <c r="BT348" s="86"/>
      <c r="BU348" s="86"/>
      <c r="BV348" s="86"/>
      <c r="BW348" s="4"/>
    </row>
    <row r="349" spans="1:75" ht="15.75" customHeight="1" outlineLevel="1" x14ac:dyDescent="0.2">
      <c r="A349" s="84" t="s">
        <v>687</v>
      </c>
      <c r="B349" s="85"/>
      <c r="C349" s="87">
        <v>-22.41</v>
      </c>
      <c r="D349" s="87">
        <f>-16.808+0.192-0.506</f>
        <v>-17.122</v>
      </c>
      <c r="E349" s="87">
        <v>-4.3070000000000004</v>
      </c>
      <c r="F349" s="87">
        <v>-4.7249999999999996</v>
      </c>
      <c r="G349" s="88">
        <v>-1.31</v>
      </c>
      <c r="H349" s="88">
        <v>-1.2709999999999999</v>
      </c>
      <c r="I349" s="88">
        <v>-0.72699999999999998</v>
      </c>
      <c r="J349" s="88">
        <v>-1.196</v>
      </c>
      <c r="K349" s="87">
        <v>-4.5039999999999996</v>
      </c>
      <c r="L349" s="88">
        <v>-1.391</v>
      </c>
      <c r="M349" s="88">
        <v>-1.544</v>
      </c>
      <c r="N349" s="88">
        <v>-1.381</v>
      </c>
      <c r="O349" s="88">
        <v>-1.871</v>
      </c>
      <c r="P349" s="87">
        <v>-6.1870000000000003</v>
      </c>
      <c r="Q349" s="88">
        <v>-1.895</v>
      </c>
      <c r="R349" s="88">
        <v>-1.4319999999999999</v>
      </c>
      <c r="S349" s="88">
        <v>-0.72199999999999998</v>
      </c>
      <c r="T349" s="88">
        <v>-1.845</v>
      </c>
      <c r="U349" s="87">
        <v>-5.8940000000000001</v>
      </c>
      <c r="V349" s="88">
        <v>-2.3039999999999998</v>
      </c>
      <c r="W349" s="88">
        <v>-2.181</v>
      </c>
      <c r="X349" s="88">
        <v>-2.4769999999999999</v>
      </c>
      <c r="Y349" s="88">
        <v>-2.2629999999999999</v>
      </c>
      <c r="Z349" s="87">
        <v>-9.2249999999999996</v>
      </c>
      <c r="AA349" s="88">
        <v>-1.256</v>
      </c>
      <c r="AB349" s="88">
        <v>-1.5699999999999998</v>
      </c>
      <c r="AC349" s="88">
        <v>-1.6</v>
      </c>
      <c r="AD349" s="88">
        <v>-1.9530000000000001</v>
      </c>
      <c r="AE349" s="87">
        <v>-6.3789999999999996</v>
      </c>
      <c r="AF349" s="88">
        <v>-1.506</v>
      </c>
      <c r="AG349" s="88">
        <v>-2.9079999999999999</v>
      </c>
      <c r="AH349" s="88">
        <v>-3.29</v>
      </c>
      <c r="AI349" s="88">
        <v>-1.7649999999999999</v>
      </c>
      <c r="AJ349" s="87">
        <v>-6.7830000000000004</v>
      </c>
      <c r="AK349" s="88">
        <v>2E-3</v>
      </c>
      <c r="AL349" s="88">
        <v>-2.5000000000000001E-2</v>
      </c>
      <c r="AM349" s="88">
        <v>6.0000000000000001E-3</v>
      </c>
      <c r="AN349" s="4">
        <f t="shared" si="825"/>
        <v>-2.48</v>
      </c>
      <c r="AO349" s="87">
        <v>-2.4969999999999999</v>
      </c>
      <c r="AP349" s="88">
        <v>-1.518</v>
      </c>
      <c r="AQ349" s="88">
        <v>-2.5659999999999998</v>
      </c>
      <c r="AR349" s="88">
        <v>-2.9350000000000001</v>
      </c>
      <c r="AS349" s="4">
        <f t="shared" si="826"/>
        <v>-1.58</v>
      </c>
      <c r="AT349" s="87">
        <v>-8.5990000000000002</v>
      </c>
      <c r="AU349" s="88">
        <v>-2.694</v>
      </c>
      <c r="AV349" s="88">
        <v>-4.7060000000000004</v>
      </c>
      <c r="AW349" s="88">
        <v>-1.794</v>
      </c>
      <c r="AX349" s="4">
        <f t="shared" si="827"/>
        <v>-1.5039999999999996</v>
      </c>
      <c r="AY349" s="87">
        <v>-10.698</v>
      </c>
      <c r="AZ349" s="88">
        <v>-1.4610000000000001</v>
      </c>
      <c r="BA349" s="88">
        <v>-1.1299999999999999</v>
      </c>
      <c r="BB349" s="88">
        <v>-1.3149999999999999</v>
      </c>
      <c r="BC349" s="4">
        <f t="shared" si="828"/>
        <v>-2.137</v>
      </c>
      <c r="BD349" s="87">
        <v>-6.0430000000000001</v>
      </c>
      <c r="BE349" s="88">
        <v>-1.88</v>
      </c>
      <c r="BF349" s="88">
        <v>-2.1619999999999999</v>
      </c>
      <c r="BG349" s="88">
        <v>-2.0270000000000001</v>
      </c>
      <c r="BH349" s="4">
        <f t="shared" si="829"/>
        <v>-2.4829999999999997</v>
      </c>
      <c r="BI349" s="89">
        <v>-8.5519999999999996</v>
      </c>
      <c r="BJ349" s="2"/>
      <c r="BK349" s="2"/>
      <c r="BL349" s="2"/>
      <c r="BM349" s="2"/>
      <c r="BN349" s="86"/>
      <c r="BO349" s="2"/>
      <c r="BP349" s="2"/>
      <c r="BQ349" s="2"/>
      <c r="BR349" s="2"/>
      <c r="BS349" s="86"/>
      <c r="BT349" s="86"/>
      <c r="BU349" s="86"/>
      <c r="BV349" s="86"/>
      <c r="BW349" s="4"/>
    </row>
    <row r="350" spans="1:75" ht="15.75" customHeight="1" outlineLevel="1" x14ac:dyDescent="0.2">
      <c r="A350" s="101" t="s">
        <v>688</v>
      </c>
      <c r="B350" s="102"/>
      <c r="C350" s="104">
        <f t="shared" ref="C350:BI350" si="830">SUM(C347:C349)</f>
        <v>51.307000000000102</v>
      </c>
      <c r="D350" s="104">
        <f t="shared" si="830"/>
        <v>111.08899999999979</v>
      </c>
      <c r="E350" s="104">
        <f t="shared" si="830"/>
        <v>129.14300000000006</v>
      </c>
      <c r="F350" s="104">
        <f t="shared" si="830"/>
        <v>133.97400000000007</v>
      </c>
      <c r="G350" s="105">
        <f t="shared" si="830"/>
        <v>35.476999999999919</v>
      </c>
      <c r="H350" s="105">
        <f t="shared" si="830"/>
        <v>39.899000000000015</v>
      </c>
      <c r="I350" s="105">
        <f t="shared" si="830"/>
        <v>37.904000000000032</v>
      </c>
      <c r="J350" s="105">
        <f t="shared" si="830"/>
        <v>43.170000000000044</v>
      </c>
      <c r="K350" s="104">
        <f t="shared" si="830"/>
        <v>156.45000000000019</v>
      </c>
      <c r="L350" s="105">
        <f t="shared" si="830"/>
        <v>31.682000000000038</v>
      </c>
      <c r="M350" s="105">
        <f t="shared" si="830"/>
        <v>41.147000000000034</v>
      </c>
      <c r="N350" s="105">
        <f t="shared" si="830"/>
        <v>32.793999999999897</v>
      </c>
      <c r="O350" s="105">
        <f t="shared" si="830"/>
        <v>32.920999999999971</v>
      </c>
      <c r="P350" s="104">
        <f t="shared" si="830"/>
        <v>138.54400000000021</v>
      </c>
      <c r="Q350" s="105">
        <f t="shared" si="830"/>
        <v>39.158999999999914</v>
      </c>
      <c r="R350" s="105">
        <f t="shared" si="830"/>
        <v>48.320999999999927</v>
      </c>
      <c r="S350" s="105">
        <f t="shared" si="830"/>
        <v>34.921999999999947</v>
      </c>
      <c r="T350" s="105">
        <f t="shared" si="830"/>
        <v>36.94999999999996</v>
      </c>
      <c r="U350" s="104">
        <f t="shared" si="830"/>
        <v>159.35199999999986</v>
      </c>
      <c r="V350" s="105">
        <f t="shared" si="830"/>
        <v>46.290000000000049</v>
      </c>
      <c r="W350" s="105">
        <f t="shared" si="830"/>
        <v>53.008999999999943</v>
      </c>
      <c r="X350" s="105">
        <f t="shared" si="830"/>
        <v>47.585999999999991</v>
      </c>
      <c r="Y350" s="106">
        <f t="shared" si="830"/>
        <v>44.882999999999846</v>
      </c>
      <c r="Z350" s="103">
        <f t="shared" si="830"/>
        <v>191.76799999999994</v>
      </c>
      <c r="AA350" s="105">
        <f t="shared" si="830"/>
        <v>42.307000000000102</v>
      </c>
      <c r="AB350" s="105">
        <f t="shared" si="830"/>
        <v>48.647999999999961</v>
      </c>
      <c r="AC350" s="105">
        <f t="shared" si="830"/>
        <v>32.71700000000012</v>
      </c>
      <c r="AD350" s="106">
        <f t="shared" si="830"/>
        <v>22.794000000000072</v>
      </c>
      <c r="AE350" s="103">
        <f t="shared" si="830"/>
        <v>146.46600000000026</v>
      </c>
      <c r="AF350" s="105">
        <f t="shared" si="830"/>
        <v>30.045000000000044</v>
      </c>
      <c r="AG350" s="105">
        <f t="shared" si="830"/>
        <v>31.635000000000119</v>
      </c>
      <c r="AH350" s="105">
        <f t="shared" si="830"/>
        <v>30.204999999999892</v>
      </c>
      <c r="AI350" s="106">
        <f t="shared" si="830"/>
        <v>15.525999999999808</v>
      </c>
      <c r="AJ350" s="103">
        <f t="shared" si="830"/>
        <v>107.41099999999986</v>
      </c>
      <c r="AK350" s="105">
        <f t="shared" si="830"/>
        <v>28.700000000000024</v>
      </c>
      <c r="AL350" s="105">
        <f t="shared" si="830"/>
        <v>38.430000000000049</v>
      </c>
      <c r="AM350" s="105">
        <f t="shared" si="830"/>
        <v>16.624999999999943</v>
      </c>
      <c r="AN350" s="106">
        <f t="shared" si="830"/>
        <v>56.579000000000171</v>
      </c>
      <c r="AO350" s="103">
        <f t="shared" si="830"/>
        <v>140.3340000000004</v>
      </c>
      <c r="AP350" s="105">
        <f t="shared" si="830"/>
        <v>-191.57599999999999</v>
      </c>
      <c r="AQ350" s="105">
        <f t="shared" si="830"/>
        <v>-86.275999999999925</v>
      </c>
      <c r="AR350" s="105">
        <f t="shared" si="830"/>
        <v>-37.79299999999995</v>
      </c>
      <c r="AS350" s="106">
        <f t="shared" si="830"/>
        <v>-40.39099999999992</v>
      </c>
      <c r="AT350" s="103">
        <f t="shared" si="830"/>
        <v>-356.0360000000008</v>
      </c>
      <c r="AU350" s="105">
        <f t="shared" si="830"/>
        <v>6.150000000000051</v>
      </c>
      <c r="AV350" s="105">
        <f t="shared" si="830"/>
        <v>36.412000000000162</v>
      </c>
      <c r="AW350" s="105">
        <f t="shared" si="830"/>
        <v>29.583000000000066</v>
      </c>
      <c r="AX350" s="106">
        <f t="shared" si="830"/>
        <v>-0.52500000000029878</v>
      </c>
      <c r="AY350" s="103">
        <f t="shared" si="830"/>
        <v>71.619999999999749</v>
      </c>
      <c r="AZ350" s="105">
        <f t="shared" si="830"/>
        <v>26.860000000000028</v>
      </c>
      <c r="BA350" s="105">
        <f t="shared" si="830"/>
        <v>26.812000000000008</v>
      </c>
      <c r="BB350" s="105">
        <f t="shared" si="830"/>
        <v>-3.5199999999999272</v>
      </c>
      <c r="BC350" s="106">
        <f t="shared" si="830"/>
        <v>-17.260000000000502</v>
      </c>
      <c r="BD350" s="103">
        <f t="shared" si="830"/>
        <v>32.891999999999491</v>
      </c>
      <c r="BE350" s="105">
        <f t="shared" si="830"/>
        <v>32.046000000000156</v>
      </c>
      <c r="BF350" s="105">
        <f t="shared" si="830"/>
        <v>45.308999999999891</v>
      </c>
      <c r="BG350" s="105">
        <f t="shared" si="830"/>
        <v>17.002999999999972</v>
      </c>
      <c r="BH350" s="106">
        <f t="shared" si="830"/>
        <v>5.656000000000124</v>
      </c>
      <c r="BI350" s="115">
        <f t="shared" si="830"/>
        <v>100.01400000000027</v>
      </c>
      <c r="BJ350" s="106"/>
      <c r="BK350" s="106"/>
      <c r="BL350" s="106"/>
      <c r="BM350" s="106"/>
      <c r="BN350" s="103"/>
      <c r="BO350" s="106"/>
      <c r="BP350" s="106"/>
      <c r="BQ350" s="106"/>
      <c r="BR350" s="106"/>
      <c r="BS350" s="103"/>
      <c r="BT350" s="103"/>
      <c r="BU350" s="103"/>
      <c r="BV350" s="103"/>
      <c r="BW350" s="83"/>
    </row>
    <row r="351" spans="1:75" ht="15.75" customHeight="1" outlineLevel="1" x14ac:dyDescent="0.2">
      <c r="A351" s="84" t="s">
        <v>689</v>
      </c>
      <c r="B351" s="85"/>
      <c r="C351" s="87">
        <v>8.4740000000000002</v>
      </c>
      <c r="D351" s="87">
        <v>29.376000000000001</v>
      </c>
      <c r="E351" s="87">
        <v>33.423000000000002</v>
      </c>
      <c r="F351" s="87">
        <v>35.551000000000002</v>
      </c>
      <c r="G351" s="88">
        <v>10.185</v>
      </c>
      <c r="H351" s="88">
        <v>11.316000000000001</v>
      </c>
      <c r="I351" s="88">
        <v>10.423</v>
      </c>
      <c r="J351" s="88">
        <v>10.17</v>
      </c>
      <c r="K351" s="87">
        <v>42.094000000000001</v>
      </c>
      <c r="L351" s="88">
        <v>9.1639999999999997</v>
      </c>
      <c r="M351" s="88">
        <v>11.098000000000001</v>
      </c>
      <c r="N351" s="88">
        <v>8.5709999999999997</v>
      </c>
      <c r="O351" s="88">
        <v>8.4350000000000005</v>
      </c>
      <c r="P351" s="87">
        <v>37.268000000000001</v>
      </c>
      <c r="Q351" s="88">
        <v>10.736000000000001</v>
      </c>
      <c r="R351" s="88">
        <v>13.597</v>
      </c>
      <c r="S351" s="88">
        <v>8.7460000000000004</v>
      </c>
      <c r="T351" s="88">
        <v>9.75</v>
      </c>
      <c r="U351" s="87">
        <v>42.829000000000001</v>
      </c>
      <c r="V351" s="88">
        <v>12.336</v>
      </c>
      <c r="W351" s="88">
        <v>14.423999999999999</v>
      </c>
      <c r="X351" s="88">
        <v>13.012</v>
      </c>
      <c r="Y351" s="88">
        <v>12.502000000000001</v>
      </c>
      <c r="Z351" s="87">
        <v>52.274000000000001</v>
      </c>
      <c r="AA351" s="88">
        <v>7.2640000000000002</v>
      </c>
      <c r="AB351" s="88">
        <v>10.481999999999999</v>
      </c>
      <c r="AC351" s="88">
        <v>6.2720000000000002</v>
      </c>
      <c r="AD351" s="88">
        <v>-34.944000000000003</v>
      </c>
      <c r="AE351" s="87">
        <v>-10.926</v>
      </c>
      <c r="AF351" s="88">
        <v>4.016</v>
      </c>
      <c r="AG351" s="88">
        <v>3.282</v>
      </c>
      <c r="AH351" s="88">
        <v>1.73</v>
      </c>
      <c r="AI351" s="88">
        <v>-0.65200000000000002</v>
      </c>
      <c r="AJ351" s="87">
        <v>8.3759999999999994</v>
      </c>
      <c r="AK351" s="88">
        <v>1.716</v>
      </c>
      <c r="AL351" s="88">
        <v>2.92</v>
      </c>
      <c r="AM351" s="88">
        <v>0.53500000000000003</v>
      </c>
      <c r="AN351" s="4">
        <f>AO351-SUM(AK351,AL351,AM351)</f>
        <v>7.87</v>
      </c>
      <c r="AO351" s="87">
        <v>13.041</v>
      </c>
      <c r="AP351" s="88">
        <v>-55.412999999999997</v>
      </c>
      <c r="AQ351" s="88">
        <v>-29.736999999999998</v>
      </c>
      <c r="AR351" s="88">
        <v>-9.447000000000001</v>
      </c>
      <c r="AS351" s="4">
        <f>AT351-SUM(AP351,AQ351,AR351)</f>
        <v>-8.0740000000000123</v>
      </c>
      <c r="AT351" s="87">
        <v>-102.67100000000001</v>
      </c>
      <c r="AU351" s="88">
        <v>2.282</v>
      </c>
      <c r="AV351" s="88">
        <v>2.6970000000000001</v>
      </c>
      <c r="AW351" s="88">
        <v>-3.097</v>
      </c>
      <c r="AX351" s="4">
        <f>AY351-SUM(AU351,AV351,AW351)</f>
        <v>-2.6350000000000002</v>
      </c>
      <c r="AY351" s="87">
        <v>-0.753</v>
      </c>
      <c r="AZ351" s="88">
        <v>3.6970000000000001</v>
      </c>
      <c r="BA351" s="88">
        <v>1.1559999999999999</v>
      </c>
      <c r="BB351" s="88">
        <v>-1.1220000000000001</v>
      </c>
      <c r="BC351" s="4">
        <f>BD351-SUM(AZ351,BA351,BB351)</f>
        <v>-13.962</v>
      </c>
      <c r="BD351" s="87">
        <v>-10.231</v>
      </c>
      <c r="BE351" s="88">
        <v>3.996</v>
      </c>
      <c r="BF351" s="88">
        <v>2.6339999999999999</v>
      </c>
      <c r="BG351" s="88">
        <v>-0.94199999999999995</v>
      </c>
      <c r="BH351" s="4">
        <f>BI351-SUM(BE351,BF351,BG351)</f>
        <v>-7.0249999999999995</v>
      </c>
      <c r="BI351" s="89">
        <v>-1.337</v>
      </c>
      <c r="BJ351" s="2"/>
      <c r="BK351" s="2"/>
      <c r="BL351" s="2"/>
      <c r="BM351" s="2"/>
      <c r="BN351" s="86"/>
      <c r="BO351" s="2"/>
      <c r="BP351" s="2"/>
      <c r="BQ351" s="2"/>
      <c r="BR351" s="2"/>
      <c r="BS351" s="86"/>
      <c r="BT351" s="86"/>
      <c r="BU351" s="86"/>
      <c r="BV351" s="86"/>
      <c r="BW351" s="4"/>
    </row>
    <row r="352" spans="1:75" ht="15.75" customHeight="1" outlineLevel="1" x14ac:dyDescent="0.2">
      <c r="A352" s="101" t="s">
        <v>414</v>
      </c>
      <c r="B352" s="102"/>
      <c r="C352" s="104">
        <f t="shared" ref="C352:BI352" si="831">C350-C351</f>
        <v>42.833000000000098</v>
      </c>
      <c r="D352" s="104">
        <f t="shared" si="831"/>
        <v>81.712999999999781</v>
      </c>
      <c r="E352" s="104">
        <f t="shared" si="831"/>
        <v>95.720000000000056</v>
      </c>
      <c r="F352" s="104">
        <f t="shared" si="831"/>
        <v>98.423000000000073</v>
      </c>
      <c r="G352" s="105">
        <f t="shared" si="831"/>
        <v>25.291999999999916</v>
      </c>
      <c r="H352" s="105">
        <f t="shared" si="831"/>
        <v>28.583000000000013</v>
      </c>
      <c r="I352" s="105">
        <f t="shared" si="831"/>
        <v>27.48100000000003</v>
      </c>
      <c r="J352" s="105">
        <f t="shared" si="831"/>
        <v>33.000000000000043</v>
      </c>
      <c r="K352" s="104">
        <f t="shared" si="831"/>
        <v>114.35600000000019</v>
      </c>
      <c r="L352" s="105">
        <f t="shared" si="831"/>
        <v>22.518000000000036</v>
      </c>
      <c r="M352" s="105">
        <f t="shared" si="831"/>
        <v>30.049000000000035</v>
      </c>
      <c r="N352" s="105">
        <f t="shared" si="831"/>
        <v>24.2229999999999</v>
      </c>
      <c r="O352" s="105">
        <f t="shared" si="831"/>
        <v>24.485999999999969</v>
      </c>
      <c r="P352" s="104">
        <f t="shared" si="831"/>
        <v>101.27600000000021</v>
      </c>
      <c r="Q352" s="105">
        <f t="shared" si="831"/>
        <v>28.422999999999913</v>
      </c>
      <c r="R352" s="105">
        <f t="shared" si="831"/>
        <v>34.723999999999926</v>
      </c>
      <c r="S352" s="105">
        <f t="shared" si="831"/>
        <v>26.175999999999945</v>
      </c>
      <c r="T352" s="105">
        <f t="shared" si="831"/>
        <v>27.19999999999996</v>
      </c>
      <c r="U352" s="104">
        <f t="shared" si="831"/>
        <v>116.52299999999985</v>
      </c>
      <c r="V352" s="105">
        <f t="shared" si="831"/>
        <v>33.95400000000005</v>
      </c>
      <c r="W352" s="105">
        <f t="shared" si="831"/>
        <v>38.584999999999944</v>
      </c>
      <c r="X352" s="105">
        <f t="shared" si="831"/>
        <v>34.573999999999991</v>
      </c>
      <c r="Y352" s="106">
        <f t="shared" si="831"/>
        <v>32.380999999999844</v>
      </c>
      <c r="Z352" s="103">
        <f t="shared" si="831"/>
        <v>139.49399999999994</v>
      </c>
      <c r="AA352" s="105">
        <f t="shared" si="831"/>
        <v>35.043000000000099</v>
      </c>
      <c r="AB352" s="105">
        <f t="shared" si="831"/>
        <v>38.165999999999961</v>
      </c>
      <c r="AC352" s="105">
        <f t="shared" si="831"/>
        <v>26.445000000000121</v>
      </c>
      <c r="AD352" s="106">
        <f t="shared" si="831"/>
        <v>57.738000000000071</v>
      </c>
      <c r="AE352" s="103">
        <f t="shared" si="831"/>
        <v>157.39200000000025</v>
      </c>
      <c r="AF352" s="105">
        <f t="shared" si="831"/>
        <v>26.029000000000046</v>
      </c>
      <c r="AG352" s="105">
        <f t="shared" si="831"/>
        <v>28.353000000000119</v>
      </c>
      <c r="AH352" s="105">
        <f t="shared" si="831"/>
        <v>28.474999999999891</v>
      </c>
      <c r="AI352" s="106">
        <f t="shared" si="831"/>
        <v>16.177999999999809</v>
      </c>
      <c r="AJ352" s="103">
        <f t="shared" si="831"/>
        <v>99.034999999999854</v>
      </c>
      <c r="AK352" s="105">
        <f t="shared" si="831"/>
        <v>26.984000000000023</v>
      </c>
      <c r="AL352" s="105">
        <f t="shared" si="831"/>
        <v>35.510000000000048</v>
      </c>
      <c r="AM352" s="105">
        <f t="shared" si="831"/>
        <v>16.089999999999943</v>
      </c>
      <c r="AN352" s="106">
        <f t="shared" si="831"/>
        <v>48.709000000000174</v>
      </c>
      <c r="AO352" s="103">
        <f t="shared" si="831"/>
        <v>127.2930000000004</v>
      </c>
      <c r="AP352" s="105">
        <f t="shared" si="831"/>
        <v>-136.16300000000001</v>
      </c>
      <c r="AQ352" s="105">
        <f t="shared" si="831"/>
        <v>-56.53899999999993</v>
      </c>
      <c r="AR352" s="105">
        <f t="shared" si="831"/>
        <v>-28.345999999999947</v>
      </c>
      <c r="AS352" s="106">
        <f t="shared" si="831"/>
        <v>-32.316999999999908</v>
      </c>
      <c r="AT352" s="103">
        <f t="shared" si="831"/>
        <v>-253.3650000000008</v>
      </c>
      <c r="AU352" s="105">
        <f t="shared" si="831"/>
        <v>3.868000000000051</v>
      </c>
      <c r="AV352" s="105">
        <f t="shared" si="831"/>
        <v>33.71500000000016</v>
      </c>
      <c r="AW352" s="105">
        <f t="shared" si="831"/>
        <v>32.680000000000064</v>
      </c>
      <c r="AX352" s="106">
        <f t="shared" si="831"/>
        <v>2.1099999999997014</v>
      </c>
      <c r="AY352" s="103">
        <f t="shared" si="831"/>
        <v>72.372999999999749</v>
      </c>
      <c r="AZ352" s="105">
        <f t="shared" si="831"/>
        <v>23.163000000000029</v>
      </c>
      <c r="BA352" s="105">
        <f t="shared" si="831"/>
        <v>25.656000000000009</v>
      </c>
      <c r="BB352" s="105">
        <f t="shared" si="831"/>
        <v>-2.3979999999999269</v>
      </c>
      <c r="BC352" s="106">
        <f t="shared" si="831"/>
        <v>-3.2980000000005028</v>
      </c>
      <c r="BD352" s="103">
        <f t="shared" si="831"/>
        <v>43.122999999999493</v>
      </c>
      <c r="BE352" s="105">
        <f t="shared" si="831"/>
        <v>28.050000000000157</v>
      </c>
      <c r="BF352" s="105">
        <f t="shared" si="831"/>
        <v>42.674999999999891</v>
      </c>
      <c r="BG352" s="105">
        <f t="shared" si="831"/>
        <v>17.944999999999972</v>
      </c>
      <c r="BH352" s="106">
        <f t="shared" si="831"/>
        <v>12.681000000000124</v>
      </c>
      <c r="BI352" s="115">
        <f t="shared" si="831"/>
        <v>101.35100000000027</v>
      </c>
      <c r="BJ352" s="106"/>
      <c r="BK352" s="106"/>
      <c r="BL352" s="106"/>
      <c r="BM352" s="106"/>
      <c r="BN352" s="103"/>
      <c r="BO352" s="106"/>
      <c r="BP352" s="106"/>
      <c r="BQ352" s="106"/>
      <c r="BR352" s="106"/>
      <c r="BS352" s="103"/>
      <c r="BT352" s="103"/>
      <c r="BU352" s="103"/>
      <c r="BV352" s="103"/>
      <c r="BW352" s="83"/>
    </row>
    <row r="353" spans="1:75" ht="15.75" customHeight="1" outlineLevel="1" x14ac:dyDescent="0.2">
      <c r="A353" s="84" t="s">
        <v>690</v>
      </c>
      <c r="B353" s="85"/>
      <c r="C353" s="86"/>
      <c r="D353" s="86"/>
      <c r="E353" s="86"/>
      <c r="F353" s="86"/>
      <c r="G353" s="2"/>
      <c r="H353" s="2"/>
      <c r="I353" s="2"/>
      <c r="J353" s="2"/>
      <c r="K353" s="86"/>
      <c r="L353" s="2"/>
      <c r="M353" s="2"/>
      <c r="N353" s="2"/>
      <c r="O353" s="2"/>
      <c r="P353" s="86"/>
      <c r="Q353" s="2"/>
      <c r="R353" s="2"/>
      <c r="S353" s="2"/>
      <c r="T353" s="2"/>
      <c r="U353" s="86"/>
      <c r="V353" s="2"/>
      <c r="W353" s="2"/>
      <c r="X353" s="2"/>
      <c r="Y353" s="2"/>
      <c r="Z353" s="86"/>
      <c r="AA353" s="2"/>
      <c r="AB353" s="2"/>
      <c r="AC353" s="2"/>
      <c r="AD353" s="2"/>
      <c r="AE353" s="86"/>
      <c r="AF353" s="2"/>
      <c r="AG353" s="2"/>
      <c r="AH353" s="2"/>
      <c r="AI353" s="2"/>
      <c r="AJ353" s="86"/>
      <c r="AK353" s="2"/>
      <c r="AL353" s="2"/>
      <c r="AM353" s="2"/>
      <c r="AN353" s="2"/>
      <c r="AO353" s="86"/>
      <c r="AP353" s="2"/>
      <c r="AQ353" s="88">
        <v>-3.694</v>
      </c>
      <c r="AR353" s="88">
        <v>-4.8380000000000001</v>
      </c>
      <c r="AS353" s="88">
        <v>-4.9530000000000003</v>
      </c>
      <c r="AT353" s="87">
        <v>-13.484999999999999</v>
      </c>
      <c r="AU353" s="88">
        <v>-5.07</v>
      </c>
      <c r="AV353" s="88">
        <v>-13.590999999999999</v>
      </c>
      <c r="AW353" s="2"/>
      <c r="AX353" s="2"/>
      <c r="AY353" s="87">
        <v>-18.661000000000001</v>
      </c>
      <c r="AZ353" s="2"/>
      <c r="BA353" s="2"/>
      <c r="BB353" s="2"/>
      <c r="BC353" s="2"/>
      <c r="BD353" s="86"/>
      <c r="BE353" s="2"/>
      <c r="BF353" s="2"/>
      <c r="BG353" s="2"/>
      <c r="BH353" s="2"/>
      <c r="BI353" s="90"/>
      <c r="BJ353" s="2"/>
      <c r="BK353" s="2"/>
      <c r="BL353" s="2"/>
      <c r="BM353" s="2"/>
      <c r="BN353" s="86"/>
      <c r="BO353" s="2"/>
      <c r="BP353" s="2"/>
      <c r="BQ353" s="2"/>
      <c r="BR353" s="2"/>
      <c r="BS353" s="86"/>
      <c r="BT353" s="86"/>
      <c r="BU353" s="86"/>
      <c r="BV353" s="86"/>
      <c r="BW353" s="4"/>
    </row>
    <row r="354" spans="1:75" ht="15.75" customHeight="1" outlineLevel="1" x14ac:dyDescent="0.2">
      <c r="A354" s="84" t="s">
        <v>691</v>
      </c>
      <c r="B354" s="85"/>
      <c r="C354" s="86"/>
      <c r="D354" s="86"/>
      <c r="E354" s="86"/>
      <c r="F354" s="86"/>
      <c r="G354" s="2"/>
      <c r="H354" s="2"/>
      <c r="I354" s="2"/>
      <c r="J354" s="2"/>
      <c r="K354" s="86"/>
      <c r="L354" s="2"/>
      <c r="M354" s="2"/>
      <c r="N354" s="2"/>
      <c r="O354" s="2"/>
      <c r="P354" s="86"/>
      <c r="Q354" s="2"/>
      <c r="R354" s="2"/>
      <c r="S354" s="2"/>
      <c r="T354" s="2"/>
      <c r="U354" s="86"/>
      <c r="V354" s="2"/>
      <c r="W354" s="2"/>
      <c r="X354" s="2"/>
      <c r="Y354" s="2"/>
      <c r="Z354" s="86"/>
      <c r="AA354" s="2"/>
      <c r="AB354" s="2"/>
      <c r="AC354" s="2"/>
      <c r="AD354" s="2"/>
      <c r="AE354" s="86"/>
      <c r="AF354" s="2"/>
      <c r="AG354" s="2"/>
      <c r="AH354" s="2"/>
      <c r="AI354" s="2"/>
      <c r="AJ354" s="86"/>
      <c r="AK354" s="2"/>
      <c r="AL354" s="2"/>
      <c r="AM354" s="2"/>
      <c r="AN354" s="2"/>
      <c r="AO354" s="86"/>
      <c r="AP354" s="2"/>
      <c r="AQ354" s="88">
        <v>-10.257</v>
      </c>
      <c r="AR354" s="2"/>
      <c r="AS354" s="2"/>
      <c r="AT354" s="87">
        <v>-10.257</v>
      </c>
      <c r="AU354" s="2"/>
      <c r="AV354" s="2"/>
      <c r="AW354" s="2"/>
      <c r="AX354" s="2"/>
      <c r="AY354" s="86"/>
      <c r="AZ354" s="2"/>
      <c r="BA354" s="2"/>
      <c r="BB354" s="2"/>
      <c r="BC354" s="2"/>
      <c r="BD354" s="86"/>
      <c r="BE354" s="2"/>
      <c r="BF354" s="2"/>
      <c r="BG354" s="2"/>
      <c r="BH354" s="2"/>
      <c r="BI354" s="90"/>
      <c r="BJ354" s="2"/>
      <c r="BK354" s="2"/>
      <c r="BL354" s="2"/>
      <c r="BM354" s="2"/>
      <c r="BN354" s="86"/>
      <c r="BO354" s="2"/>
      <c r="BP354" s="2"/>
      <c r="BQ354" s="2"/>
      <c r="BR354" s="2"/>
      <c r="BS354" s="86"/>
      <c r="BT354" s="86"/>
      <c r="BU354" s="86"/>
      <c r="BV354" s="86"/>
      <c r="BW354" s="4"/>
    </row>
    <row r="355" spans="1:75" ht="15.75" customHeight="1" outlineLevel="1" x14ac:dyDescent="0.2">
      <c r="A355" s="84" t="s">
        <v>692</v>
      </c>
      <c r="B355" s="85"/>
      <c r="C355" s="86"/>
      <c r="D355" s="86"/>
      <c r="E355" s="86"/>
      <c r="F355" s="86"/>
      <c r="G355" s="2"/>
      <c r="H355" s="2"/>
      <c r="I355" s="2"/>
      <c r="J355" s="2"/>
      <c r="K355" s="86"/>
      <c r="L355" s="2"/>
      <c r="M355" s="2"/>
      <c r="N355" s="2"/>
      <c r="O355" s="2"/>
      <c r="P355" s="86"/>
      <c r="Q355" s="2"/>
      <c r="R355" s="2"/>
      <c r="S355" s="2"/>
      <c r="T355" s="2"/>
      <c r="U355" s="86"/>
      <c r="V355" s="2"/>
      <c r="W355" s="2"/>
      <c r="X355" s="2"/>
      <c r="Y355" s="2"/>
      <c r="Z355" s="86"/>
      <c r="AA355" s="2"/>
      <c r="AB355" s="2"/>
      <c r="AC355" s="2"/>
      <c r="AD355" s="2"/>
      <c r="AE355" s="86"/>
      <c r="AF355" s="2"/>
      <c r="AG355" s="2"/>
      <c r="AH355" s="2"/>
      <c r="AI355" s="2"/>
      <c r="AJ355" s="86"/>
      <c r="AK355" s="2"/>
      <c r="AL355" s="2"/>
      <c r="AM355" s="2"/>
      <c r="AN355" s="2"/>
      <c r="AO355" s="86"/>
      <c r="AP355" s="2"/>
      <c r="AQ355" s="2"/>
      <c r="AR355" s="2"/>
      <c r="AS355" s="2"/>
      <c r="AT355" s="86"/>
      <c r="AU355" s="2"/>
      <c r="AV355" s="88">
        <v>-3.0510000000000002</v>
      </c>
      <c r="AW355" s="2"/>
      <c r="AX355" s="2"/>
      <c r="AY355" s="87">
        <v>-4.5810000000000004</v>
      </c>
      <c r="AZ355" s="2"/>
      <c r="BA355" s="2"/>
      <c r="BB355" s="2"/>
      <c r="BC355" s="2"/>
      <c r="BD355" s="86"/>
      <c r="BE355" s="2"/>
      <c r="BF355" s="2"/>
      <c r="BG355" s="2"/>
      <c r="BH355" s="2"/>
      <c r="BI355" s="90"/>
      <c r="BJ355" s="2"/>
      <c r="BK355" s="2"/>
      <c r="BL355" s="2"/>
      <c r="BM355" s="2"/>
      <c r="BN355" s="86"/>
      <c r="BO355" s="2"/>
      <c r="BP355" s="2"/>
      <c r="BQ355" s="2"/>
      <c r="BR355" s="2"/>
      <c r="BS355" s="86"/>
      <c r="BT355" s="86"/>
      <c r="BU355" s="86"/>
      <c r="BV355" s="86"/>
      <c r="BW355" s="4"/>
    </row>
    <row r="356" spans="1:75" ht="15.75" customHeight="1" outlineLevel="1" x14ac:dyDescent="0.2">
      <c r="A356" s="320" t="s">
        <v>693</v>
      </c>
      <c r="B356" s="321"/>
      <c r="C356" s="322">
        <f t="shared" ref="C356:BI356" si="832">SUM(C352:C355)</f>
        <v>42.833000000000098</v>
      </c>
      <c r="D356" s="322">
        <f t="shared" si="832"/>
        <v>81.712999999999781</v>
      </c>
      <c r="E356" s="322">
        <f t="shared" si="832"/>
        <v>95.720000000000056</v>
      </c>
      <c r="F356" s="322">
        <f t="shared" si="832"/>
        <v>98.423000000000073</v>
      </c>
      <c r="G356" s="323">
        <f t="shared" si="832"/>
        <v>25.291999999999916</v>
      </c>
      <c r="H356" s="323">
        <f t="shared" si="832"/>
        <v>28.583000000000013</v>
      </c>
      <c r="I356" s="323">
        <f t="shared" si="832"/>
        <v>27.48100000000003</v>
      </c>
      <c r="J356" s="323">
        <f t="shared" si="832"/>
        <v>33.000000000000043</v>
      </c>
      <c r="K356" s="322">
        <f t="shared" si="832"/>
        <v>114.35600000000019</v>
      </c>
      <c r="L356" s="323">
        <f t="shared" si="832"/>
        <v>22.518000000000036</v>
      </c>
      <c r="M356" s="323">
        <f t="shared" si="832"/>
        <v>30.049000000000035</v>
      </c>
      <c r="N356" s="323">
        <f t="shared" si="832"/>
        <v>24.2229999999999</v>
      </c>
      <c r="O356" s="323">
        <f t="shared" si="832"/>
        <v>24.485999999999969</v>
      </c>
      <c r="P356" s="322">
        <f t="shared" si="832"/>
        <v>101.27600000000021</v>
      </c>
      <c r="Q356" s="323">
        <f t="shared" si="832"/>
        <v>28.422999999999913</v>
      </c>
      <c r="R356" s="323">
        <f t="shared" si="832"/>
        <v>34.723999999999926</v>
      </c>
      <c r="S356" s="323">
        <f t="shared" si="832"/>
        <v>26.175999999999945</v>
      </c>
      <c r="T356" s="323">
        <f t="shared" si="832"/>
        <v>27.19999999999996</v>
      </c>
      <c r="U356" s="322">
        <f t="shared" si="832"/>
        <v>116.52299999999985</v>
      </c>
      <c r="V356" s="323">
        <f t="shared" si="832"/>
        <v>33.95400000000005</v>
      </c>
      <c r="W356" s="323">
        <f t="shared" si="832"/>
        <v>38.584999999999944</v>
      </c>
      <c r="X356" s="323">
        <f t="shared" si="832"/>
        <v>34.573999999999991</v>
      </c>
      <c r="Y356" s="323">
        <f t="shared" si="832"/>
        <v>32.380999999999844</v>
      </c>
      <c r="Z356" s="322">
        <f t="shared" si="832"/>
        <v>139.49399999999994</v>
      </c>
      <c r="AA356" s="323">
        <f t="shared" si="832"/>
        <v>35.043000000000099</v>
      </c>
      <c r="AB356" s="323">
        <f t="shared" si="832"/>
        <v>38.165999999999961</v>
      </c>
      <c r="AC356" s="323">
        <f t="shared" si="832"/>
        <v>26.445000000000121</v>
      </c>
      <c r="AD356" s="323">
        <f t="shared" si="832"/>
        <v>57.738000000000071</v>
      </c>
      <c r="AE356" s="322">
        <f t="shared" si="832"/>
        <v>157.39200000000025</v>
      </c>
      <c r="AF356" s="323">
        <f t="shared" si="832"/>
        <v>26.029000000000046</v>
      </c>
      <c r="AG356" s="323">
        <f t="shared" si="832"/>
        <v>28.353000000000119</v>
      </c>
      <c r="AH356" s="323">
        <f t="shared" si="832"/>
        <v>28.474999999999891</v>
      </c>
      <c r="AI356" s="323">
        <f t="shared" si="832"/>
        <v>16.177999999999809</v>
      </c>
      <c r="AJ356" s="322">
        <f t="shared" si="832"/>
        <v>99.034999999999854</v>
      </c>
      <c r="AK356" s="323">
        <f t="shared" si="832"/>
        <v>26.984000000000023</v>
      </c>
      <c r="AL356" s="323">
        <f t="shared" si="832"/>
        <v>35.510000000000048</v>
      </c>
      <c r="AM356" s="323">
        <f t="shared" si="832"/>
        <v>16.089999999999943</v>
      </c>
      <c r="AN356" s="323">
        <f t="shared" si="832"/>
        <v>48.709000000000174</v>
      </c>
      <c r="AO356" s="322">
        <f t="shared" si="832"/>
        <v>127.2930000000004</v>
      </c>
      <c r="AP356" s="323">
        <f t="shared" si="832"/>
        <v>-136.16300000000001</v>
      </c>
      <c r="AQ356" s="324">
        <f t="shared" si="832"/>
        <v>-70.489999999999938</v>
      </c>
      <c r="AR356" s="324">
        <f t="shared" si="832"/>
        <v>-33.183999999999948</v>
      </c>
      <c r="AS356" s="324">
        <f t="shared" si="832"/>
        <v>-37.269999999999911</v>
      </c>
      <c r="AT356" s="325">
        <f t="shared" si="832"/>
        <v>-277.10700000000082</v>
      </c>
      <c r="AU356" s="324">
        <f t="shared" si="832"/>
        <v>-1.2019999999999493</v>
      </c>
      <c r="AV356" s="324">
        <f t="shared" si="832"/>
        <v>17.073000000000157</v>
      </c>
      <c r="AW356" s="324">
        <f t="shared" si="832"/>
        <v>32.680000000000064</v>
      </c>
      <c r="AX356" s="324">
        <f t="shared" si="832"/>
        <v>2.1099999999997014</v>
      </c>
      <c r="AY356" s="325">
        <f t="shared" si="832"/>
        <v>49.130999999999744</v>
      </c>
      <c r="AZ356" s="324">
        <f t="shared" si="832"/>
        <v>23.163000000000029</v>
      </c>
      <c r="BA356" s="324">
        <f t="shared" si="832"/>
        <v>25.656000000000009</v>
      </c>
      <c r="BB356" s="324">
        <f t="shared" si="832"/>
        <v>-2.3979999999999269</v>
      </c>
      <c r="BC356" s="324">
        <f t="shared" si="832"/>
        <v>-3.2980000000005028</v>
      </c>
      <c r="BD356" s="325">
        <f t="shared" si="832"/>
        <v>43.122999999999493</v>
      </c>
      <c r="BE356" s="324">
        <f t="shared" si="832"/>
        <v>28.050000000000157</v>
      </c>
      <c r="BF356" s="324">
        <f t="shared" si="832"/>
        <v>42.674999999999891</v>
      </c>
      <c r="BG356" s="324">
        <f t="shared" si="832"/>
        <v>17.944999999999972</v>
      </c>
      <c r="BH356" s="324">
        <f t="shared" si="832"/>
        <v>12.681000000000124</v>
      </c>
      <c r="BI356" s="326">
        <f t="shared" si="832"/>
        <v>101.35100000000027</v>
      </c>
      <c r="BJ356" s="323"/>
      <c r="BK356" s="323"/>
      <c r="BL356" s="323"/>
      <c r="BM356" s="323"/>
      <c r="BN356" s="322"/>
      <c r="BO356" s="323"/>
      <c r="BP356" s="323"/>
      <c r="BQ356" s="323"/>
      <c r="BR356" s="323"/>
      <c r="BS356" s="322"/>
      <c r="BT356" s="322"/>
      <c r="BU356" s="322"/>
      <c r="BV356" s="322"/>
      <c r="BW356" s="83"/>
    </row>
    <row r="357" spans="1:75" ht="15.75" customHeight="1" outlineLevel="1" x14ac:dyDescent="0.2">
      <c r="A357" s="85"/>
      <c r="B357" s="85"/>
      <c r="C357" s="86"/>
      <c r="D357" s="86"/>
      <c r="E357" s="86"/>
      <c r="F357" s="86"/>
      <c r="G357" s="2"/>
      <c r="H357" s="2"/>
      <c r="I357" s="2"/>
      <c r="J357" s="2"/>
      <c r="K357" s="86"/>
      <c r="L357" s="2"/>
      <c r="M357" s="2"/>
      <c r="N357" s="2"/>
      <c r="O357" s="2"/>
      <c r="P357" s="86"/>
      <c r="Q357" s="2"/>
      <c r="R357" s="2"/>
      <c r="S357" s="2"/>
      <c r="T357" s="2"/>
      <c r="U357" s="86"/>
      <c r="V357" s="2"/>
      <c r="W357" s="2"/>
      <c r="X357" s="2"/>
      <c r="Y357" s="2"/>
      <c r="Z357" s="86"/>
      <c r="AA357" s="2"/>
      <c r="AB357" s="2"/>
      <c r="AC357" s="2"/>
      <c r="AD357" s="2"/>
      <c r="AE357" s="86"/>
      <c r="AF357" s="2"/>
      <c r="AG357" s="2"/>
      <c r="AH357" s="2"/>
      <c r="AI357" s="2"/>
      <c r="AJ357" s="86"/>
      <c r="AK357" s="2"/>
      <c r="AL357" s="2"/>
      <c r="AM357" s="2"/>
      <c r="AN357" s="2"/>
      <c r="AO357" s="86"/>
      <c r="AP357" s="2"/>
      <c r="AQ357" s="2"/>
      <c r="AR357" s="2"/>
      <c r="AS357" s="2"/>
      <c r="AT357" s="86"/>
      <c r="AU357" s="2"/>
      <c r="AV357" s="2"/>
      <c r="AW357" s="2"/>
      <c r="AX357" s="2"/>
      <c r="AY357" s="86"/>
      <c r="AZ357" s="2"/>
      <c r="BA357" s="2"/>
      <c r="BB357" s="2"/>
      <c r="BC357" s="2"/>
      <c r="BD357" s="86"/>
      <c r="BE357" s="2"/>
      <c r="BF357" s="2"/>
      <c r="BG357" s="2"/>
      <c r="BH357" s="2"/>
      <c r="BI357" s="90"/>
      <c r="BJ357" s="2"/>
      <c r="BK357" s="2"/>
      <c r="BL357" s="2"/>
      <c r="BM357" s="2"/>
      <c r="BN357" s="86"/>
      <c r="BO357" s="2"/>
      <c r="BP357" s="2"/>
      <c r="BQ357" s="2"/>
      <c r="BR357" s="2"/>
      <c r="BS357" s="86"/>
      <c r="BT357" s="86"/>
      <c r="BU357" s="86"/>
      <c r="BV357" s="86"/>
      <c r="BW357" s="4"/>
    </row>
    <row r="358" spans="1:75" ht="15.75" customHeight="1" outlineLevel="1" x14ac:dyDescent="0.2">
      <c r="A358" s="327" t="s">
        <v>694</v>
      </c>
      <c r="B358" s="327"/>
      <c r="C358" s="328">
        <f t="array" ref="C358">IF(ISBLANK(INDEX(MO_IS_FirstRow,0,COLUMN())),0,ROUND(C352-C635,6))</f>
        <v>0</v>
      </c>
      <c r="D358" s="328">
        <f t="array" ref="D358">IF(ISBLANK(INDEX(MO_IS_FirstRow,0,COLUMN())),0,ROUND(D352-D635,6))</f>
        <v>0</v>
      </c>
      <c r="E358" s="328">
        <f t="array" ref="E358">IF(ISBLANK(INDEX(MO_IS_FirstRow,0,COLUMN())),0,ROUND(E352-E635,6))</f>
        <v>0</v>
      </c>
      <c r="F358" s="328">
        <f t="array" ref="F358">IF(ISBLANK(INDEX(MO_IS_FirstRow,0,COLUMN())),0,ROUND(F352-F635,6))</f>
        <v>0</v>
      </c>
      <c r="G358" s="328">
        <f t="array" ref="G358">IF(ISBLANK(INDEX(MO_IS_FirstRow,0,COLUMN())),0,ROUND(G352-G635,6))</f>
        <v>0</v>
      </c>
      <c r="H358" s="328">
        <f t="array" ref="H358">IF(ISBLANK(INDEX(MO_IS_FirstRow,0,COLUMN())),0,ROUND(H352-H635,6))</f>
        <v>0</v>
      </c>
      <c r="I358" s="328">
        <f t="array" ref="I358">IF(ISBLANK(INDEX(MO_IS_FirstRow,0,COLUMN())),0,ROUND(I352-I635,6))</f>
        <v>0</v>
      </c>
      <c r="J358" s="328">
        <f t="array" ref="J358">IF(ISBLANK(INDEX(MO_IS_FirstRow,0,COLUMN())),0,ROUND(J352-J635,6))</f>
        <v>0</v>
      </c>
      <c r="K358" s="328">
        <f t="array" ref="K358">IF(ISBLANK(INDEX(MO_IS_FirstRow,0,COLUMN())),0,ROUND(K352-K635,6))</f>
        <v>0</v>
      </c>
      <c r="L358" s="328">
        <f t="array" ref="L358">IF(ISBLANK(INDEX(MO_IS_FirstRow,0,COLUMN())),0,ROUND(L352-L635,6))</f>
        <v>0</v>
      </c>
      <c r="M358" s="328">
        <f t="array" ref="M358">IF(ISBLANK(INDEX(MO_IS_FirstRow,0,COLUMN())),0,ROUND(M352-M635,6))</f>
        <v>0</v>
      </c>
      <c r="N358" s="328">
        <f t="array" ref="N358">IF(ISBLANK(INDEX(MO_IS_FirstRow,0,COLUMN())),0,ROUND(N352-N635,6))</f>
        <v>0</v>
      </c>
      <c r="O358" s="328">
        <f t="array" ref="O358">IF(ISBLANK(INDEX(MO_IS_FirstRow,0,COLUMN())),0,ROUND(O352-O635,6))</f>
        <v>0</v>
      </c>
      <c r="P358" s="328">
        <f t="array" ref="P358">IF(ISBLANK(INDEX(MO_IS_FirstRow,0,COLUMN())),0,ROUND(P352-P635,6))</f>
        <v>0</v>
      </c>
      <c r="Q358" s="328">
        <f t="array" ref="Q358">IF(ISBLANK(INDEX(MO_IS_FirstRow,0,COLUMN())),0,ROUND(Q352-Q635,6))</f>
        <v>0</v>
      </c>
      <c r="R358" s="328">
        <f t="array" ref="R358">IF(ISBLANK(INDEX(MO_IS_FirstRow,0,COLUMN())),0,ROUND(R352-R635,6))</f>
        <v>0</v>
      </c>
      <c r="S358" s="328">
        <f t="array" ref="S358">IF(ISBLANK(INDEX(MO_IS_FirstRow,0,COLUMN())),0,ROUND(S352-S635,6))</f>
        <v>0</v>
      </c>
      <c r="T358" s="328">
        <f t="array" ref="T358">IF(ISBLANK(INDEX(MO_IS_FirstRow,0,COLUMN())),0,ROUND(T352-T635,6))</f>
        <v>0</v>
      </c>
      <c r="U358" s="328">
        <f t="array" ref="U358">IF(ISBLANK(INDEX(MO_IS_FirstRow,0,COLUMN())),0,ROUND(U352-U635,6))</f>
        <v>0</v>
      </c>
      <c r="V358" s="328">
        <f t="array" ref="V358">IF(ISBLANK(INDEX(MO_IS_FirstRow,0,COLUMN())),0,ROUND(V352-V635,6))</f>
        <v>0</v>
      </c>
      <c r="W358" s="328">
        <f t="array" ref="W358">IF(ISBLANK(INDEX(MO_IS_FirstRow,0,COLUMN())),0,ROUND(W352-W635,6))</f>
        <v>0</v>
      </c>
      <c r="X358" s="328">
        <f t="array" ref="X358">IF(ISBLANK(INDEX(MO_IS_FirstRow,0,COLUMN())),0,ROUND(X352-X635,6))</f>
        <v>0</v>
      </c>
      <c r="Y358" s="328">
        <f t="array" ref="Y358">IF(ISBLANK(INDEX(MO_IS_FirstRow,0,COLUMN())),0,ROUND(Y352-Y635,6))</f>
        <v>0</v>
      </c>
      <c r="Z358" s="328">
        <f t="array" ref="Z358">IF(ISBLANK(INDEX(MO_IS_FirstRow,0,COLUMN())),0,ROUND(Z352-Z635,6))</f>
        <v>0</v>
      </c>
      <c r="AA358" s="328">
        <f t="array" ref="AA358">IF(ISBLANK(INDEX(MO_IS_FirstRow,0,COLUMN())),0,ROUND(AA352-AA635,6))</f>
        <v>0</v>
      </c>
      <c r="AB358" s="328">
        <f t="array" ref="AB358">IF(ISBLANK(INDEX(MO_IS_FirstRow,0,COLUMN())),0,ROUND(AB352-AB635,6))</f>
        <v>0</v>
      </c>
      <c r="AC358" s="328">
        <f t="array" ref="AC358">IF(ISBLANK(INDEX(MO_IS_FirstRow,0,COLUMN())),0,ROUND(AC352-AC635,6))</f>
        <v>0</v>
      </c>
      <c r="AD358" s="328">
        <f t="array" ref="AD358">IF(ISBLANK(INDEX(MO_IS_FirstRow,0,COLUMN())),0,ROUND(AD352-AD635,6))</f>
        <v>0</v>
      </c>
      <c r="AE358" s="328">
        <f t="array" ref="AE358">IF(ISBLANK(INDEX(MO_IS_FirstRow,0,COLUMN())),0,ROUND(AE352-AE635,6))</f>
        <v>0</v>
      </c>
      <c r="AF358" s="328">
        <f t="array" ref="AF358">IF(ISBLANK(INDEX(MO_IS_FirstRow,0,COLUMN())),0,ROUND(AF352-AF635,6))</f>
        <v>0</v>
      </c>
      <c r="AG358" s="328">
        <f t="array" ref="AG358">IF(ISBLANK(INDEX(MO_IS_FirstRow,0,COLUMN())),0,ROUND(AG352-AG635,6))</f>
        <v>0</v>
      </c>
      <c r="AH358" s="328">
        <f t="array" ref="AH358">IF(ISBLANK(INDEX(MO_IS_FirstRow,0,COLUMN())),0,ROUND(AH352-AH635,6))</f>
        <v>0</v>
      </c>
      <c r="AI358" s="328">
        <f t="array" ref="AI358">IF(ISBLANK(INDEX(MO_IS_FirstRow,0,COLUMN())),0,ROUND(AI352-AI635,6))</f>
        <v>0</v>
      </c>
      <c r="AJ358" s="328">
        <f t="array" ref="AJ358">IF(ISBLANK(INDEX(MO_IS_FirstRow,0,COLUMN())),0,ROUND(AJ352-AJ635,6))</f>
        <v>0</v>
      </c>
      <c r="AK358" s="328">
        <f t="array" ref="AK358">IF(ISBLANK(INDEX(MO_IS_FirstRow,0,COLUMN())),0,ROUND(AK352-AK635,6))</f>
        <v>0</v>
      </c>
      <c r="AL358" s="328">
        <f t="array" ref="AL358">IF(ISBLANK(INDEX(MO_IS_FirstRow,0,COLUMN())),0,ROUND(AL352-AL635,6))</f>
        <v>0</v>
      </c>
      <c r="AM358" s="328">
        <f t="array" ref="AM358">IF(ISBLANK(INDEX(MO_IS_FirstRow,0,COLUMN())),0,ROUND(AM352-AM635,6))</f>
        <v>0</v>
      </c>
      <c r="AN358" s="328">
        <f t="array" ref="AN358">IF(ISBLANK(INDEX(MO_IS_FirstRow,0,COLUMN())),0,ROUND(AN352-AN635,6))</f>
        <v>0</v>
      </c>
      <c r="AO358" s="328">
        <f t="array" ref="AO358">IF(ISBLANK(INDEX(MO_IS_FirstRow,0,COLUMN())),0,ROUND(AO352-AO635,6))</f>
        <v>0</v>
      </c>
      <c r="AP358" s="328">
        <f t="array" ref="AP358">IF(ISBLANK(INDEX(MO_IS_FirstRow,0,COLUMN())),0,ROUND(AP352-AP635,6))</f>
        <v>0</v>
      </c>
      <c r="AQ358" s="328">
        <f t="array" ref="AQ358">IF(ISBLANK(INDEX(MO_IS_FirstRow,0,COLUMN())),0,ROUND(AQ352-AQ635,6))</f>
        <v>0</v>
      </c>
      <c r="AR358" s="328">
        <f t="array" ref="AR358">IF(ISBLANK(INDEX(MO_IS_FirstRow,0,COLUMN())),0,ROUND(AR352-AR635,6))</f>
        <v>0</v>
      </c>
      <c r="AS358" s="328">
        <f t="array" ref="AS358">IF(ISBLANK(INDEX(MO_IS_FirstRow,0,COLUMN())),0,ROUND(AS352-AS635,6))</f>
        <v>0</v>
      </c>
      <c r="AT358" s="328">
        <f t="array" ref="AT358">IF(ISBLANK(INDEX(MO_IS_FirstRow,0,COLUMN())),0,ROUND(AT352-AT635,6))</f>
        <v>0</v>
      </c>
      <c r="AU358" s="328">
        <f t="array" ref="AU358">IF(ISBLANK(INDEX(MO_IS_FirstRow,0,COLUMN())),0,ROUND(AU352-AU635,6))</f>
        <v>0</v>
      </c>
      <c r="AV358" s="328">
        <f t="array" ref="AV358">IF(ISBLANK(INDEX(MO_IS_FirstRow,0,COLUMN())),0,ROUND(AV352-AV635,6))</f>
        <v>0</v>
      </c>
      <c r="AW358" s="328">
        <f t="array" ref="AW358">IF(ISBLANK(INDEX(MO_IS_FirstRow,0,COLUMN())),0,ROUND(AW352-AW635,6))</f>
        <v>0</v>
      </c>
      <c r="AX358" s="328">
        <f t="array" ref="AX358">IF(ISBLANK(INDEX(MO_IS_FirstRow,0,COLUMN())),0,ROUND(AX352-AX635,6))</f>
        <v>0</v>
      </c>
      <c r="AY358" s="328">
        <f t="array" ref="AY358">IF(ISBLANK(INDEX(MO_IS_FirstRow,0,COLUMN())),0,ROUND(AY352-AY635,6))</f>
        <v>0</v>
      </c>
      <c r="AZ358" s="328">
        <f t="array" ref="AZ358">IF(ISBLANK(INDEX(MO_IS_FirstRow,0,COLUMN())),0,ROUND(AZ352-AZ635,6))</f>
        <v>0</v>
      </c>
      <c r="BA358" s="328">
        <f t="array" ref="BA358">IF(ISBLANK(INDEX(MO_IS_FirstRow,0,COLUMN())),0,ROUND(BA352-BA635,6))</f>
        <v>0</v>
      </c>
      <c r="BB358" s="328">
        <f t="array" ref="BB358">IF(ISBLANK(INDEX(MO_IS_FirstRow,0,COLUMN())),0,ROUND(BB352-BB635,6))</f>
        <v>0</v>
      </c>
      <c r="BC358" s="328">
        <f t="array" ref="BC358">IF(ISBLANK(INDEX(MO_IS_FirstRow,0,COLUMN())),0,ROUND(BC352-BC635,6))</f>
        <v>0</v>
      </c>
      <c r="BD358" s="328">
        <f t="array" ref="BD358">IF(ISBLANK(INDEX(MO_IS_FirstRow,0,COLUMN())),0,ROUND(BD352-BD635,6))</f>
        <v>0</v>
      </c>
      <c r="BE358" s="328">
        <f t="array" ref="BE358">IF(ISBLANK(INDEX(MO_IS_FirstRow,0,COLUMN())),0,ROUND(BE352-BE635,6))</f>
        <v>0</v>
      </c>
      <c r="BF358" s="328">
        <f t="array" ref="BF358">IF(ISBLANK(INDEX(MO_IS_FirstRow,0,COLUMN())),0,ROUND(BF352-BF635,6))</f>
        <v>0</v>
      </c>
      <c r="BG358" s="328">
        <f t="array" ref="BG358">IF(ISBLANK(INDEX(MO_IS_FirstRow,0,COLUMN())),0,ROUND(BG352-BG635,6))</f>
        <v>0</v>
      </c>
      <c r="BH358" s="328">
        <f t="array" ref="BH358">IF(ISBLANK(INDEX(MO_IS_FirstRow,0,COLUMN())),0,ROUND(BH352-BH635,6))</f>
        <v>0</v>
      </c>
      <c r="BI358" s="329">
        <f t="array" ref="BI358">IF(ISBLANK(INDEX(MO_IS_FirstRow,0,COLUMN())),0,ROUND(BI352-BI635,6))</f>
        <v>0</v>
      </c>
      <c r="BJ358" s="328">
        <f t="array" ref="BJ358">IF(ISBLANK(INDEX(MO_IS_FirstRow,0,COLUMN())),0,ROUND(BJ352-BJ635,6))</f>
        <v>0</v>
      </c>
      <c r="BK358" s="328">
        <f t="array" ref="BK358">IF(ISBLANK(INDEX(MO_IS_FirstRow,0,COLUMN())),0,ROUND(BK352-BK635,6))</f>
        <v>0</v>
      </c>
      <c r="BL358" s="328">
        <f t="array" ref="BL358">IF(ISBLANK(INDEX(MO_IS_FirstRow,0,COLUMN())),0,ROUND(BL352-BL635,6))</f>
        <v>0</v>
      </c>
      <c r="BM358" s="328">
        <f t="array" ref="BM358">IF(ISBLANK(INDEX(MO_IS_FirstRow,0,COLUMN())),0,ROUND(BM352-BM635,6))</f>
        <v>0</v>
      </c>
      <c r="BN358" s="328">
        <f t="array" ref="BN358">IF(ISBLANK(INDEX(MO_IS_FirstRow,0,COLUMN())),0,ROUND(BN352-BN635,6))</f>
        <v>0</v>
      </c>
      <c r="BO358" s="328">
        <f t="array" ref="BO358">IF(ISBLANK(INDEX(MO_IS_FirstRow,0,COLUMN())),0,ROUND(BO352-BO635,6))</f>
        <v>0</v>
      </c>
      <c r="BP358" s="328">
        <f t="array" ref="BP358">IF(ISBLANK(INDEX(MO_IS_FirstRow,0,COLUMN())),0,ROUND(BP352-BP635,6))</f>
        <v>0</v>
      </c>
      <c r="BQ358" s="328">
        <f t="array" ref="BQ358">IF(ISBLANK(INDEX(MO_IS_FirstRow,0,COLUMN())),0,ROUND(BQ352-BQ635,6))</f>
        <v>0</v>
      </c>
      <c r="BR358" s="328">
        <f t="array" ref="BR358">IF(ISBLANK(INDEX(MO_IS_FirstRow,0,COLUMN())),0,ROUND(BR352-BR635,6))</f>
        <v>0</v>
      </c>
      <c r="BS358" s="328">
        <f t="array" ref="BS358">IF(ISBLANK(INDEX(MO_IS_FirstRow,0,COLUMN())),0,ROUND(BS352-BS635,6))</f>
        <v>0</v>
      </c>
      <c r="BT358" s="328">
        <f t="array" ref="BT358">IF(ISBLANK(INDEX(MO_IS_FirstRow,0,COLUMN())),0,ROUND(BT352-BT635,6))</f>
        <v>0</v>
      </c>
      <c r="BU358" s="328">
        <f t="array" ref="BU358">IF(ISBLANK(INDEX(MO_IS_FirstRow,0,COLUMN())),0,ROUND(BU352-BU635,6))</f>
        <v>0</v>
      </c>
      <c r="BV358" s="328">
        <f t="array" ref="BV358">IF(ISBLANK(INDEX(MO_IS_FirstRow,0,COLUMN())),0,ROUND(BV352-BV635,6))</f>
        <v>0</v>
      </c>
      <c r="BW358" s="4"/>
    </row>
    <row r="359" spans="1:75" ht="15.75" customHeight="1" x14ac:dyDescent="0.2">
      <c r="A359" s="85"/>
      <c r="B359" s="85"/>
      <c r="C359" s="86"/>
      <c r="D359" s="86"/>
      <c r="E359" s="86"/>
      <c r="F359" s="86"/>
      <c r="G359" s="2"/>
      <c r="H359" s="2"/>
      <c r="I359" s="2"/>
      <c r="J359" s="2"/>
      <c r="K359" s="86"/>
      <c r="L359" s="2"/>
      <c r="M359" s="2"/>
      <c r="N359" s="2"/>
      <c r="O359" s="2"/>
      <c r="P359" s="86"/>
      <c r="Q359" s="2"/>
      <c r="R359" s="2"/>
      <c r="S359" s="2"/>
      <c r="T359" s="2"/>
      <c r="U359" s="86"/>
      <c r="V359" s="2"/>
      <c r="W359" s="2"/>
      <c r="X359" s="2"/>
      <c r="Y359" s="2"/>
      <c r="Z359" s="86"/>
      <c r="AA359" s="2"/>
      <c r="AB359" s="2"/>
      <c r="AC359" s="2"/>
      <c r="AD359" s="2"/>
      <c r="AE359" s="86"/>
      <c r="AF359" s="2"/>
      <c r="AG359" s="2"/>
      <c r="AH359" s="2"/>
      <c r="AI359" s="2"/>
      <c r="AJ359" s="86"/>
      <c r="AK359" s="2"/>
      <c r="AL359" s="2"/>
      <c r="AM359" s="2"/>
      <c r="AN359" s="2"/>
      <c r="AO359" s="86"/>
      <c r="AP359" s="2"/>
      <c r="AQ359" s="2"/>
      <c r="AR359" s="2"/>
      <c r="AS359" s="2"/>
      <c r="AT359" s="86"/>
      <c r="AU359" s="2"/>
      <c r="AV359" s="2"/>
      <c r="AW359" s="2"/>
      <c r="AX359" s="2"/>
      <c r="AY359" s="86"/>
      <c r="AZ359" s="2"/>
      <c r="BA359" s="2"/>
      <c r="BB359" s="2"/>
      <c r="BC359" s="2"/>
      <c r="BD359" s="86"/>
      <c r="BE359" s="2"/>
      <c r="BF359" s="2"/>
      <c r="BG359" s="2"/>
      <c r="BH359" s="2"/>
      <c r="BI359" s="90"/>
      <c r="BJ359" s="2"/>
      <c r="BK359" s="2"/>
      <c r="BL359" s="2"/>
      <c r="BM359" s="2"/>
      <c r="BN359" s="86"/>
      <c r="BO359" s="2"/>
      <c r="BP359" s="2"/>
      <c r="BQ359" s="2"/>
      <c r="BR359" s="2"/>
      <c r="BS359" s="86"/>
      <c r="BT359" s="86"/>
      <c r="BU359" s="86"/>
      <c r="BV359" s="86"/>
      <c r="BW359" s="4"/>
    </row>
    <row r="360" spans="1:75" ht="15.75" customHeight="1" x14ac:dyDescent="0.2">
      <c r="A360" s="330" t="s">
        <v>695</v>
      </c>
      <c r="B360" s="330"/>
      <c r="C360" s="330"/>
      <c r="D360" s="330"/>
      <c r="E360" s="330"/>
      <c r="F360" s="330"/>
      <c r="G360" s="330"/>
      <c r="H360" s="330"/>
      <c r="I360" s="330"/>
      <c r="J360" s="330"/>
      <c r="K360" s="330"/>
      <c r="L360" s="330"/>
      <c r="M360" s="330"/>
      <c r="N360" s="330"/>
      <c r="O360" s="330"/>
      <c r="P360" s="330"/>
      <c r="Q360" s="330"/>
      <c r="R360" s="330"/>
      <c r="S360" s="330"/>
      <c r="T360" s="330"/>
      <c r="U360" s="330"/>
      <c r="V360" s="330"/>
      <c r="W360" s="330"/>
      <c r="X360" s="330"/>
      <c r="Y360" s="330"/>
      <c r="Z360" s="330"/>
      <c r="AA360" s="330"/>
      <c r="AB360" s="330"/>
      <c r="AC360" s="330"/>
      <c r="AD360" s="330"/>
      <c r="AE360" s="330"/>
      <c r="AF360" s="330"/>
      <c r="AG360" s="330"/>
      <c r="AH360" s="330"/>
      <c r="AI360" s="330"/>
      <c r="AJ360" s="330"/>
      <c r="AK360" s="330"/>
      <c r="AL360" s="330"/>
      <c r="AM360" s="330"/>
      <c r="AN360" s="330"/>
      <c r="AO360" s="330"/>
      <c r="AP360" s="330"/>
      <c r="AQ360" s="330"/>
      <c r="AR360" s="330"/>
      <c r="AS360" s="330"/>
      <c r="AT360" s="330"/>
      <c r="AU360" s="330"/>
      <c r="AV360" s="330"/>
      <c r="AW360" s="330"/>
      <c r="AX360" s="330"/>
      <c r="AY360" s="330"/>
      <c r="AZ360" s="330"/>
      <c r="BA360" s="330"/>
      <c r="BB360" s="330"/>
      <c r="BC360" s="330"/>
      <c r="BD360" s="330"/>
      <c r="BE360" s="330"/>
      <c r="BF360" s="330"/>
      <c r="BG360" s="330"/>
      <c r="BH360" s="330"/>
      <c r="BI360" s="331"/>
      <c r="BJ360" s="330"/>
      <c r="BK360" s="330"/>
      <c r="BL360" s="330"/>
      <c r="BM360" s="330"/>
      <c r="BN360" s="330"/>
      <c r="BO360" s="330"/>
      <c r="BP360" s="330"/>
      <c r="BQ360" s="330"/>
      <c r="BR360" s="330"/>
      <c r="BS360" s="330"/>
      <c r="BT360" s="330"/>
      <c r="BU360" s="330"/>
      <c r="BV360" s="330"/>
      <c r="BW360" s="197"/>
    </row>
    <row r="361" spans="1:75" ht="15.75" customHeight="1" outlineLevel="1" x14ac:dyDescent="0.2">
      <c r="A361" s="229" t="s">
        <v>414</v>
      </c>
      <c r="B361" s="108"/>
      <c r="C361" s="319">
        <f t="shared" ref="C361:F361" si="833">C352</f>
        <v>42.833000000000098</v>
      </c>
      <c r="D361" s="319">
        <f t="shared" si="833"/>
        <v>81.712999999999781</v>
      </c>
      <c r="E361" s="319">
        <f t="shared" si="833"/>
        <v>95.720000000000056</v>
      </c>
      <c r="F361" s="319">
        <f t="shared" si="833"/>
        <v>98.423000000000073</v>
      </c>
      <c r="G361" s="110"/>
      <c r="H361" s="110"/>
      <c r="I361" s="110"/>
      <c r="J361" s="110"/>
      <c r="K361" s="319">
        <f>K352</f>
        <v>114.35600000000019</v>
      </c>
      <c r="L361" s="110"/>
      <c r="M361" s="110"/>
      <c r="N361" s="110"/>
      <c r="O361" s="110"/>
      <c r="P361" s="319">
        <f>P352</f>
        <v>101.27600000000021</v>
      </c>
      <c r="Q361" s="110"/>
      <c r="R361" s="110"/>
      <c r="S361" s="110"/>
      <c r="T361" s="83">
        <f t="shared" ref="T361:U361" si="834">T352</f>
        <v>27.19999999999996</v>
      </c>
      <c r="U361" s="319">
        <f t="shared" si="834"/>
        <v>116.52299999999985</v>
      </c>
      <c r="V361" s="110"/>
      <c r="W361" s="110"/>
      <c r="X361" s="83">
        <f t="shared" ref="X361:BI361" si="835">X352</f>
        <v>34.573999999999991</v>
      </c>
      <c r="Y361" s="83">
        <f t="shared" si="835"/>
        <v>32.380999999999844</v>
      </c>
      <c r="Z361" s="319">
        <f t="shared" si="835"/>
        <v>139.49399999999994</v>
      </c>
      <c r="AA361" s="83">
        <f t="shared" si="835"/>
        <v>35.043000000000099</v>
      </c>
      <c r="AB361" s="83">
        <f t="shared" si="835"/>
        <v>38.165999999999961</v>
      </c>
      <c r="AC361" s="83">
        <f t="shared" si="835"/>
        <v>26.445000000000121</v>
      </c>
      <c r="AD361" s="83">
        <f t="shared" si="835"/>
        <v>57.738000000000071</v>
      </c>
      <c r="AE361" s="319">
        <f t="shared" si="835"/>
        <v>157.39200000000025</v>
      </c>
      <c r="AF361" s="83">
        <f t="shared" si="835"/>
        <v>26.029000000000046</v>
      </c>
      <c r="AG361" s="83">
        <f t="shared" si="835"/>
        <v>28.353000000000119</v>
      </c>
      <c r="AH361" s="83">
        <f t="shared" si="835"/>
        <v>28.474999999999891</v>
      </c>
      <c r="AI361" s="83">
        <f t="shared" si="835"/>
        <v>16.177999999999809</v>
      </c>
      <c r="AJ361" s="319">
        <f t="shared" si="835"/>
        <v>99.034999999999854</v>
      </c>
      <c r="AK361" s="83">
        <f t="shared" si="835"/>
        <v>26.984000000000023</v>
      </c>
      <c r="AL361" s="83">
        <f t="shared" si="835"/>
        <v>35.510000000000048</v>
      </c>
      <c r="AM361" s="83">
        <f t="shared" si="835"/>
        <v>16.089999999999943</v>
      </c>
      <c r="AN361" s="83">
        <f t="shared" si="835"/>
        <v>48.709000000000174</v>
      </c>
      <c r="AO361" s="319">
        <f t="shared" si="835"/>
        <v>127.2930000000004</v>
      </c>
      <c r="AP361" s="83">
        <f t="shared" si="835"/>
        <v>-136.16300000000001</v>
      </c>
      <c r="AQ361" s="83">
        <f t="shared" si="835"/>
        <v>-56.53899999999993</v>
      </c>
      <c r="AR361" s="83">
        <f t="shared" si="835"/>
        <v>-28.345999999999947</v>
      </c>
      <c r="AS361" s="83">
        <f t="shared" si="835"/>
        <v>-32.316999999999908</v>
      </c>
      <c r="AT361" s="319">
        <f t="shared" si="835"/>
        <v>-253.3650000000008</v>
      </c>
      <c r="AU361" s="83">
        <f t="shared" si="835"/>
        <v>3.868000000000051</v>
      </c>
      <c r="AV361" s="83">
        <f t="shared" si="835"/>
        <v>33.71500000000016</v>
      </c>
      <c r="AW361" s="83">
        <f t="shared" si="835"/>
        <v>32.680000000000064</v>
      </c>
      <c r="AX361" s="83">
        <f t="shared" si="835"/>
        <v>2.1099999999997014</v>
      </c>
      <c r="AY361" s="319">
        <f t="shared" si="835"/>
        <v>72.372999999999749</v>
      </c>
      <c r="AZ361" s="83">
        <f t="shared" si="835"/>
        <v>23.163000000000029</v>
      </c>
      <c r="BA361" s="83">
        <f t="shared" si="835"/>
        <v>25.656000000000009</v>
      </c>
      <c r="BB361" s="83">
        <f t="shared" si="835"/>
        <v>-2.3979999999999269</v>
      </c>
      <c r="BC361" s="83">
        <f t="shared" si="835"/>
        <v>-3.2980000000005028</v>
      </c>
      <c r="BD361" s="319">
        <f t="shared" si="835"/>
        <v>43.122999999999493</v>
      </c>
      <c r="BE361" s="83">
        <f t="shared" si="835"/>
        <v>28.050000000000157</v>
      </c>
      <c r="BF361" s="83">
        <f t="shared" si="835"/>
        <v>42.674999999999891</v>
      </c>
      <c r="BG361" s="83">
        <f t="shared" si="835"/>
        <v>17.944999999999972</v>
      </c>
      <c r="BH361" s="83">
        <f t="shared" si="835"/>
        <v>12.681000000000124</v>
      </c>
      <c r="BI361" s="332">
        <f t="shared" si="835"/>
        <v>101.35100000000027</v>
      </c>
      <c r="BJ361" s="110"/>
      <c r="BK361" s="110"/>
      <c r="BL361" s="110"/>
      <c r="BM361" s="110"/>
      <c r="BN361" s="109"/>
      <c r="BO361" s="110"/>
      <c r="BP361" s="110"/>
      <c r="BQ361" s="110"/>
      <c r="BR361" s="110"/>
      <c r="BS361" s="109"/>
      <c r="BT361" s="109"/>
      <c r="BU361" s="109"/>
      <c r="BV361" s="109"/>
      <c r="BW361" s="83"/>
    </row>
    <row r="362" spans="1:75" ht="15.75" customHeight="1" outlineLevel="1" x14ac:dyDescent="0.2">
      <c r="A362" s="84" t="s">
        <v>696</v>
      </c>
      <c r="B362" s="85"/>
      <c r="C362" s="86"/>
      <c r="D362" s="86"/>
      <c r="E362" s="86"/>
      <c r="F362" s="86"/>
      <c r="G362" s="2"/>
      <c r="H362" s="2"/>
      <c r="I362" s="2"/>
      <c r="J362" s="2"/>
      <c r="K362" s="86"/>
      <c r="L362" s="2"/>
      <c r="M362" s="2"/>
      <c r="N362" s="2"/>
      <c r="O362" s="2"/>
      <c r="P362" s="86"/>
      <c r="Q362" s="2"/>
      <c r="R362" s="2"/>
      <c r="S362" s="2"/>
      <c r="T362" s="2"/>
      <c r="U362" s="86"/>
      <c r="V362" s="2"/>
      <c r="W362" s="2"/>
      <c r="X362" s="2"/>
      <c r="Y362" s="2"/>
      <c r="Z362" s="86"/>
      <c r="AA362" s="2"/>
      <c r="AB362" s="2"/>
      <c r="AC362" s="2"/>
      <c r="AD362" s="2"/>
      <c r="AE362" s="86"/>
      <c r="AF362" s="2"/>
      <c r="AG362" s="2"/>
      <c r="AH362" s="2"/>
      <c r="AI362" s="2"/>
      <c r="AJ362" s="86"/>
      <c r="AK362" s="2"/>
      <c r="AL362" s="2"/>
      <c r="AM362" s="2"/>
      <c r="AN362" s="2"/>
      <c r="AO362" s="86"/>
      <c r="AP362" s="88">
        <v>3.29</v>
      </c>
      <c r="AQ362" s="88">
        <v>11.73</v>
      </c>
      <c r="AR362" s="88">
        <v>2.5579999999999998</v>
      </c>
      <c r="AS362" s="88">
        <v>5.3840000000000003</v>
      </c>
      <c r="AT362" s="87">
        <v>22.963000000000001</v>
      </c>
      <c r="AU362" s="88">
        <v>4.9169999999999998</v>
      </c>
      <c r="AV362" s="2"/>
      <c r="AW362" s="2"/>
      <c r="AX362" s="2"/>
      <c r="AY362" s="87">
        <v>4.9169999999999998</v>
      </c>
      <c r="AZ362" s="2"/>
      <c r="BA362" s="2"/>
      <c r="BB362" s="2"/>
      <c r="BC362" s="2"/>
      <c r="BD362" s="86"/>
      <c r="BE362" s="2"/>
      <c r="BF362" s="2"/>
      <c r="BG362" s="2"/>
      <c r="BH362" s="2"/>
      <c r="BI362" s="90"/>
      <c r="BJ362" s="2"/>
      <c r="BK362" s="2"/>
      <c r="BL362" s="2"/>
      <c r="BM362" s="2"/>
      <c r="BN362" s="86"/>
      <c r="BO362" s="2"/>
      <c r="BP362" s="2"/>
      <c r="BQ362" s="2"/>
      <c r="BR362" s="2"/>
      <c r="BS362" s="86"/>
      <c r="BT362" s="86"/>
      <c r="BU362" s="86"/>
      <c r="BV362" s="86"/>
      <c r="BW362" s="4"/>
    </row>
    <row r="363" spans="1:75" ht="15.75" customHeight="1" outlineLevel="1" x14ac:dyDescent="0.2">
      <c r="A363" s="84" t="s">
        <v>416</v>
      </c>
      <c r="B363" s="85"/>
      <c r="C363" s="87">
        <v>15.925000000000001</v>
      </c>
      <c r="D363" s="86"/>
      <c r="E363" s="87">
        <v>0.92800000000000005</v>
      </c>
      <c r="F363" s="87">
        <v>5.7220000000000004</v>
      </c>
      <c r="G363" s="2"/>
      <c r="H363" s="2"/>
      <c r="I363" s="2"/>
      <c r="J363" s="2"/>
      <c r="K363" s="87">
        <v>-0.33700000000000002</v>
      </c>
      <c r="L363" s="2"/>
      <c r="M363" s="2"/>
      <c r="N363" s="2"/>
      <c r="O363" s="2"/>
      <c r="P363" s="87">
        <v>0.41799999999999998</v>
      </c>
      <c r="Q363" s="2"/>
      <c r="R363" s="2"/>
      <c r="S363" s="2"/>
      <c r="T363" s="2"/>
      <c r="U363" s="87">
        <v>3.6070000000000002</v>
      </c>
      <c r="V363" s="2"/>
      <c r="W363" s="2"/>
      <c r="X363" s="88">
        <v>0</v>
      </c>
      <c r="Y363" s="88">
        <v>6.8000000000000005E-2</v>
      </c>
      <c r="Z363" s="87">
        <v>6.8000000000000005E-2</v>
      </c>
      <c r="AA363" s="88">
        <v>0.47199999999999998</v>
      </c>
      <c r="AB363" s="88">
        <v>0.26700000000000002</v>
      </c>
      <c r="AC363" s="88">
        <v>0</v>
      </c>
      <c r="AD363" s="88">
        <v>5.4669999999999996</v>
      </c>
      <c r="AE363" s="87">
        <v>6.2060000000000004</v>
      </c>
      <c r="AF363" s="88">
        <v>0</v>
      </c>
      <c r="AG363" s="88">
        <v>1.911</v>
      </c>
      <c r="AH363" s="88">
        <v>0.19500000000000001</v>
      </c>
      <c r="AI363" s="4">
        <f>AJ363-AH363-AG363-AF363</f>
        <v>11.111000000000001</v>
      </c>
      <c r="AJ363" s="87">
        <v>13.217000000000001</v>
      </c>
      <c r="AK363" s="2"/>
      <c r="AL363" s="2"/>
      <c r="AM363" s="2"/>
      <c r="AN363" s="88">
        <v>18.247</v>
      </c>
      <c r="AO363" s="87">
        <v>18.247</v>
      </c>
      <c r="AP363" s="88">
        <v>191.89599999999999</v>
      </c>
      <c r="AQ363" s="88">
        <v>2.4329999999999998</v>
      </c>
      <c r="AR363" s="88">
        <v>10.401999999999999</v>
      </c>
      <c r="AS363" s="88">
        <v>14.603</v>
      </c>
      <c r="AT363" s="87">
        <v>219.333</v>
      </c>
      <c r="AU363" s="88">
        <v>0.59399999999999997</v>
      </c>
      <c r="AV363" s="2"/>
      <c r="AW363" s="2"/>
      <c r="AX363" s="88">
        <v>17.545000000000002</v>
      </c>
      <c r="AY363" s="87">
        <v>18.138999999999999</v>
      </c>
      <c r="AZ363" s="88">
        <v>0.20699999999999999</v>
      </c>
      <c r="BA363" s="88">
        <v>0.106</v>
      </c>
      <c r="BB363" s="2"/>
      <c r="BC363" s="88">
        <v>31.074000000000002</v>
      </c>
      <c r="BD363" s="87">
        <v>31.387</v>
      </c>
      <c r="BE363" s="88">
        <v>2.242</v>
      </c>
      <c r="BF363" s="88">
        <v>-0.65300000000000002</v>
      </c>
      <c r="BG363" s="88">
        <v>4.8000000000000001E-2</v>
      </c>
      <c r="BH363" s="88">
        <v>27.827000000000002</v>
      </c>
      <c r="BI363" s="89">
        <v>29.463999999999999</v>
      </c>
      <c r="BJ363" s="2"/>
      <c r="BK363" s="2"/>
      <c r="BL363" s="2"/>
      <c r="BM363" s="2"/>
      <c r="BN363" s="86"/>
      <c r="BO363" s="2"/>
      <c r="BP363" s="2"/>
      <c r="BQ363" s="2"/>
      <c r="BR363" s="2"/>
      <c r="BS363" s="86"/>
      <c r="BT363" s="86"/>
      <c r="BU363" s="86"/>
      <c r="BV363" s="86"/>
      <c r="BW363" s="4"/>
    </row>
    <row r="364" spans="1:75" ht="15.75" customHeight="1" outlineLevel="1" x14ac:dyDescent="0.2">
      <c r="A364" s="84" t="s">
        <v>697</v>
      </c>
      <c r="B364" s="85"/>
      <c r="C364" s="86"/>
      <c r="D364" s="86"/>
      <c r="E364" s="86"/>
      <c r="F364" s="86"/>
      <c r="G364" s="2"/>
      <c r="H364" s="2"/>
      <c r="I364" s="2"/>
      <c r="J364" s="2"/>
      <c r="K364" s="86"/>
      <c r="L364" s="2"/>
      <c r="M364" s="2"/>
      <c r="N364" s="2"/>
      <c r="O364" s="2"/>
      <c r="P364" s="86"/>
      <c r="Q364" s="2"/>
      <c r="R364" s="2"/>
      <c r="S364" s="2"/>
      <c r="T364" s="2"/>
      <c r="U364" s="86"/>
      <c r="V364" s="2"/>
      <c r="W364" s="2"/>
      <c r="X364" s="2"/>
      <c r="Y364" s="2"/>
      <c r="Z364" s="86"/>
      <c r="AA364" s="2"/>
      <c r="AB364" s="2"/>
      <c r="AC364" s="2"/>
      <c r="AD364" s="2"/>
      <c r="AE364" s="86"/>
      <c r="AF364" s="2"/>
      <c r="AG364" s="2"/>
      <c r="AH364" s="2"/>
      <c r="AI364" s="2"/>
      <c r="AJ364" s="86"/>
      <c r="AK364" s="2"/>
      <c r="AL364" s="2"/>
      <c r="AM364" s="2"/>
      <c r="AN364" s="88">
        <v>-52.671999999999997</v>
      </c>
      <c r="AO364" s="87">
        <v>-52.671999999999997</v>
      </c>
      <c r="AP364" s="2"/>
      <c r="AQ364" s="2"/>
      <c r="AR364" s="2"/>
      <c r="AS364" s="2"/>
      <c r="AT364" s="86"/>
      <c r="AU364" s="2"/>
      <c r="AV364" s="2"/>
      <c r="AW364" s="2"/>
      <c r="AX364" s="2"/>
      <c r="AY364" s="86"/>
      <c r="AZ364" s="2"/>
      <c r="BA364" s="2"/>
      <c r="BB364" s="2"/>
      <c r="BC364" s="2"/>
      <c r="BD364" s="86"/>
      <c r="BE364" s="2"/>
      <c r="BF364" s="2"/>
      <c r="BG364" s="2"/>
      <c r="BH364" s="2"/>
      <c r="BI364" s="90"/>
      <c r="BJ364" s="2"/>
      <c r="BK364" s="2"/>
      <c r="BL364" s="2"/>
      <c r="BM364" s="2"/>
      <c r="BN364" s="86"/>
      <c r="BO364" s="2"/>
      <c r="BP364" s="2"/>
      <c r="BQ364" s="2"/>
      <c r="BR364" s="2"/>
      <c r="BS364" s="86"/>
      <c r="BT364" s="86"/>
      <c r="BU364" s="86"/>
      <c r="BV364" s="86"/>
      <c r="BW364" s="4"/>
    </row>
    <row r="365" spans="1:75" ht="15.75" customHeight="1" outlineLevel="1" x14ac:dyDescent="0.2">
      <c r="A365" s="84" t="s">
        <v>682</v>
      </c>
      <c r="B365" s="85"/>
      <c r="C365" s="86"/>
      <c r="D365" s="86"/>
      <c r="E365" s="86"/>
      <c r="F365" s="86"/>
      <c r="G365" s="2"/>
      <c r="H365" s="2"/>
      <c r="I365" s="2"/>
      <c r="J365" s="2"/>
      <c r="K365" s="86"/>
      <c r="L365" s="2"/>
      <c r="M365" s="2"/>
      <c r="N365" s="2"/>
      <c r="O365" s="2"/>
      <c r="P365" s="86"/>
      <c r="Q365" s="2"/>
      <c r="R365" s="2"/>
      <c r="S365" s="2"/>
      <c r="T365" s="2"/>
      <c r="U365" s="86"/>
      <c r="V365" s="2"/>
      <c r="W365" s="2"/>
      <c r="X365" s="2"/>
      <c r="Y365" s="2"/>
      <c r="Z365" s="86"/>
      <c r="AA365" s="2"/>
      <c r="AB365" s="2"/>
      <c r="AC365" s="2"/>
      <c r="AD365" s="2"/>
      <c r="AE365" s="86"/>
      <c r="AF365" s="2"/>
      <c r="AG365" s="2"/>
      <c r="AH365" s="2"/>
      <c r="AI365" s="2"/>
      <c r="AJ365" s="86"/>
      <c r="AK365" s="2"/>
      <c r="AL365" s="2"/>
      <c r="AM365" s="2"/>
      <c r="AN365" s="88">
        <v>1.0329999999999999</v>
      </c>
      <c r="AO365" s="87">
        <v>1.0329999999999999</v>
      </c>
      <c r="AP365" s="88">
        <v>-4.4660000000000002</v>
      </c>
      <c r="AQ365" s="88">
        <v>-0.96499999999999997</v>
      </c>
      <c r="AR365" s="88">
        <v>1.4390000000000001</v>
      </c>
      <c r="AS365" s="88">
        <v>0.12</v>
      </c>
      <c r="AT365" s="87">
        <v>-3.8719999999999999</v>
      </c>
      <c r="AU365" s="88">
        <v>0.55000000000000004</v>
      </c>
      <c r="AV365" s="88">
        <v>11.356999999999999</v>
      </c>
      <c r="AW365" s="88">
        <v>0.68500000000000005</v>
      </c>
      <c r="AX365" s="88">
        <v>6.9180000000000001</v>
      </c>
      <c r="AY365" s="87">
        <v>19.510000000000002</v>
      </c>
      <c r="AZ365" s="88">
        <v>0.89100000000000001</v>
      </c>
      <c r="BA365" s="88">
        <v>0.94799999999999995</v>
      </c>
      <c r="BB365" s="88">
        <v>1.081</v>
      </c>
      <c r="BC365" s="88">
        <v>10.448</v>
      </c>
      <c r="BD365" s="87">
        <v>13.368</v>
      </c>
      <c r="BE365" s="88">
        <v>1.1890000000000001</v>
      </c>
      <c r="BF365" s="88">
        <v>1.2869999999999999</v>
      </c>
      <c r="BG365" s="88">
        <v>1.4139999999999999</v>
      </c>
      <c r="BH365" s="88">
        <v>7.7960000000000003</v>
      </c>
      <c r="BI365" s="89">
        <v>11.686</v>
      </c>
      <c r="BJ365" s="2"/>
      <c r="BK365" s="2"/>
      <c r="BL365" s="2"/>
      <c r="BM365" s="2"/>
      <c r="BN365" s="86"/>
      <c r="BO365" s="2"/>
      <c r="BP365" s="2"/>
      <c r="BQ365" s="2"/>
      <c r="BR365" s="2"/>
      <c r="BS365" s="86"/>
      <c r="BT365" s="86"/>
      <c r="BU365" s="86"/>
      <c r="BV365" s="86"/>
      <c r="BW365" s="4"/>
    </row>
    <row r="366" spans="1:75" ht="15.75" customHeight="1" outlineLevel="1" x14ac:dyDescent="0.2">
      <c r="A366" s="84" t="s">
        <v>698</v>
      </c>
      <c r="B366" s="85"/>
      <c r="C366" s="86"/>
      <c r="D366" s="86"/>
      <c r="E366" s="86"/>
      <c r="F366" s="86"/>
      <c r="G366" s="2"/>
      <c r="H366" s="2"/>
      <c r="I366" s="2"/>
      <c r="J366" s="2"/>
      <c r="K366" s="86"/>
      <c r="L366" s="2"/>
      <c r="M366" s="2"/>
      <c r="N366" s="2"/>
      <c r="O366" s="2"/>
      <c r="P366" s="86"/>
      <c r="Q366" s="2"/>
      <c r="R366" s="2"/>
      <c r="S366" s="2"/>
      <c r="T366" s="2"/>
      <c r="U366" s="86"/>
      <c r="V366" s="2"/>
      <c r="W366" s="2"/>
      <c r="X366" s="2"/>
      <c r="Y366" s="2"/>
      <c r="Z366" s="86"/>
      <c r="AA366" s="2"/>
      <c r="AB366" s="2"/>
      <c r="AC366" s="2"/>
      <c r="AD366" s="88">
        <v>-38.524999999999999</v>
      </c>
      <c r="AE366" s="87">
        <v>-38.524999999999999</v>
      </c>
      <c r="AF366" s="2"/>
      <c r="AG366" s="2"/>
      <c r="AH366" s="2"/>
      <c r="AI366" s="2"/>
      <c r="AJ366" s="86"/>
      <c r="AK366" s="2"/>
      <c r="AL366" s="2"/>
      <c r="AM366" s="2"/>
      <c r="AN366" s="2"/>
      <c r="AO366" s="86"/>
      <c r="AP366" s="2"/>
      <c r="AQ366" s="2"/>
      <c r="AR366" s="2"/>
      <c r="AS366" s="2"/>
      <c r="AT366" s="86"/>
      <c r="AU366" s="2"/>
      <c r="AV366" s="2"/>
      <c r="AW366" s="2"/>
      <c r="AX366" s="2"/>
      <c r="AY366" s="86"/>
      <c r="AZ366" s="2"/>
      <c r="BA366" s="2"/>
      <c r="BB366" s="2"/>
      <c r="BC366" s="2"/>
      <c r="BD366" s="86"/>
      <c r="BE366" s="2"/>
      <c r="BF366" s="2"/>
      <c r="BG366" s="2"/>
      <c r="BH366" s="2"/>
      <c r="BI366" s="90"/>
      <c r="BJ366" s="2"/>
      <c r="BK366" s="2"/>
      <c r="BL366" s="2"/>
      <c r="BM366" s="2"/>
      <c r="BN366" s="86"/>
      <c r="BO366" s="2"/>
      <c r="BP366" s="2"/>
      <c r="BQ366" s="2"/>
      <c r="BR366" s="2"/>
      <c r="BS366" s="86"/>
      <c r="BT366" s="86"/>
      <c r="BU366" s="86"/>
      <c r="BV366" s="86"/>
      <c r="BW366" s="4"/>
    </row>
    <row r="367" spans="1:75" ht="15.75" customHeight="1" outlineLevel="1" x14ac:dyDescent="0.2">
      <c r="A367" s="84" t="s">
        <v>699</v>
      </c>
      <c r="B367" s="85"/>
      <c r="C367" s="86"/>
      <c r="D367" s="86"/>
      <c r="E367" s="87">
        <v>-1.506</v>
      </c>
      <c r="F367" s="86"/>
      <c r="G367" s="2"/>
      <c r="H367" s="2"/>
      <c r="I367" s="2"/>
      <c r="J367" s="2"/>
      <c r="K367" s="86"/>
      <c r="L367" s="2"/>
      <c r="M367" s="2"/>
      <c r="N367" s="2"/>
      <c r="O367" s="2"/>
      <c r="P367" s="86"/>
      <c r="Q367" s="2"/>
      <c r="R367" s="2"/>
      <c r="S367" s="2"/>
      <c r="T367" s="2"/>
      <c r="U367" s="86"/>
      <c r="V367" s="2"/>
      <c r="W367" s="2"/>
      <c r="X367" s="2"/>
      <c r="Y367" s="2"/>
      <c r="Z367" s="86"/>
      <c r="AA367" s="2"/>
      <c r="AB367" s="2"/>
      <c r="AC367" s="2"/>
      <c r="AD367" s="2"/>
      <c r="AE367" s="86"/>
      <c r="AF367" s="2"/>
      <c r="AG367" s="2"/>
      <c r="AH367" s="2"/>
      <c r="AI367" s="2"/>
      <c r="AJ367" s="86"/>
      <c r="AK367" s="2"/>
      <c r="AL367" s="2"/>
      <c r="AM367" s="2"/>
      <c r="AN367" s="2"/>
      <c r="AO367" s="86"/>
      <c r="AP367" s="2"/>
      <c r="AQ367" s="2"/>
      <c r="AR367" s="2"/>
      <c r="AS367" s="2"/>
      <c r="AT367" s="86"/>
      <c r="AU367" s="2"/>
      <c r="AV367" s="2"/>
      <c r="AW367" s="2"/>
      <c r="AX367" s="2"/>
      <c r="AY367" s="86"/>
      <c r="AZ367" s="2"/>
      <c r="BA367" s="2"/>
      <c r="BB367" s="2"/>
      <c r="BC367" s="2"/>
      <c r="BD367" s="86"/>
      <c r="BE367" s="2"/>
      <c r="BF367" s="2"/>
      <c r="BG367" s="2"/>
      <c r="BH367" s="2"/>
      <c r="BI367" s="90"/>
      <c r="BJ367" s="2"/>
      <c r="BK367" s="2"/>
      <c r="BL367" s="2"/>
      <c r="BM367" s="2"/>
      <c r="BN367" s="86"/>
      <c r="BO367" s="2"/>
      <c r="BP367" s="2"/>
      <c r="BQ367" s="2"/>
      <c r="BR367" s="2"/>
      <c r="BS367" s="86"/>
      <c r="BT367" s="86"/>
      <c r="BU367" s="86"/>
      <c r="BV367" s="86"/>
      <c r="BW367" s="4"/>
    </row>
    <row r="368" spans="1:75" ht="15.75" customHeight="1" outlineLevel="1" x14ac:dyDescent="0.2">
      <c r="A368" s="84" t="s">
        <v>700</v>
      </c>
      <c r="B368" s="85"/>
      <c r="C368" s="87">
        <v>4.452</v>
      </c>
      <c r="D368" s="87">
        <v>4.4249999999999998</v>
      </c>
      <c r="E368" s="86"/>
      <c r="F368" s="86"/>
      <c r="G368" s="2"/>
      <c r="H368" s="2"/>
      <c r="I368" s="2"/>
      <c r="J368" s="2"/>
      <c r="K368" s="86"/>
      <c r="L368" s="2"/>
      <c r="M368" s="2"/>
      <c r="N368" s="2"/>
      <c r="O368" s="2"/>
      <c r="P368" s="86"/>
      <c r="Q368" s="2"/>
      <c r="R368" s="2"/>
      <c r="S368" s="2"/>
      <c r="T368" s="2"/>
      <c r="U368" s="86"/>
      <c r="V368" s="2"/>
      <c r="W368" s="2"/>
      <c r="X368" s="2"/>
      <c r="Y368" s="2"/>
      <c r="Z368" s="86"/>
      <c r="AA368" s="2"/>
      <c r="AB368" s="2"/>
      <c r="AC368" s="2"/>
      <c r="AD368" s="2"/>
      <c r="AE368" s="86"/>
      <c r="AF368" s="2"/>
      <c r="AG368" s="2"/>
      <c r="AH368" s="2"/>
      <c r="AI368" s="2"/>
      <c r="AJ368" s="86"/>
      <c r="AK368" s="2"/>
      <c r="AL368" s="2"/>
      <c r="AM368" s="2"/>
      <c r="AN368" s="2"/>
      <c r="AO368" s="86"/>
      <c r="AP368" s="2"/>
      <c r="AQ368" s="2"/>
      <c r="AR368" s="2"/>
      <c r="AS368" s="2"/>
      <c r="AT368" s="86"/>
      <c r="AU368" s="2"/>
      <c r="AV368" s="2"/>
      <c r="AW368" s="2"/>
      <c r="AX368" s="2"/>
      <c r="AY368" s="86"/>
      <c r="AZ368" s="2"/>
      <c r="BA368" s="2"/>
      <c r="BB368" s="2"/>
      <c r="BC368" s="2"/>
      <c r="BD368" s="86"/>
      <c r="BE368" s="2"/>
      <c r="BF368" s="2"/>
      <c r="BG368" s="2"/>
      <c r="BH368" s="2"/>
      <c r="BI368" s="90"/>
      <c r="BJ368" s="2"/>
      <c r="BK368" s="2"/>
      <c r="BL368" s="2"/>
      <c r="BM368" s="2"/>
      <c r="BN368" s="86"/>
      <c r="BO368" s="2"/>
      <c r="BP368" s="2"/>
      <c r="BQ368" s="2"/>
      <c r="BR368" s="2"/>
      <c r="BS368" s="86"/>
      <c r="BT368" s="86"/>
      <c r="BU368" s="86"/>
      <c r="BV368" s="86"/>
      <c r="BW368" s="4"/>
    </row>
    <row r="369" spans="1:75" ht="15.75" customHeight="1" outlineLevel="1" x14ac:dyDescent="0.2">
      <c r="A369" s="84" t="s">
        <v>701</v>
      </c>
      <c r="B369" s="85"/>
      <c r="C369" s="87">
        <v>1.53</v>
      </c>
      <c r="D369" s="86"/>
      <c r="E369" s="86"/>
      <c r="F369" s="86"/>
      <c r="G369" s="2"/>
      <c r="H369" s="2"/>
      <c r="I369" s="2"/>
      <c r="J369" s="2"/>
      <c r="K369" s="86"/>
      <c r="L369" s="2"/>
      <c r="M369" s="2"/>
      <c r="N369" s="2"/>
      <c r="O369" s="2"/>
      <c r="P369" s="86"/>
      <c r="Q369" s="2"/>
      <c r="R369" s="2"/>
      <c r="S369" s="2"/>
      <c r="T369" s="2"/>
      <c r="U369" s="86"/>
      <c r="V369" s="2"/>
      <c r="W369" s="2"/>
      <c r="X369" s="2"/>
      <c r="Y369" s="2"/>
      <c r="Z369" s="86"/>
      <c r="AA369" s="2"/>
      <c r="AB369" s="2"/>
      <c r="AC369" s="2"/>
      <c r="AD369" s="2"/>
      <c r="AE369" s="86"/>
      <c r="AF369" s="2"/>
      <c r="AG369" s="2"/>
      <c r="AH369" s="2"/>
      <c r="AI369" s="2"/>
      <c r="AJ369" s="86"/>
      <c r="AK369" s="2"/>
      <c r="AL369" s="2"/>
      <c r="AM369" s="2"/>
      <c r="AN369" s="2"/>
      <c r="AO369" s="86"/>
      <c r="AP369" s="2"/>
      <c r="AQ369" s="2"/>
      <c r="AR369" s="2"/>
      <c r="AS369" s="2"/>
      <c r="AT369" s="86"/>
      <c r="AU369" s="2"/>
      <c r="AV369" s="2"/>
      <c r="AW369" s="2"/>
      <c r="AX369" s="2"/>
      <c r="AY369" s="86"/>
      <c r="AZ369" s="2"/>
      <c r="BA369" s="2"/>
      <c r="BB369" s="2"/>
      <c r="BC369" s="2"/>
      <c r="BD369" s="86"/>
      <c r="BE369" s="2"/>
      <c r="BF369" s="2"/>
      <c r="BG369" s="2"/>
      <c r="BH369" s="2"/>
      <c r="BI369" s="90"/>
      <c r="BJ369" s="2"/>
      <c r="BK369" s="2"/>
      <c r="BL369" s="2"/>
      <c r="BM369" s="2"/>
      <c r="BN369" s="86"/>
      <c r="BO369" s="2"/>
      <c r="BP369" s="2"/>
      <c r="BQ369" s="2"/>
      <c r="BR369" s="2"/>
      <c r="BS369" s="86"/>
      <c r="BT369" s="86"/>
      <c r="BU369" s="86"/>
      <c r="BV369" s="86"/>
      <c r="BW369" s="4"/>
    </row>
    <row r="370" spans="1:75" ht="15.75" customHeight="1" outlineLevel="1" x14ac:dyDescent="0.2">
      <c r="A370" s="84" t="s">
        <v>702</v>
      </c>
      <c r="B370" s="85"/>
      <c r="C370" s="87">
        <v>-0.66800000000000004</v>
      </c>
      <c r="D370" s="86"/>
      <c r="E370" s="86"/>
      <c r="F370" s="86"/>
      <c r="G370" s="2"/>
      <c r="H370" s="2"/>
      <c r="I370" s="2"/>
      <c r="J370" s="2"/>
      <c r="K370" s="86"/>
      <c r="L370" s="2"/>
      <c r="M370" s="2"/>
      <c r="N370" s="2"/>
      <c r="O370" s="2"/>
      <c r="P370" s="86"/>
      <c r="Q370" s="2"/>
      <c r="R370" s="2"/>
      <c r="S370" s="2"/>
      <c r="T370" s="2"/>
      <c r="U370" s="86"/>
      <c r="V370" s="2"/>
      <c r="W370" s="2"/>
      <c r="X370" s="2"/>
      <c r="Y370" s="2"/>
      <c r="Z370" s="86"/>
      <c r="AA370" s="2"/>
      <c r="AB370" s="2"/>
      <c r="AC370" s="2"/>
      <c r="AD370" s="2"/>
      <c r="AE370" s="86"/>
      <c r="AF370" s="2"/>
      <c r="AG370" s="2"/>
      <c r="AH370" s="2"/>
      <c r="AI370" s="2"/>
      <c r="AJ370" s="86"/>
      <c r="AK370" s="2"/>
      <c r="AL370" s="2"/>
      <c r="AM370" s="2"/>
      <c r="AN370" s="2"/>
      <c r="AO370" s="86"/>
      <c r="AP370" s="2"/>
      <c r="AQ370" s="2"/>
      <c r="AR370" s="2"/>
      <c r="AS370" s="2"/>
      <c r="AT370" s="86"/>
      <c r="AU370" s="2"/>
      <c r="AV370" s="2"/>
      <c r="AW370" s="2"/>
      <c r="AX370" s="2"/>
      <c r="AY370" s="86"/>
      <c r="AZ370" s="2"/>
      <c r="BA370" s="2"/>
      <c r="BB370" s="2"/>
      <c r="BC370" s="2"/>
      <c r="BD370" s="86"/>
      <c r="BE370" s="2"/>
      <c r="BF370" s="2"/>
      <c r="BG370" s="2"/>
      <c r="BH370" s="2"/>
      <c r="BI370" s="90"/>
      <c r="BJ370" s="2"/>
      <c r="BK370" s="2"/>
      <c r="BL370" s="2"/>
      <c r="BM370" s="2"/>
      <c r="BN370" s="86"/>
      <c r="BO370" s="2"/>
      <c r="BP370" s="2"/>
      <c r="BQ370" s="2"/>
      <c r="BR370" s="2"/>
      <c r="BS370" s="86"/>
      <c r="BT370" s="86"/>
      <c r="BU370" s="86"/>
      <c r="BV370" s="86"/>
      <c r="BW370" s="4"/>
    </row>
    <row r="371" spans="1:75" ht="15.75" customHeight="1" outlineLevel="1" x14ac:dyDescent="0.2">
      <c r="A371" s="84" t="s">
        <v>703</v>
      </c>
      <c r="B371" s="85"/>
      <c r="C371" s="86"/>
      <c r="D371" s="86"/>
      <c r="E371" s="86"/>
      <c r="F371" s="86"/>
      <c r="G371" s="2"/>
      <c r="H371" s="2"/>
      <c r="I371" s="2"/>
      <c r="J371" s="2"/>
      <c r="K371" s="86"/>
      <c r="L371" s="2"/>
      <c r="M371" s="2"/>
      <c r="N371" s="2"/>
      <c r="O371" s="2"/>
      <c r="P371" s="86"/>
      <c r="Q371" s="2"/>
      <c r="R371" s="2"/>
      <c r="S371" s="2"/>
      <c r="T371" s="2"/>
      <c r="U371" s="86"/>
      <c r="V371" s="2"/>
      <c r="W371" s="2"/>
      <c r="X371" s="2"/>
      <c r="Y371" s="2"/>
      <c r="Z371" s="86"/>
      <c r="AA371" s="2"/>
      <c r="AB371" s="2"/>
      <c r="AC371" s="2"/>
      <c r="AD371" s="2"/>
      <c r="AE371" s="86"/>
      <c r="AF371" s="2"/>
      <c r="AG371" s="2"/>
      <c r="AH371" s="2"/>
      <c r="AI371" s="2"/>
      <c r="AJ371" s="86"/>
      <c r="AK371" s="88">
        <v>1.073</v>
      </c>
      <c r="AL371" s="88">
        <v>1.2170000000000001</v>
      </c>
      <c r="AM371" s="88">
        <v>7.6550000000000002</v>
      </c>
      <c r="AN371" s="2"/>
      <c r="AO371" s="87">
        <v>13.439</v>
      </c>
      <c r="AP371" s="2"/>
      <c r="AQ371" s="2"/>
      <c r="AR371" s="2"/>
      <c r="AS371" s="2"/>
      <c r="AT371" s="86"/>
      <c r="AU371" s="2"/>
      <c r="AV371" s="2"/>
      <c r="AW371" s="2"/>
      <c r="AX371" s="2"/>
      <c r="AY371" s="86"/>
      <c r="AZ371" s="2"/>
      <c r="BA371" s="2"/>
      <c r="BB371" s="2"/>
      <c r="BC371" s="2"/>
      <c r="BD371" s="86"/>
      <c r="BE371" s="2"/>
      <c r="BF371" s="2"/>
      <c r="BG371" s="2"/>
      <c r="BH371" s="2"/>
      <c r="BI371" s="90"/>
      <c r="BJ371" s="2"/>
      <c r="BK371" s="2"/>
      <c r="BL371" s="2"/>
      <c r="BM371" s="2"/>
      <c r="BN371" s="86"/>
      <c r="BO371" s="2"/>
      <c r="BP371" s="2"/>
      <c r="BQ371" s="2"/>
      <c r="BR371" s="2"/>
      <c r="BS371" s="86"/>
      <c r="BT371" s="86"/>
      <c r="BU371" s="86"/>
      <c r="BV371" s="86"/>
      <c r="BW371" s="4"/>
    </row>
    <row r="372" spans="1:75" ht="15.75" customHeight="1" outlineLevel="1" x14ac:dyDescent="0.2">
      <c r="A372" s="84" t="s">
        <v>704</v>
      </c>
      <c r="B372" s="85"/>
      <c r="C372" s="86"/>
      <c r="D372" s="86"/>
      <c r="E372" s="86"/>
      <c r="F372" s="86"/>
      <c r="G372" s="2"/>
      <c r="H372" s="2"/>
      <c r="I372" s="2"/>
      <c r="J372" s="2"/>
      <c r="K372" s="86"/>
      <c r="L372" s="2"/>
      <c r="M372" s="2"/>
      <c r="N372" s="2"/>
      <c r="O372" s="2"/>
      <c r="P372" s="86"/>
      <c r="Q372" s="2"/>
      <c r="R372" s="2"/>
      <c r="S372" s="2"/>
      <c r="T372" s="2"/>
      <c r="U372" s="86"/>
      <c r="V372" s="2"/>
      <c r="W372" s="2"/>
      <c r="X372" s="2"/>
      <c r="Y372" s="2"/>
      <c r="Z372" s="86"/>
      <c r="AA372" s="2"/>
      <c r="AB372" s="2"/>
      <c r="AC372" s="2"/>
      <c r="AD372" s="2"/>
      <c r="AE372" s="86"/>
      <c r="AF372" s="2"/>
      <c r="AG372" s="2"/>
      <c r="AH372" s="2"/>
      <c r="AI372" s="2"/>
      <c r="AJ372" s="86"/>
      <c r="AK372" s="2"/>
      <c r="AL372" s="2"/>
      <c r="AM372" s="88">
        <v>2.3610000000000002</v>
      </c>
      <c r="AN372" s="88">
        <v>2.08</v>
      </c>
      <c r="AO372" s="87">
        <v>5.27</v>
      </c>
      <c r="AP372" s="88">
        <v>1.236</v>
      </c>
      <c r="AQ372" s="88">
        <v>1.0680000000000001</v>
      </c>
      <c r="AR372" s="88">
        <v>3.9E-2</v>
      </c>
      <c r="AS372" s="88">
        <v>0.35699999999999998</v>
      </c>
      <c r="AT372" s="87">
        <v>2.6989999999999998</v>
      </c>
      <c r="AU372" s="2"/>
      <c r="AV372" s="2"/>
      <c r="AW372" s="2"/>
      <c r="AX372" s="2"/>
      <c r="AY372" s="86"/>
      <c r="AZ372" s="2"/>
      <c r="BA372" s="2"/>
      <c r="BB372" s="2"/>
      <c r="BC372" s="2"/>
      <c r="BD372" s="86"/>
      <c r="BE372" s="2"/>
      <c r="BF372" s="2"/>
      <c r="BG372" s="2"/>
      <c r="BH372" s="2"/>
      <c r="BI372" s="90"/>
      <c r="BJ372" s="2"/>
      <c r="BK372" s="2"/>
      <c r="BL372" s="2"/>
      <c r="BM372" s="2"/>
      <c r="BN372" s="86"/>
      <c r="BO372" s="2"/>
      <c r="BP372" s="2"/>
      <c r="BQ372" s="2"/>
      <c r="BR372" s="2"/>
      <c r="BS372" s="86"/>
      <c r="BT372" s="86"/>
      <c r="BU372" s="86"/>
      <c r="BV372" s="86"/>
      <c r="BW372" s="4"/>
    </row>
    <row r="373" spans="1:75" ht="15.75" customHeight="1" outlineLevel="1" x14ac:dyDescent="0.2">
      <c r="A373" s="84" t="s">
        <v>705</v>
      </c>
      <c r="B373" s="85"/>
      <c r="C373" s="86"/>
      <c r="D373" s="86"/>
      <c r="E373" s="86"/>
      <c r="F373" s="86"/>
      <c r="G373" s="2"/>
      <c r="H373" s="2"/>
      <c r="I373" s="2"/>
      <c r="J373" s="2"/>
      <c r="K373" s="86"/>
      <c r="L373" s="2"/>
      <c r="M373" s="2"/>
      <c r="N373" s="2"/>
      <c r="O373" s="2"/>
      <c r="P373" s="86"/>
      <c r="Q373" s="2"/>
      <c r="R373" s="2"/>
      <c r="S373" s="2"/>
      <c r="T373" s="2"/>
      <c r="U373" s="86"/>
      <c r="V373" s="2"/>
      <c r="W373" s="2"/>
      <c r="X373" s="2"/>
      <c r="Y373" s="2"/>
      <c r="Z373" s="86"/>
      <c r="AA373" s="2"/>
      <c r="AB373" s="2"/>
      <c r="AC373" s="2"/>
      <c r="AD373" s="2"/>
      <c r="AE373" s="86"/>
      <c r="AF373" s="2"/>
      <c r="AG373" s="2"/>
      <c r="AH373" s="2"/>
      <c r="AI373" s="2"/>
      <c r="AJ373" s="86"/>
      <c r="AK373" s="2"/>
      <c r="AL373" s="2"/>
      <c r="AM373" s="2"/>
      <c r="AN373" s="2"/>
      <c r="AO373" s="86"/>
      <c r="AP373" s="2"/>
      <c r="AQ373" s="2"/>
      <c r="AR373" s="2"/>
      <c r="AS373" s="2"/>
      <c r="AT373" s="86"/>
      <c r="AU373" s="88">
        <v>2.4710000000000001</v>
      </c>
      <c r="AV373" s="2"/>
      <c r="AW373" s="2"/>
      <c r="AX373" s="88">
        <v>4.6669999999999998</v>
      </c>
      <c r="AY373" s="87">
        <v>7.1390000000000002</v>
      </c>
      <c r="AZ373" s="2"/>
      <c r="BA373" s="2"/>
      <c r="BB373" s="2"/>
      <c r="BC373" s="2"/>
      <c r="BD373" s="86"/>
      <c r="BE373" s="2"/>
      <c r="BF373" s="2"/>
      <c r="BG373" s="2"/>
      <c r="BH373" s="2"/>
      <c r="BI373" s="90"/>
      <c r="BJ373" s="2"/>
      <c r="BK373" s="2"/>
      <c r="BL373" s="2"/>
      <c r="BM373" s="2"/>
      <c r="BN373" s="86"/>
      <c r="BO373" s="2"/>
      <c r="BP373" s="2"/>
      <c r="BQ373" s="2"/>
      <c r="BR373" s="2"/>
      <c r="BS373" s="86"/>
      <c r="BT373" s="86"/>
      <c r="BU373" s="86"/>
      <c r="BV373" s="86"/>
      <c r="BW373" s="4"/>
    </row>
    <row r="374" spans="1:75" ht="15.75" customHeight="1" outlineLevel="1" x14ac:dyDescent="0.2">
      <c r="A374" s="84" t="s">
        <v>706</v>
      </c>
      <c r="B374" s="85"/>
      <c r="C374" s="86"/>
      <c r="D374" s="86"/>
      <c r="E374" s="86"/>
      <c r="F374" s="86"/>
      <c r="G374" s="2"/>
      <c r="H374" s="2"/>
      <c r="I374" s="2"/>
      <c r="J374" s="2"/>
      <c r="K374" s="86"/>
      <c r="L374" s="2"/>
      <c r="M374" s="2"/>
      <c r="N374" s="2"/>
      <c r="O374" s="2"/>
      <c r="P374" s="86"/>
      <c r="Q374" s="2"/>
      <c r="R374" s="2"/>
      <c r="S374" s="2"/>
      <c r="T374" s="2"/>
      <c r="U374" s="86"/>
      <c r="V374" s="2"/>
      <c r="W374" s="2"/>
      <c r="X374" s="2"/>
      <c r="Y374" s="2"/>
      <c r="Z374" s="86"/>
      <c r="AA374" s="2"/>
      <c r="AB374" s="2"/>
      <c r="AC374" s="2"/>
      <c r="AD374" s="2"/>
      <c r="AE374" s="86"/>
      <c r="AF374" s="2"/>
      <c r="AG374" s="2"/>
      <c r="AH374" s="2"/>
      <c r="AI374" s="2"/>
      <c r="AJ374" s="86"/>
      <c r="AK374" s="2"/>
      <c r="AL374" s="2"/>
      <c r="AM374" s="2"/>
      <c r="AN374" s="2"/>
      <c r="AO374" s="86"/>
      <c r="AP374" s="2"/>
      <c r="AQ374" s="2"/>
      <c r="AR374" s="2"/>
      <c r="AS374" s="2"/>
      <c r="AT374" s="86"/>
      <c r="AU374" s="2"/>
      <c r="AV374" s="88">
        <v>2.3540000000000001</v>
      </c>
      <c r="AW374" s="2"/>
      <c r="AX374" s="2"/>
      <c r="AY374" s="87">
        <v>2.3540000000000001</v>
      </c>
      <c r="AZ374" s="2"/>
      <c r="BA374" s="2"/>
      <c r="BB374" s="2"/>
      <c r="BC374" s="2"/>
      <c r="BD374" s="86"/>
      <c r="BE374" s="2"/>
      <c r="BF374" s="2"/>
      <c r="BG374" s="2"/>
      <c r="BH374" s="2"/>
      <c r="BI374" s="90"/>
      <c r="BJ374" s="2"/>
      <c r="BK374" s="2"/>
      <c r="BL374" s="2"/>
      <c r="BM374" s="2"/>
      <c r="BN374" s="86"/>
      <c r="BO374" s="2"/>
      <c r="BP374" s="2"/>
      <c r="BQ374" s="2"/>
      <c r="BR374" s="2"/>
      <c r="BS374" s="86"/>
      <c r="BT374" s="86"/>
      <c r="BU374" s="86"/>
      <c r="BV374" s="86"/>
      <c r="BW374" s="4"/>
    </row>
    <row r="375" spans="1:75" ht="15.75" customHeight="1" outlineLevel="1" x14ac:dyDescent="0.2">
      <c r="A375" s="84" t="s">
        <v>433</v>
      </c>
      <c r="B375" s="85"/>
      <c r="C375" s="86"/>
      <c r="D375" s="86"/>
      <c r="E375" s="86"/>
      <c r="F375" s="87">
        <v>-0.41899999999999998</v>
      </c>
      <c r="G375" s="2"/>
      <c r="H375" s="2"/>
      <c r="I375" s="2"/>
      <c r="J375" s="2"/>
      <c r="K375" s="86"/>
      <c r="L375" s="2"/>
      <c r="M375" s="2"/>
      <c r="N375" s="2"/>
      <c r="O375" s="2"/>
      <c r="P375" s="86"/>
      <c r="Q375" s="2"/>
      <c r="R375" s="2"/>
      <c r="S375" s="2"/>
      <c r="T375" s="2"/>
      <c r="U375" s="86"/>
      <c r="V375" s="2"/>
      <c r="W375" s="2"/>
      <c r="X375" s="2"/>
      <c r="Y375" s="2"/>
      <c r="Z375" s="86"/>
      <c r="AA375" s="2"/>
      <c r="AB375" s="2"/>
      <c r="AC375" s="2"/>
      <c r="AD375" s="2"/>
      <c r="AE375" s="86"/>
      <c r="AF375" s="2"/>
      <c r="AG375" s="2"/>
      <c r="AH375" s="2"/>
      <c r="AI375" s="2"/>
      <c r="AJ375" s="86"/>
      <c r="AK375" s="2"/>
      <c r="AL375" s="2"/>
      <c r="AM375" s="2"/>
      <c r="AN375" s="2"/>
      <c r="AO375" s="86"/>
      <c r="AP375" s="2"/>
      <c r="AQ375" s="2"/>
      <c r="AR375" s="2"/>
      <c r="AS375" s="2"/>
      <c r="AT375" s="86"/>
      <c r="AU375" s="2"/>
      <c r="AV375" s="2"/>
      <c r="AW375" s="2"/>
      <c r="AX375" s="2"/>
      <c r="AY375" s="86"/>
      <c r="AZ375" s="2"/>
      <c r="BA375" s="2"/>
      <c r="BB375" s="2"/>
      <c r="BC375" s="2"/>
      <c r="BD375" s="86"/>
      <c r="BE375" s="2"/>
      <c r="BF375" s="2"/>
      <c r="BG375" s="2"/>
      <c r="BH375" s="2"/>
      <c r="BI375" s="90"/>
      <c r="BJ375" s="2"/>
      <c r="BK375" s="2"/>
      <c r="BL375" s="2"/>
      <c r="BM375" s="2"/>
      <c r="BN375" s="86"/>
      <c r="BO375" s="2"/>
      <c r="BP375" s="2"/>
      <c r="BQ375" s="2"/>
      <c r="BR375" s="2"/>
      <c r="BS375" s="86"/>
      <c r="BT375" s="86"/>
      <c r="BU375" s="86"/>
      <c r="BV375" s="86"/>
      <c r="BW375" s="4"/>
    </row>
    <row r="376" spans="1:75" ht="15.75" customHeight="1" outlineLevel="1" x14ac:dyDescent="0.2">
      <c r="A376" s="84" t="s">
        <v>707</v>
      </c>
      <c r="B376" s="85"/>
      <c r="C376" s="86"/>
      <c r="D376" s="86"/>
      <c r="E376" s="86"/>
      <c r="F376" s="86"/>
      <c r="G376" s="2"/>
      <c r="H376" s="2"/>
      <c r="I376" s="2"/>
      <c r="J376" s="2"/>
      <c r="K376" s="86"/>
      <c r="L376" s="2"/>
      <c r="M376" s="2"/>
      <c r="N376" s="2"/>
      <c r="O376" s="2"/>
      <c r="P376" s="86"/>
      <c r="Q376" s="2"/>
      <c r="R376" s="2"/>
      <c r="S376" s="2"/>
      <c r="T376" s="2"/>
      <c r="U376" s="86"/>
      <c r="V376" s="2"/>
      <c r="W376" s="2"/>
      <c r="X376" s="2"/>
      <c r="Y376" s="2"/>
      <c r="Z376" s="86"/>
      <c r="AA376" s="2"/>
      <c r="AB376" s="2"/>
      <c r="AC376" s="2"/>
      <c r="AD376" s="2"/>
      <c r="AE376" s="86"/>
      <c r="AF376" s="2"/>
      <c r="AG376" s="2"/>
      <c r="AH376" s="2"/>
      <c r="AI376" s="2"/>
      <c r="AJ376" s="86"/>
      <c r="AK376" s="2"/>
      <c r="AL376" s="2"/>
      <c r="AM376" s="2"/>
      <c r="AN376" s="88">
        <v>8.141</v>
      </c>
      <c r="AO376" s="87">
        <v>3.8180000000000001</v>
      </c>
      <c r="AP376" s="88">
        <v>-49.908000000000001</v>
      </c>
      <c r="AQ376" s="88">
        <v>-3.71</v>
      </c>
      <c r="AR376" s="88">
        <v>-3.754</v>
      </c>
      <c r="AS376" s="88">
        <v>-5.3209999999999997</v>
      </c>
      <c r="AT376" s="87">
        <v>-62.692</v>
      </c>
      <c r="AU376" s="88">
        <v>-1.5760000000000001</v>
      </c>
      <c r="AV376" s="88">
        <v>-3.5649999999999999</v>
      </c>
      <c r="AW376" s="88">
        <v>-0.17799999999999999</v>
      </c>
      <c r="AX376" s="88">
        <v>-6.3609999999999998</v>
      </c>
      <c r="AY376" s="87">
        <v>-11.679</v>
      </c>
      <c r="AZ376" s="88">
        <v>-0.28599999999999998</v>
      </c>
      <c r="BA376" s="88">
        <v>-0.27500000000000002</v>
      </c>
      <c r="BB376" s="88">
        <v>-0.28100000000000003</v>
      </c>
      <c r="BC376" s="88">
        <v>-10.795</v>
      </c>
      <c r="BD376" s="87">
        <v>-11.637</v>
      </c>
      <c r="BE376" s="88">
        <v>-0.89200000000000002</v>
      </c>
      <c r="BF376" s="88">
        <v>-0.16500000000000001</v>
      </c>
      <c r="BG376" s="99">
        <v>-0.38</v>
      </c>
      <c r="BH376" s="99">
        <v>-9.2620000000000005</v>
      </c>
      <c r="BI376" s="100">
        <v>-10.699</v>
      </c>
      <c r="BJ376" s="2"/>
      <c r="BK376" s="2"/>
      <c r="BL376" s="2"/>
      <c r="BM376" s="2"/>
      <c r="BN376" s="86"/>
      <c r="BO376" s="2"/>
      <c r="BP376" s="2"/>
      <c r="BQ376" s="2"/>
      <c r="BR376" s="2"/>
      <c r="BS376" s="86"/>
      <c r="BT376" s="86"/>
      <c r="BU376" s="86"/>
      <c r="BV376" s="86"/>
      <c r="BW376" s="4"/>
    </row>
    <row r="377" spans="1:75" ht="15.75" customHeight="1" outlineLevel="1" x14ac:dyDescent="0.2">
      <c r="A377" s="101" t="s">
        <v>708</v>
      </c>
      <c r="B377" s="102"/>
      <c r="C377" s="104">
        <f t="shared" ref="C377:F377" si="836">SUM(C361:C375)</f>
        <v>64.072000000000088</v>
      </c>
      <c r="D377" s="104">
        <f t="shared" si="836"/>
        <v>86.137999999999778</v>
      </c>
      <c r="E377" s="104">
        <f t="shared" si="836"/>
        <v>95.142000000000053</v>
      </c>
      <c r="F377" s="104">
        <f t="shared" si="836"/>
        <v>103.72600000000007</v>
      </c>
      <c r="G377" s="106"/>
      <c r="H377" s="106"/>
      <c r="I377" s="106"/>
      <c r="J377" s="106"/>
      <c r="K377" s="104">
        <f>SUM(K361:K375)</f>
        <v>114.01900000000019</v>
      </c>
      <c r="L377" s="106"/>
      <c r="M377" s="106"/>
      <c r="N377" s="106"/>
      <c r="O377" s="106"/>
      <c r="P377" s="104">
        <f>SUM(P361:P375)</f>
        <v>101.69400000000022</v>
      </c>
      <c r="Q377" s="106"/>
      <c r="R377" s="106"/>
      <c r="S377" s="106"/>
      <c r="T377" s="105">
        <f t="shared" ref="T377:U377" si="837">SUM(T361:T375)</f>
        <v>27.19999999999996</v>
      </c>
      <c r="U377" s="104">
        <f t="shared" si="837"/>
        <v>120.12999999999985</v>
      </c>
      <c r="V377" s="106"/>
      <c r="W377" s="106"/>
      <c r="X377" s="105">
        <f t="shared" ref="X377:BI377" si="838">SUM(X361:X376)</f>
        <v>34.573999999999991</v>
      </c>
      <c r="Y377" s="105">
        <f t="shared" si="838"/>
        <v>32.448999999999842</v>
      </c>
      <c r="Z377" s="104">
        <f t="shared" si="838"/>
        <v>139.56199999999995</v>
      </c>
      <c r="AA377" s="105">
        <f t="shared" si="838"/>
        <v>35.5150000000001</v>
      </c>
      <c r="AB377" s="105">
        <f t="shared" si="838"/>
        <v>38.432999999999964</v>
      </c>
      <c r="AC377" s="105">
        <f t="shared" si="838"/>
        <v>26.445000000000121</v>
      </c>
      <c r="AD377" s="105">
        <f t="shared" si="838"/>
        <v>24.680000000000071</v>
      </c>
      <c r="AE377" s="104">
        <f t="shared" si="838"/>
        <v>125.07300000000023</v>
      </c>
      <c r="AF377" s="105">
        <f t="shared" si="838"/>
        <v>26.029000000000046</v>
      </c>
      <c r="AG377" s="105">
        <f t="shared" si="838"/>
        <v>30.26400000000012</v>
      </c>
      <c r="AH377" s="105">
        <f t="shared" si="838"/>
        <v>28.669999999999892</v>
      </c>
      <c r="AI377" s="105">
        <f t="shared" si="838"/>
        <v>27.28899999999981</v>
      </c>
      <c r="AJ377" s="104">
        <f t="shared" si="838"/>
        <v>112.25199999999985</v>
      </c>
      <c r="AK377" s="105">
        <f t="shared" si="838"/>
        <v>28.057000000000023</v>
      </c>
      <c r="AL377" s="105">
        <f t="shared" si="838"/>
        <v>36.727000000000046</v>
      </c>
      <c r="AM377" s="105">
        <f t="shared" si="838"/>
        <v>26.105999999999945</v>
      </c>
      <c r="AN377" s="105">
        <f t="shared" si="838"/>
        <v>25.538000000000174</v>
      </c>
      <c r="AO377" s="104">
        <f t="shared" si="838"/>
        <v>116.42800000000042</v>
      </c>
      <c r="AP377" s="105">
        <f t="shared" si="838"/>
        <v>5.8849999999999625</v>
      </c>
      <c r="AQ377" s="105">
        <f t="shared" si="838"/>
        <v>-45.982999999999933</v>
      </c>
      <c r="AR377" s="105">
        <f t="shared" si="838"/>
        <v>-17.661999999999949</v>
      </c>
      <c r="AS377" s="105">
        <f t="shared" si="838"/>
        <v>-17.173999999999907</v>
      </c>
      <c r="AT377" s="104">
        <f t="shared" si="838"/>
        <v>-74.934000000000808</v>
      </c>
      <c r="AU377" s="105">
        <f t="shared" si="838"/>
        <v>10.82400000000005</v>
      </c>
      <c r="AV377" s="105">
        <f t="shared" si="838"/>
        <v>43.861000000000161</v>
      </c>
      <c r="AW377" s="105">
        <f t="shared" si="838"/>
        <v>33.187000000000069</v>
      </c>
      <c r="AX377" s="105">
        <f t="shared" si="838"/>
        <v>24.878999999999703</v>
      </c>
      <c r="AY377" s="104">
        <f t="shared" si="838"/>
        <v>112.75299999999974</v>
      </c>
      <c r="AZ377" s="105">
        <f t="shared" si="838"/>
        <v>23.97500000000003</v>
      </c>
      <c r="BA377" s="105">
        <f t="shared" si="838"/>
        <v>26.435000000000013</v>
      </c>
      <c r="BB377" s="105">
        <f t="shared" si="838"/>
        <v>-1.597999999999927</v>
      </c>
      <c r="BC377" s="105">
        <f t="shared" si="838"/>
        <v>27.428999999999498</v>
      </c>
      <c r="BD377" s="104">
        <f t="shared" si="838"/>
        <v>76.240999999999488</v>
      </c>
      <c r="BE377" s="105">
        <f t="shared" si="838"/>
        <v>30.589000000000159</v>
      </c>
      <c r="BF377" s="105">
        <f t="shared" si="838"/>
        <v>43.143999999999892</v>
      </c>
      <c r="BG377" s="83">
        <f t="shared" si="838"/>
        <v>19.026999999999973</v>
      </c>
      <c r="BH377" s="83">
        <f t="shared" si="838"/>
        <v>39.042000000000122</v>
      </c>
      <c r="BI377" s="332">
        <f t="shared" si="838"/>
        <v>131.80200000000028</v>
      </c>
      <c r="BJ377" s="106"/>
      <c r="BK377" s="106"/>
      <c r="BL377" s="106"/>
      <c r="BM377" s="106"/>
      <c r="BN377" s="103"/>
      <c r="BO377" s="106"/>
      <c r="BP377" s="106"/>
      <c r="BQ377" s="106"/>
      <c r="BR377" s="106"/>
      <c r="BS377" s="103"/>
      <c r="BT377" s="103"/>
      <c r="BU377" s="103"/>
      <c r="BV377" s="103"/>
      <c r="BW377" s="83"/>
    </row>
    <row r="378" spans="1:75" ht="15.75" customHeight="1" x14ac:dyDescent="0.2">
      <c r="A378" s="108"/>
      <c r="B378" s="108"/>
      <c r="C378" s="109"/>
      <c r="D378" s="109"/>
      <c r="E378" s="109"/>
      <c r="F378" s="109"/>
      <c r="G378" s="110"/>
      <c r="H378" s="110"/>
      <c r="I378" s="110"/>
      <c r="J378" s="110"/>
      <c r="K378" s="109"/>
      <c r="L378" s="110"/>
      <c r="M378" s="110"/>
      <c r="N378" s="110"/>
      <c r="O378" s="110"/>
      <c r="P378" s="109"/>
      <c r="Q378" s="110"/>
      <c r="R378" s="110"/>
      <c r="S378" s="110"/>
      <c r="T378" s="110"/>
      <c r="U378" s="109"/>
      <c r="V378" s="110"/>
      <c r="W378" s="110"/>
      <c r="X378" s="110"/>
      <c r="Y378" s="110"/>
      <c r="Z378" s="109"/>
      <c r="AA378" s="110"/>
      <c r="AB378" s="110"/>
      <c r="AC378" s="110"/>
      <c r="AD378" s="110"/>
      <c r="AE378" s="109"/>
      <c r="AF378" s="110"/>
      <c r="AG378" s="110"/>
      <c r="AH378" s="110"/>
      <c r="AI378" s="110"/>
      <c r="AJ378" s="109"/>
      <c r="AK378" s="110"/>
      <c r="AL378" s="110"/>
      <c r="AM378" s="110"/>
      <c r="AN378" s="110"/>
      <c r="AO378" s="109"/>
      <c r="AP378" s="110"/>
      <c r="AQ378" s="110"/>
      <c r="AR378" s="110"/>
      <c r="AS378" s="110"/>
      <c r="AT378" s="109"/>
      <c r="AU378" s="110"/>
      <c r="AV378" s="110"/>
      <c r="AW378" s="110"/>
      <c r="AX378" s="110"/>
      <c r="AY378" s="109"/>
      <c r="AZ378" s="110"/>
      <c r="BA378" s="110"/>
      <c r="BB378" s="110"/>
      <c r="BC378" s="110"/>
      <c r="BD378" s="109"/>
      <c r="BE378" s="110"/>
      <c r="BF378" s="110"/>
      <c r="BG378" s="110"/>
      <c r="BH378" s="110"/>
      <c r="BI378" s="107"/>
      <c r="BJ378" s="110"/>
      <c r="BK378" s="110"/>
      <c r="BL378" s="110"/>
      <c r="BM378" s="110"/>
      <c r="BN378" s="109"/>
      <c r="BO378" s="110"/>
      <c r="BP378" s="110"/>
      <c r="BQ378" s="110"/>
      <c r="BR378" s="110"/>
      <c r="BS378" s="109"/>
      <c r="BT378" s="109"/>
      <c r="BU378" s="109"/>
      <c r="BV378" s="109"/>
      <c r="BW378" s="83"/>
    </row>
    <row r="379" spans="1:75" ht="15.75" customHeight="1" x14ac:dyDescent="0.2">
      <c r="A379" s="81" t="s">
        <v>709</v>
      </c>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c r="BC379" s="81"/>
      <c r="BD379" s="81"/>
      <c r="BE379" s="81"/>
      <c r="BF379" s="81"/>
      <c r="BG379" s="81"/>
      <c r="BH379" s="81"/>
      <c r="BI379" s="82"/>
      <c r="BJ379" s="81"/>
      <c r="BK379" s="81"/>
      <c r="BL379" s="81"/>
      <c r="BM379" s="81"/>
      <c r="BN379" s="81"/>
      <c r="BO379" s="81"/>
      <c r="BP379" s="81"/>
      <c r="BQ379" s="81"/>
      <c r="BR379" s="81"/>
      <c r="BS379" s="81"/>
      <c r="BT379" s="81"/>
      <c r="BU379" s="81"/>
      <c r="BV379" s="81"/>
      <c r="BW379" s="83"/>
    </row>
    <row r="380" spans="1:75" ht="15.75" customHeight="1" x14ac:dyDescent="0.2">
      <c r="A380" s="125" t="s">
        <v>212</v>
      </c>
      <c r="B380" s="85"/>
      <c r="C380" s="86"/>
      <c r="D380" s="86"/>
      <c r="E380" s="86"/>
      <c r="F380" s="86">
        <f t="shared" ref="F380:BV380" si="839">F26+F27+F28+F31</f>
        <v>1604.825</v>
      </c>
      <c r="G380" s="2">
        <f t="shared" si="839"/>
        <v>412.55099999999999</v>
      </c>
      <c r="H380" s="2">
        <f t="shared" si="839"/>
        <v>424.84500000000003</v>
      </c>
      <c r="I380" s="2">
        <f t="shared" si="839"/>
        <v>425.084</v>
      </c>
      <c r="J380" s="2">
        <f t="shared" si="839"/>
        <v>425.55599999999998</v>
      </c>
      <c r="K380" s="86">
        <f t="shared" si="839"/>
        <v>1688.0360000000001</v>
      </c>
      <c r="L380" s="2">
        <f t="shared" si="839"/>
        <v>436.60599999999999</v>
      </c>
      <c r="M380" s="2">
        <f t="shared" si="839"/>
        <v>451.45400000000001</v>
      </c>
      <c r="N380" s="2">
        <f t="shared" si="839"/>
        <v>454.27100000000002</v>
      </c>
      <c r="O380" s="2">
        <f t="shared" si="839"/>
        <v>450.46499999999997</v>
      </c>
      <c r="P380" s="86">
        <f t="shared" si="839"/>
        <v>1792.796</v>
      </c>
      <c r="Q380" s="2">
        <f t="shared" si="839"/>
        <v>503.94967661016949</v>
      </c>
      <c r="R380" s="2">
        <f t="shared" si="839"/>
        <v>514.44875428571436</v>
      </c>
      <c r="S380" s="2">
        <f t="shared" si="839"/>
        <v>513.0604009589041</v>
      </c>
      <c r="T380" s="2">
        <f t="shared" si="839"/>
        <v>508.26360852130324</v>
      </c>
      <c r="U380" s="86">
        <f t="shared" si="839"/>
        <v>2039.7224403760911</v>
      </c>
      <c r="V380" s="2">
        <f t="shared" si="839"/>
        <v>540.01522699507382</v>
      </c>
      <c r="W380" s="2">
        <f t="shared" si="839"/>
        <v>544.4522219607843</v>
      </c>
      <c r="X380" s="2">
        <f t="shared" si="839"/>
        <v>543.90042539682531</v>
      </c>
      <c r="Y380" s="2">
        <f t="shared" si="839"/>
        <v>582.52473933085503</v>
      </c>
      <c r="Z380" s="86">
        <f t="shared" si="839"/>
        <v>2210.8926136835389</v>
      </c>
      <c r="AA380" s="2">
        <f t="shared" si="839"/>
        <v>547.82651793814432</v>
      </c>
      <c r="AB380" s="2">
        <f t="shared" si="839"/>
        <v>553.32974933651167</v>
      </c>
      <c r="AC380" s="2">
        <f t="shared" si="839"/>
        <v>539.00795068100354</v>
      </c>
      <c r="AD380" s="2">
        <f t="shared" si="839"/>
        <v>550.41928463949853</v>
      </c>
      <c r="AE380" s="86">
        <f t="shared" si="839"/>
        <v>2190.5835025951578</v>
      </c>
      <c r="AF380" s="2">
        <f t="shared" si="839"/>
        <v>573.72568020100505</v>
      </c>
      <c r="AG380" s="2">
        <f t="shared" si="839"/>
        <v>575.89259810999226</v>
      </c>
      <c r="AH380" s="2">
        <f t="shared" si="839"/>
        <v>562.79371069767444</v>
      </c>
      <c r="AI380" s="2">
        <f t="shared" si="839"/>
        <v>564.98780684393057</v>
      </c>
      <c r="AJ380" s="86">
        <f t="shared" si="839"/>
        <v>2259.8247958526026</v>
      </c>
      <c r="AK380" s="2">
        <f t="shared" si="839"/>
        <v>582.2137721393035</v>
      </c>
      <c r="AL380" s="2">
        <f t="shared" si="839"/>
        <v>585.65461320121949</v>
      </c>
      <c r="AM380" s="2">
        <f t="shared" si="839"/>
        <v>567.85642012176561</v>
      </c>
      <c r="AN380" s="2">
        <f t="shared" si="839"/>
        <v>669.18319466666662</v>
      </c>
      <c r="AO380" s="86">
        <f t="shared" si="839"/>
        <v>2404.9080001289553</v>
      </c>
      <c r="AP380" s="2">
        <f t="shared" si="839"/>
        <v>596.36648771877333</v>
      </c>
      <c r="AQ380" s="2">
        <f t="shared" si="839"/>
        <v>278.68187927272731</v>
      </c>
      <c r="AR380" s="2">
        <f t="shared" si="839"/>
        <v>495.68036988730279</v>
      </c>
      <c r="AS380" s="2">
        <f t="shared" si="839"/>
        <v>529.63359834958749</v>
      </c>
      <c r="AT380" s="86">
        <f t="shared" si="839"/>
        <v>1900.362335228391</v>
      </c>
      <c r="AU380" s="2">
        <f t="shared" si="839"/>
        <v>605.48068815533975</v>
      </c>
      <c r="AV380" s="2">
        <f t="shared" si="839"/>
        <v>746.99084135265707</v>
      </c>
      <c r="AW380" s="2">
        <f t="shared" si="839"/>
        <v>731.12786433618442</v>
      </c>
      <c r="AX380" s="2">
        <f t="shared" si="839"/>
        <v>752.6512094814816</v>
      </c>
      <c r="AY380" s="86">
        <f t="shared" si="839"/>
        <v>2836.2506033256627</v>
      </c>
      <c r="AZ380" s="2">
        <f t="shared" si="839"/>
        <v>769.70720615384607</v>
      </c>
      <c r="BA380" s="2">
        <f t="shared" si="839"/>
        <v>809.63296846153844</v>
      </c>
      <c r="BB380" s="2">
        <f t="shared" si="839"/>
        <v>760.07780986321632</v>
      </c>
      <c r="BC380" s="2">
        <f t="shared" si="839"/>
        <v>867.16918298741075</v>
      </c>
      <c r="BD380" s="86">
        <f t="shared" si="839"/>
        <v>3206.5871674660116</v>
      </c>
      <c r="BE380" s="2">
        <f t="shared" si="839"/>
        <v>841.00117690015134</v>
      </c>
      <c r="BF380" s="2">
        <f t="shared" si="839"/>
        <v>842.304299849514</v>
      </c>
      <c r="BG380" s="2">
        <f t="shared" si="839"/>
        <v>805.38195113207553</v>
      </c>
      <c r="BH380" s="2">
        <f t="shared" si="839"/>
        <v>850.67544506647471</v>
      </c>
      <c r="BI380" s="90">
        <f t="shared" si="839"/>
        <v>3339.3628729482161</v>
      </c>
      <c r="BJ380" s="2">
        <f t="shared" si="839"/>
        <v>879.95794176811035</v>
      </c>
      <c r="BK380" s="2">
        <f t="shared" si="839"/>
        <v>901.03535794965921</v>
      </c>
      <c r="BL380" s="2">
        <f t="shared" si="839"/>
        <v>862.1110518017606</v>
      </c>
      <c r="BM380" s="2">
        <f t="shared" si="839"/>
        <v>910.67978566750844</v>
      </c>
      <c r="BN380" s="86">
        <f t="shared" si="839"/>
        <v>3553.7841371870386</v>
      </c>
      <c r="BO380" s="2">
        <f t="shared" si="839"/>
        <v>925.18555374790481</v>
      </c>
      <c r="BP380" s="2">
        <f t="shared" si="839"/>
        <v>946.1281529045375</v>
      </c>
      <c r="BQ380" s="2">
        <f t="shared" si="839"/>
        <v>906.00468486275736</v>
      </c>
      <c r="BR380" s="2">
        <f t="shared" si="839"/>
        <v>958.83565554084328</v>
      </c>
      <c r="BS380" s="86">
        <f t="shared" si="839"/>
        <v>3736.1540470560426</v>
      </c>
      <c r="BT380" s="86">
        <f t="shared" si="839"/>
        <v>4026.2431775435739</v>
      </c>
      <c r="BU380" s="86">
        <f t="shared" si="839"/>
        <v>4347.6284933921288</v>
      </c>
      <c r="BV380" s="86">
        <f t="shared" si="839"/>
        <v>4757.4333463542653</v>
      </c>
      <c r="BW380" s="4"/>
    </row>
    <row r="381" spans="1:75" ht="15.75" customHeight="1" x14ac:dyDescent="0.2">
      <c r="A381" s="92" t="s">
        <v>710</v>
      </c>
      <c r="B381" s="92"/>
      <c r="C381" s="93"/>
      <c r="D381" s="93"/>
      <c r="E381" s="93"/>
      <c r="F381" s="93">
        <f t="shared" ref="F381:BV381" si="840">F29+F30</f>
        <v>65.2</v>
      </c>
      <c r="G381" s="94">
        <f t="shared" si="840"/>
        <v>14.2</v>
      </c>
      <c r="H381" s="94">
        <f t="shared" si="840"/>
        <v>11.7</v>
      </c>
      <c r="I381" s="94">
        <f t="shared" si="840"/>
        <v>12.2</v>
      </c>
      <c r="J381" s="94">
        <f t="shared" si="840"/>
        <v>17.200000000000003</v>
      </c>
      <c r="K381" s="93">
        <f t="shared" si="840"/>
        <v>55.3</v>
      </c>
      <c r="L381" s="94">
        <f t="shared" si="840"/>
        <v>12.2</v>
      </c>
      <c r="M381" s="94">
        <f t="shared" si="840"/>
        <v>11.1</v>
      </c>
      <c r="N381" s="94">
        <f t="shared" si="840"/>
        <v>12.6</v>
      </c>
      <c r="O381" s="94">
        <f t="shared" si="840"/>
        <v>17.300000000000004</v>
      </c>
      <c r="P381" s="93">
        <f t="shared" si="840"/>
        <v>53.2</v>
      </c>
      <c r="Q381" s="94">
        <f t="shared" si="840"/>
        <v>14.023323389830509</v>
      </c>
      <c r="R381" s="94">
        <f t="shared" si="840"/>
        <v>14.658245714285714</v>
      </c>
      <c r="S381" s="94">
        <f t="shared" si="840"/>
        <v>13.627599041095889</v>
      </c>
      <c r="T381" s="94">
        <f t="shared" si="840"/>
        <v>18.57739147869674</v>
      </c>
      <c r="U381" s="93">
        <f t="shared" si="840"/>
        <v>60.886559623908852</v>
      </c>
      <c r="V381" s="94">
        <f t="shared" si="840"/>
        <v>13.677773004926109</v>
      </c>
      <c r="W381" s="94">
        <f t="shared" si="840"/>
        <v>14.409778039215688</v>
      </c>
      <c r="X381" s="94">
        <f t="shared" si="840"/>
        <v>16.117574603174603</v>
      </c>
      <c r="Y381" s="94">
        <f t="shared" si="840"/>
        <v>20.621260669144977</v>
      </c>
      <c r="Z381" s="93">
        <f t="shared" si="840"/>
        <v>64.826386316461381</v>
      </c>
      <c r="AA381" s="94">
        <f t="shared" si="840"/>
        <v>15.599482061855669</v>
      </c>
      <c r="AB381" s="94">
        <f t="shared" si="840"/>
        <v>16.539250663488279</v>
      </c>
      <c r="AC381" s="94">
        <f t="shared" si="840"/>
        <v>16.384049318996414</v>
      </c>
      <c r="AD381" s="94">
        <f t="shared" si="840"/>
        <v>21.395715360501573</v>
      </c>
      <c r="AE381" s="93">
        <f t="shared" si="840"/>
        <v>69.918497404841929</v>
      </c>
      <c r="AF381" s="94">
        <f t="shared" si="840"/>
        <v>16.965319798994976</v>
      </c>
      <c r="AG381" s="94">
        <f t="shared" si="840"/>
        <v>17.285401890007748</v>
      </c>
      <c r="AH381" s="94">
        <f t="shared" si="840"/>
        <v>18.088289302325581</v>
      </c>
      <c r="AI381" s="94">
        <f t="shared" si="840"/>
        <v>20.167193156069359</v>
      </c>
      <c r="AJ381" s="93">
        <f t="shared" si="840"/>
        <v>72.506204147397668</v>
      </c>
      <c r="AK381" s="94">
        <f t="shared" si="840"/>
        <v>17.267227860696519</v>
      </c>
      <c r="AL381" s="94">
        <f t="shared" si="840"/>
        <v>16.990386798780488</v>
      </c>
      <c r="AM381" s="94">
        <f t="shared" si="840"/>
        <v>18.679579878234399</v>
      </c>
      <c r="AN381" s="94">
        <f t="shared" si="840"/>
        <v>24.846805333333332</v>
      </c>
      <c r="AO381" s="93">
        <f t="shared" si="840"/>
        <v>77.783999871044742</v>
      </c>
      <c r="AP381" s="94">
        <f t="shared" si="840"/>
        <v>18.739512281226627</v>
      </c>
      <c r="AQ381" s="94">
        <f t="shared" si="840"/>
        <v>17.169120727272727</v>
      </c>
      <c r="AR381" s="94">
        <f t="shared" si="840"/>
        <v>22.03563011269722</v>
      </c>
      <c r="AS381" s="94">
        <f t="shared" si="840"/>
        <v>24.918401650412601</v>
      </c>
      <c r="AT381" s="93">
        <f t="shared" si="840"/>
        <v>82.862664771609175</v>
      </c>
      <c r="AU381" s="94">
        <f t="shared" si="840"/>
        <v>21.936311844660192</v>
      </c>
      <c r="AV381" s="94">
        <f t="shared" si="840"/>
        <v>21.965158647342996</v>
      </c>
      <c r="AW381" s="94">
        <f t="shared" si="840"/>
        <v>23.346135663815545</v>
      </c>
      <c r="AX381" s="94">
        <f t="shared" si="840"/>
        <v>24.041790518518525</v>
      </c>
      <c r="AY381" s="93">
        <f t="shared" si="840"/>
        <v>91.289396674337269</v>
      </c>
      <c r="AZ381" s="94">
        <f t="shared" si="840"/>
        <v>24.002793846153846</v>
      </c>
      <c r="BA381" s="94">
        <f t="shared" si="840"/>
        <v>23.010031538461536</v>
      </c>
      <c r="BB381" s="94">
        <f t="shared" si="840"/>
        <v>23.923190136783735</v>
      </c>
      <c r="BC381" s="94">
        <f t="shared" si="840"/>
        <v>25.632817012589324</v>
      </c>
      <c r="BD381" s="93">
        <f t="shared" si="840"/>
        <v>96.568832533988441</v>
      </c>
      <c r="BE381" s="94">
        <f t="shared" si="840"/>
        <v>25.112823099848637</v>
      </c>
      <c r="BF381" s="94">
        <f t="shared" si="840"/>
        <v>23.865700150485942</v>
      </c>
      <c r="BG381" s="94">
        <f t="shared" si="840"/>
        <v>24.828048867924529</v>
      </c>
      <c r="BH381" s="94">
        <f t="shared" si="840"/>
        <v>26.333554933524983</v>
      </c>
      <c r="BI381" s="97">
        <f t="shared" si="840"/>
        <v>100.14012705178409</v>
      </c>
      <c r="BJ381" s="94">
        <f t="shared" si="840"/>
        <v>26.446703479382194</v>
      </c>
      <c r="BK381" s="94">
        <f t="shared" si="840"/>
        <v>25.13311123652122</v>
      </c>
      <c r="BL381" s="94">
        <f t="shared" si="840"/>
        <v>26.180905975794452</v>
      </c>
      <c r="BM381" s="94">
        <f t="shared" si="840"/>
        <v>27.247862258137964</v>
      </c>
      <c r="BN381" s="93">
        <f t="shared" si="840"/>
        <v>105.00858294983581</v>
      </c>
      <c r="BO381" s="94">
        <f t="shared" si="840"/>
        <v>26.98781047529253</v>
      </c>
      <c r="BP381" s="94">
        <f t="shared" si="840"/>
        <v>25.634325397598609</v>
      </c>
      <c r="BQ381" s="94">
        <f t="shared" si="840"/>
        <v>26.726681057396831</v>
      </c>
      <c r="BR381" s="94">
        <f t="shared" si="840"/>
        <v>27.816527906584014</v>
      </c>
      <c r="BS381" s="93">
        <f t="shared" si="840"/>
        <v>107.16534483687198</v>
      </c>
      <c r="BT381" s="93">
        <f t="shared" si="840"/>
        <v>110.85256125708248</v>
      </c>
      <c r="BU381" s="93">
        <f t="shared" si="840"/>
        <v>114.66412519390545</v>
      </c>
      <c r="BV381" s="93">
        <f t="shared" si="840"/>
        <v>119.32625533727926</v>
      </c>
      <c r="BW381" s="4"/>
    </row>
    <row r="382" spans="1:75" ht="15.75" customHeight="1" x14ac:dyDescent="0.2">
      <c r="A382" s="108" t="s">
        <v>219</v>
      </c>
      <c r="B382" s="108"/>
      <c r="C382" s="109">
        <f t="shared" ref="C382:BI382" si="841">C336</f>
        <v>1602.02</v>
      </c>
      <c r="D382" s="109">
        <f t="shared" si="841"/>
        <v>1659.404</v>
      </c>
      <c r="E382" s="109">
        <f t="shared" si="841"/>
        <v>1757.624</v>
      </c>
      <c r="F382" s="109">
        <f t="shared" si="841"/>
        <v>1809.0170000000001</v>
      </c>
      <c r="G382" s="110">
        <f t="shared" si="841"/>
        <v>463.01799999999997</v>
      </c>
      <c r="H382" s="110">
        <f t="shared" si="841"/>
        <v>470.11799999999999</v>
      </c>
      <c r="I382" s="110">
        <f t="shared" si="841"/>
        <v>469.69900000000001</v>
      </c>
      <c r="J382" s="110">
        <f t="shared" si="841"/>
        <v>475.07499999999999</v>
      </c>
      <c r="K382" s="109">
        <f t="shared" si="841"/>
        <v>1877.91</v>
      </c>
      <c r="L382" s="110">
        <f t="shared" si="841"/>
        <v>481.43099999999998</v>
      </c>
      <c r="M382" s="110">
        <f t="shared" si="841"/>
        <v>496.40600000000001</v>
      </c>
      <c r="N382" s="110">
        <f t="shared" si="841"/>
        <v>499.11399999999998</v>
      </c>
      <c r="O382" s="110">
        <f t="shared" si="841"/>
        <v>499.673</v>
      </c>
      <c r="P382" s="109">
        <f t="shared" si="841"/>
        <v>1976.624</v>
      </c>
      <c r="Q382" s="110">
        <f t="shared" si="841"/>
        <v>517.97299999999996</v>
      </c>
      <c r="R382" s="110">
        <f t="shared" si="841"/>
        <v>529.10699999999997</v>
      </c>
      <c r="S382" s="110">
        <f t="shared" si="841"/>
        <v>526.68799999999999</v>
      </c>
      <c r="T382" s="110">
        <f t="shared" si="841"/>
        <v>526.84100000000001</v>
      </c>
      <c r="U382" s="109">
        <f t="shared" si="841"/>
        <v>2100.6089999999999</v>
      </c>
      <c r="V382" s="110">
        <f t="shared" si="841"/>
        <v>553.69299999999998</v>
      </c>
      <c r="W382" s="110">
        <f t="shared" si="841"/>
        <v>558.86199999999997</v>
      </c>
      <c r="X382" s="110">
        <f t="shared" si="841"/>
        <v>560.01800000000003</v>
      </c>
      <c r="Y382" s="110">
        <f t="shared" si="841"/>
        <v>603.14599999999996</v>
      </c>
      <c r="Z382" s="109">
        <f t="shared" si="841"/>
        <v>2275.7190000000001</v>
      </c>
      <c r="AA382" s="110">
        <f t="shared" si="841"/>
        <v>563.42600000000004</v>
      </c>
      <c r="AB382" s="110">
        <f t="shared" si="841"/>
        <v>569.86900000000003</v>
      </c>
      <c r="AC382" s="110">
        <f t="shared" si="841"/>
        <v>555.39200000000005</v>
      </c>
      <c r="AD382" s="110">
        <f t="shared" si="841"/>
        <v>571.81500000000005</v>
      </c>
      <c r="AE382" s="109">
        <f t="shared" si="841"/>
        <v>2260.502</v>
      </c>
      <c r="AF382" s="110">
        <f t="shared" si="841"/>
        <v>590.69100000000003</v>
      </c>
      <c r="AG382" s="110">
        <f t="shared" si="841"/>
        <v>593.178</v>
      </c>
      <c r="AH382" s="110">
        <f t="shared" si="841"/>
        <v>580.88199999999995</v>
      </c>
      <c r="AI382" s="110">
        <f t="shared" si="841"/>
        <v>585.15499999999997</v>
      </c>
      <c r="AJ382" s="109">
        <f t="shared" si="841"/>
        <v>2332.3310000000001</v>
      </c>
      <c r="AK382" s="110">
        <f t="shared" si="841"/>
        <v>599.48099999999999</v>
      </c>
      <c r="AL382" s="110">
        <f t="shared" si="841"/>
        <v>602.64499999999998</v>
      </c>
      <c r="AM382" s="110">
        <f t="shared" si="841"/>
        <v>586.53599999999994</v>
      </c>
      <c r="AN382" s="110">
        <f t="shared" si="841"/>
        <v>694.0300000000002</v>
      </c>
      <c r="AO382" s="109">
        <f t="shared" si="841"/>
        <v>2482.692</v>
      </c>
      <c r="AP382" s="110">
        <f t="shared" si="841"/>
        <v>615.10599999999999</v>
      </c>
      <c r="AQ382" s="110">
        <f t="shared" si="841"/>
        <v>295.851</v>
      </c>
      <c r="AR382" s="110">
        <f t="shared" si="841"/>
        <v>517.71600000000001</v>
      </c>
      <c r="AS382" s="110">
        <f t="shared" si="841"/>
        <v>554.55199999999991</v>
      </c>
      <c r="AT382" s="109">
        <f t="shared" si="841"/>
        <v>1983.2249999999999</v>
      </c>
      <c r="AU382" s="110">
        <f t="shared" si="841"/>
        <v>627.41700000000003</v>
      </c>
      <c r="AV382" s="110">
        <f t="shared" si="841"/>
        <v>768.95600000000002</v>
      </c>
      <c r="AW382" s="110">
        <f t="shared" si="841"/>
        <v>754.47400000000005</v>
      </c>
      <c r="AX382" s="110">
        <f t="shared" si="841"/>
        <v>776.69299999999976</v>
      </c>
      <c r="AY382" s="109">
        <f t="shared" si="841"/>
        <v>2927.54</v>
      </c>
      <c r="AZ382" s="110">
        <f t="shared" si="841"/>
        <v>793.71</v>
      </c>
      <c r="BA382" s="110">
        <f t="shared" si="841"/>
        <v>832.64300000000003</v>
      </c>
      <c r="BB382" s="110">
        <f t="shared" si="841"/>
        <v>784.00099999999998</v>
      </c>
      <c r="BC382" s="110">
        <f t="shared" si="841"/>
        <v>892.80199999999968</v>
      </c>
      <c r="BD382" s="109">
        <f t="shared" si="841"/>
        <v>3303.1559999999999</v>
      </c>
      <c r="BE382" s="110">
        <f t="shared" si="841"/>
        <v>866.11400000000003</v>
      </c>
      <c r="BF382" s="110">
        <f t="shared" si="841"/>
        <v>866.17</v>
      </c>
      <c r="BG382" s="110">
        <f t="shared" si="841"/>
        <v>830.21</v>
      </c>
      <c r="BH382" s="110">
        <f t="shared" si="841"/>
        <v>877.00900000000001</v>
      </c>
      <c r="BI382" s="107">
        <f t="shared" si="841"/>
        <v>3439.5030000000002</v>
      </c>
      <c r="BJ382" s="110">
        <f t="shared" ref="BJ382:BM382" si="842">BJ33</f>
        <v>906.40464524749257</v>
      </c>
      <c r="BK382" s="110">
        <f t="shared" si="842"/>
        <v>926.16846918618046</v>
      </c>
      <c r="BL382" s="110">
        <f t="shared" si="842"/>
        <v>888.29195777755501</v>
      </c>
      <c r="BM382" s="110">
        <f t="shared" si="842"/>
        <v>937.9276479256464</v>
      </c>
      <c r="BN382" s="109">
        <f>SUM(BJ382,BK382,BL382,BM382)</f>
        <v>3658.7927201368743</v>
      </c>
      <c r="BO382" s="110">
        <f t="shared" ref="BO382:BR382" si="843">BO33</f>
        <v>952.17336422319727</v>
      </c>
      <c r="BP382" s="110">
        <f t="shared" si="843"/>
        <v>971.76247830213617</v>
      </c>
      <c r="BQ382" s="110">
        <f t="shared" si="843"/>
        <v>932.73136592015419</v>
      </c>
      <c r="BR382" s="110">
        <f t="shared" si="843"/>
        <v>986.65218344742721</v>
      </c>
      <c r="BS382" s="109">
        <f>SUM(BO382,BP382,BQ382,BR382)</f>
        <v>3843.3193918929146</v>
      </c>
      <c r="BT382" s="109">
        <f t="shared" ref="BT382:BV382" si="844">BT33</f>
        <v>4137.0957388006564</v>
      </c>
      <c r="BU382" s="109">
        <f t="shared" si="844"/>
        <v>4462.2926185860342</v>
      </c>
      <c r="BV382" s="109">
        <f t="shared" si="844"/>
        <v>4876.759601691545</v>
      </c>
      <c r="BW382" s="83"/>
    </row>
    <row r="383" spans="1:75" ht="15.75" customHeight="1" x14ac:dyDescent="0.2">
      <c r="A383" s="333" t="str">
        <f>CONCATENATE("Consensus Estimates - ",IFERROR(LEFT(A382,FIND("(",A382)-1),A382))</f>
        <v>Consensus Estimates - Total Revenue</v>
      </c>
      <c r="B383" s="333"/>
      <c r="C383" s="334"/>
      <c r="D383" s="334"/>
      <c r="E383" s="334"/>
      <c r="F383" s="334"/>
      <c r="G383" s="335"/>
      <c r="H383" s="335"/>
      <c r="I383" s="335"/>
      <c r="J383" s="335"/>
      <c r="K383" s="334"/>
      <c r="L383" s="335"/>
      <c r="M383" s="335"/>
      <c r="N383" s="335"/>
      <c r="O383" s="335"/>
      <c r="P383" s="334"/>
      <c r="Q383" s="335"/>
      <c r="R383" s="335"/>
      <c r="S383" s="335"/>
      <c r="T383" s="335"/>
      <c r="U383" s="334"/>
      <c r="V383" s="335"/>
      <c r="W383" s="335"/>
      <c r="X383" s="335"/>
      <c r="Y383" s="335"/>
      <c r="Z383" s="336"/>
      <c r="AA383" s="335"/>
      <c r="AB383" s="335"/>
      <c r="AC383" s="335"/>
      <c r="AD383" s="335"/>
      <c r="AE383" s="336"/>
      <c r="AF383" s="335"/>
      <c r="AG383" s="335"/>
      <c r="AH383" s="335"/>
      <c r="AI383" s="335"/>
      <c r="AJ383" s="336"/>
      <c r="AK383" s="335"/>
      <c r="AL383" s="335"/>
      <c r="AM383" s="335"/>
      <c r="AN383" s="335"/>
      <c r="AO383" s="336"/>
      <c r="AP383" s="335"/>
      <c r="AQ383" s="335"/>
      <c r="AR383" s="335"/>
      <c r="AS383" s="335"/>
      <c r="AT383" s="336"/>
      <c r="AU383" s="335"/>
      <c r="AV383" s="335"/>
      <c r="AW383" s="335"/>
      <c r="AX383" s="335"/>
      <c r="AY383" s="336"/>
      <c r="AZ383" s="335"/>
      <c r="BA383" s="335"/>
      <c r="BB383" s="335"/>
      <c r="BC383" s="335"/>
      <c r="BD383" s="336"/>
      <c r="BE383" s="335"/>
      <c r="BF383" s="335"/>
      <c r="BG383" s="335"/>
      <c r="BH383" s="335"/>
      <c r="BI383" s="337"/>
      <c r="BJ383" s="338" t="str">
        <f t="shared" ref="BJ383:BS383" ca="1" si="845">IFERROR(VLOOKUP($A383,tb_ConsensusEstimate,MATCH(BJ$5,OFFSET(tb_ConsensusEstimate,0,0,1,COLUMNS(tb_ConsensusEstimate)),0),FALSE),"-")</f>
        <v>N/A</v>
      </c>
      <c r="BK383" s="338" t="str">
        <f t="shared" ca="1" si="845"/>
        <v>N/A</v>
      </c>
      <c r="BL383" s="338" t="str">
        <f t="shared" ca="1" si="845"/>
        <v>N/A</v>
      </c>
      <c r="BM383" s="338" t="str">
        <f t="shared" ca="1" si="845"/>
        <v>N/A</v>
      </c>
      <c r="BN383" s="336" t="str">
        <f t="shared" ca="1" si="845"/>
        <v>N/A</v>
      </c>
      <c r="BO383" s="338" t="str">
        <f t="shared" ca="1" si="845"/>
        <v>N/A</v>
      </c>
      <c r="BP383" s="338" t="str">
        <f t="shared" ca="1" si="845"/>
        <v>N/A</v>
      </c>
      <c r="BQ383" s="338" t="str">
        <f t="shared" ca="1" si="845"/>
        <v>N/A</v>
      </c>
      <c r="BR383" s="338" t="str">
        <f t="shared" ca="1" si="845"/>
        <v>N/A</v>
      </c>
      <c r="BS383" s="336" t="str">
        <f t="shared" ca="1" si="845"/>
        <v>N/A</v>
      </c>
      <c r="BT383" s="336" t="str">
        <f ca="1">IFERROR(VLOOKUP(A383,tb_ConsensusEstimate,MATCH(BT5,OFFSET(tb_ConsensusEstimate,0,0,1,COLUMNS(tb_ConsensusEstimate)),0),FALSE),"-")</f>
        <v>N/A</v>
      </c>
      <c r="BU383" s="336" t="str">
        <f ca="1">IFERROR(VLOOKUP(A383,tb_ConsensusEstimate,MATCH(BU5,OFFSET(tb_ConsensusEstimate,0,0,1,COLUMNS(tb_ConsensusEstimate)),0),FALSE),"-")</f>
        <v>N/A</v>
      </c>
      <c r="BV383" s="336" t="str">
        <f ca="1">IFERROR(VLOOKUP(A383,tb_ConsensusEstimate,MATCH(BV5,OFFSET(tb_ConsensusEstimate,0,0,1,COLUMNS(tb_ConsensusEstimate)),0),FALSE),"-")</f>
        <v>N/A</v>
      </c>
      <c r="BW383" s="335"/>
    </row>
    <row r="384" spans="1:75" ht="15.75" customHeight="1" x14ac:dyDescent="0.2">
      <c r="A384" s="108"/>
      <c r="B384" s="108"/>
      <c r="C384" s="109"/>
      <c r="D384" s="109"/>
      <c r="E384" s="109"/>
      <c r="F384" s="109"/>
      <c r="G384" s="110"/>
      <c r="H384" s="110"/>
      <c r="I384" s="110"/>
      <c r="J384" s="110"/>
      <c r="K384" s="109"/>
      <c r="L384" s="110"/>
      <c r="M384" s="110"/>
      <c r="N384" s="110"/>
      <c r="O384" s="110"/>
      <c r="P384" s="109"/>
      <c r="Q384" s="110"/>
      <c r="R384" s="110"/>
      <c r="S384" s="110"/>
      <c r="T384" s="110"/>
      <c r="U384" s="109"/>
      <c r="V384" s="110"/>
      <c r="W384" s="110"/>
      <c r="X384" s="110"/>
      <c r="Y384" s="110"/>
      <c r="Z384" s="109"/>
      <c r="AA384" s="110"/>
      <c r="AB384" s="110"/>
      <c r="AC384" s="110"/>
      <c r="AD384" s="110"/>
      <c r="AE384" s="109"/>
      <c r="AF384" s="110"/>
      <c r="AG384" s="110"/>
      <c r="AH384" s="110"/>
      <c r="AI384" s="110"/>
      <c r="AJ384" s="109"/>
      <c r="AK384" s="110"/>
      <c r="AL384" s="110"/>
      <c r="AM384" s="110"/>
      <c r="AN384" s="110"/>
      <c r="AO384" s="109"/>
      <c r="AP384" s="110"/>
      <c r="AQ384" s="110"/>
      <c r="AR384" s="110"/>
      <c r="AS384" s="110"/>
      <c r="AT384" s="109"/>
      <c r="AU384" s="110"/>
      <c r="AV384" s="110"/>
      <c r="AW384" s="110"/>
      <c r="AX384" s="110"/>
      <c r="AY384" s="109"/>
      <c r="AZ384" s="110"/>
      <c r="BA384" s="110"/>
      <c r="BB384" s="110"/>
      <c r="BC384" s="110"/>
      <c r="BD384" s="109"/>
      <c r="BE384" s="110"/>
      <c r="BF384" s="110"/>
      <c r="BG384" s="110"/>
      <c r="BH384" s="110"/>
      <c r="BI384" s="107"/>
      <c r="BJ384" s="110"/>
      <c r="BK384" s="110"/>
      <c r="BL384" s="110"/>
      <c r="BM384" s="110"/>
      <c r="BN384" s="109"/>
      <c r="BO384" s="110"/>
      <c r="BP384" s="110"/>
      <c r="BQ384" s="110"/>
      <c r="BR384" s="110"/>
      <c r="BS384" s="109"/>
      <c r="BT384" s="109"/>
      <c r="BU384" s="109"/>
      <c r="BV384" s="109"/>
      <c r="BW384" s="83"/>
    </row>
    <row r="385" spans="1:75" ht="15.75" customHeight="1" x14ac:dyDescent="0.2">
      <c r="A385" s="125" t="s">
        <v>221</v>
      </c>
      <c r="B385" s="85"/>
      <c r="C385" s="86">
        <f t="shared" ref="C385:BI385" si="846">C337+C338+C339</f>
        <v>1325.864</v>
      </c>
      <c r="D385" s="86">
        <f t="shared" si="846"/>
        <v>1358.171</v>
      </c>
      <c r="E385" s="86">
        <f t="shared" si="846"/>
        <v>1444.268</v>
      </c>
      <c r="F385" s="86">
        <f t="shared" si="846"/>
        <v>1469.904</v>
      </c>
      <c r="G385" s="2">
        <f t="shared" si="846"/>
        <v>376.25400000000002</v>
      </c>
      <c r="H385" s="2">
        <f t="shared" si="846"/>
        <v>377.91400000000004</v>
      </c>
      <c r="I385" s="2">
        <f t="shared" si="846"/>
        <v>377.29500000000002</v>
      </c>
      <c r="J385" s="2">
        <f t="shared" si="846"/>
        <v>379.86199999999997</v>
      </c>
      <c r="K385" s="86">
        <f t="shared" si="846"/>
        <v>1511.3249999999998</v>
      </c>
      <c r="L385" s="2">
        <f t="shared" si="846"/>
        <v>394.44499999999999</v>
      </c>
      <c r="M385" s="2">
        <f t="shared" si="846"/>
        <v>401.02099999999996</v>
      </c>
      <c r="N385" s="2">
        <f t="shared" si="846"/>
        <v>410.40200000000004</v>
      </c>
      <c r="O385" s="2">
        <f t="shared" si="846"/>
        <v>409.04400000000004</v>
      </c>
      <c r="P385" s="86">
        <f t="shared" si="846"/>
        <v>1614.9119999999998</v>
      </c>
      <c r="Q385" s="2">
        <f t="shared" si="846"/>
        <v>421.21600000000001</v>
      </c>
      <c r="R385" s="2">
        <f t="shared" si="846"/>
        <v>418.79300000000001</v>
      </c>
      <c r="S385" s="2">
        <f t="shared" si="846"/>
        <v>426.13300000000004</v>
      </c>
      <c r="T385" s="2">
        <f t="shared" si="846"/>
        <v>423.34700000000004</v>
      </c>
      <c r="U385" s="86">
        <f t="shared" si="846"/>
        <v>1689.489</v>
      </c>
      <c r="V385" s="2">
        <f t="shared" si="846"/>
        <v>445.98799999999994</v>
      </c>
      <c r="W385" s="2">
        <f t="shared" si="846"/>
        <v>444.12400000000002</v>
      </c>
      <c r="X385" s="2">
        <f t="shared" si="846"/>
        <v>450.28199999999998</v>
      </c>
      <c r="Y385" s="2">
        <f t="shared" si="846"/>
        <v>486.59699999999998</v>
      </c>
      <c r="Z385" s="86">
        <f t="shared" si="846"/>
        <v>1826.9910000000002</v>
      </c>
      <c r="AA385" s="2">
        <f t="shared" si="846"/>
        <v>458.62400000000002</v>
      </c>
      <c r="AB385" s="2">
        <f t="shared" si="846"/>
        <v>459.30500000000001</v>
      </c>
      <c r="AC385" s="2">
        <f t="shared" si="846"/>
        <v>459.34199999999998</v>
      </c>
      <c r="AD385" s="2">
        <f t="shared" si="846"/>
        <v>472.50299999999999</v>
      </c>
      <c r="AE385" s="86">
        <f t="shared" si="846"/>
        <v>1849.7740000000003</v>
      </c>
      <c r="AF385" s="2">
        <f t="shared" si="846"/>
        <v>494.76499999999999</v>
      </c>
      <c r="AG385" s="2">
        <f t="shared" si="846"/>
        <v>489.45299999999997</v>
      </c>
      <c r="AH385" s="2">
        <f t="shared" si="846"/>
        <v>482.315</v>
      </c>
      <c r="AI385" s="2">
        <f t="shared" si="846"/>
        <v>484.88200000000006</v>
      </c>
      <c r="AJ385" s="86">
        <f t="shared" si="846"/>
        <v>1933.8390000000002</v>
      </c>
      <c r="AK385" s="2">
        <f t="shared" si="846"/>
        <v>506.71800000000002</v>
      </c>
      <c r="AL385" s="2">
        <f t="shared" si="846"/>
        <v>501.46499999999997</v>
      </c>
      <c r="AM385" s="2">
        <f t="shared" si="846"/>
        <v>495.93799999999999</v>
      </c>
      <c r="AN385" s="2">
        <f t="shared" si="846"/>
        <v>588.94200000000001</v>
      </c>
      <c r="AO385" s="86">
        <f t="shared" si="846"/>
        <v>2093.0630000000001</v>
      </c>
      <c r="AP385" s="2">
        <f t="shared" si="846"/>
        <v>545.85699999999997</v>
      </c>
      <c r="AQ385" s="2">
        <f t="shared" si="846"/>
        <v>316.62599999999998</v>
      </c>
      <c r="AR385" s="2">
        <f t="shared" si="846"/>
        <v>477.85400000000004</v>
      </c>
      <c r="AS385" s="2">
        <f t="shared" si="846"/>
        <v>512.64999999999986</v>
      </c>
      <c r="AT385" s="86">
        <f t="shared" si="846"/>
        <v>1852.9870000000001</v>
      </c>
      <c r="AU385" s="2">
        <f t="shared" si="846"/>
        <v>547.14</v>
      </c>
      <c r="AV385" s="2">
        <f t="shared" si="846"/>
        <v>643.25099999999998</v>
      </c>
      <c r="AW385" s="2">
        <f t="shared" si="846"/>
        <v>650.86500000000001</v>
      </c>
      <c r="AX385" s="2">
        <f t="shared" si="846"/>
        <v>676.81600000000003</v>
      </c>
      <c r="AY385" s="86">
        <f t="shared" si="846"/>
        <v>2518.0720000000001</v>
      </c>
      <c r="AZ385" s="2">
        <f t="shared" si="846"/>
        <v>691.899</v>
      </c>
      <c r="BA385" s="2">
        <f t="shared" si="846"/>
        <v>727.90100000000007</v>
      </c>
      <c r="BB385" s="2">
        <f t="shared" si="846"/>
        <v>707.82299999999998</v>
      </c>
      <c r="BC385" s="2">
        <f t="shared" si="846"/>
        <v>776.8810000000002</v>
      </c>
      <c r="BD385" s="86">
        <f t="shared" si="846"/>
        <v>2904.5039999999999</v>
      </c>
      <c r="BE385" s="2">
        <f t="shared" si="846"/>
        <v>748.68099999999993</v>
      </c>
      <c r="BF385" s="2">
        <f t="shared" si="846"/>
        <v>734.23900000000003</v>
      </c>
      <c r="BG385" s="2">
        <f t="shared" si="846"/>
        <v>725.93000000000006</v>
      </c>
      <c r="BH385" s="2">
        <f t="shared" si="846"/>
        <v>744.97299999999996</v>
      </c>
      <c r="BI385" s="90">
        <f t="shared" si="846"/>
        <v>2953.8229999999999</v>
      </c>
      <c r="BJ385" s="2">
        <f t="shared" ref="BJ385:BM385" si="847">BJ36+BJ37+BJ38</f>
        <v>781.6014038106789</v>
      </c>
      <c r="BK385" s="2">
        <f t="shared" si="847"/>
        <v>776.42467305374839</v>
      </c>
      <c r="BL385" s="2">
        <f t="shared" si="847"/>
        <v>768.4415924079151</v>
      </c>
      <c r="BM385" s="2">
        <f t="shared" si="847"/>
        <v>788.41457871846001</v>
      </c>
      <c r="BN385" s="86">
        <f t="shared" ref="BN385:BN387" si="848">SUM(BJ385,BK385,BL385,BM385)</f>
        <v>3114.8822479908022</v>
      </c>
      <c r="BO385" s="2">
        <f t="shared" ref="BO385:BR385" si="849">BO36+BO37+BO38</f>
        <v>821.77373857406883</v>
      </c>
      <c r="BP385" s="2">
        <f t="shared" si="849"/>
        <v>815.28125983585903</v>
      </c>
      <c r="BQ385" s="2">
        <f t="shared" si="849"/>
        <v>807.5661265563499</v>
      </c>
      <c r="BR385" s="2">
        <f t="shared" si="849"/>
        <v>830.10518221766642</v>
      </c>
      <c r="BS385" s="86">
        <f t="shared" ref="BS385:BS387" si="850">SUM(BO385,BP385,BQ385,BR385)</f>
        <v>3274.7263071839443</v>
      </c>
      <c r="BT385" s="86">
        <f t="shared" ref="BT385:BV385" si="851">BT36+BT37+BT38</f>
        <v>3528.9884428108653</v>
      </c>
      <c r="BU385" s="86">
        <f t="shared" si="851"/>
        <v>3810.6815783980278</v>
      </c>
      <c r="BV385" s="86">
        <f t="shared" si="851"/>
        <v>4169.8741373515868</v>
      </c>
      <c r="BW385" s="4"/>
    </row>
    <row r="386" spans="1:75" ht="15.75" customHeight="1" x14ac:dyDescent="0.2">
      <c r="A386" s="85" t="s">
        <v>226</v>
      </c>
      <c r="B386" s="85"/>
      <c r="C386" s="86">
        <f t="shared" ref="C386:BI387" si="852">C340</f>
        <v>97.432000000000002</v>
      </c>
      <c r="D386" s="86">
        <f t="shared" si="852"/>
        <v>95.728999999999999</v>
      </c>
      <c r="E386" s="86">
        <f t="shared" si="852"/>
        <v>96.263000000000005</v>
      </c>
      <c r="F386" s="86">
        <f t="shared" si="852"/>
        <v>104.15600000000001</v>
      </c>
      <c r="G386" s="2">
        <f t="shared" si="852"/>
        <v>28.789000000000001</v>
      </c>
      <c r="H386" s="2">
        <f t="shared" si="852"/>
        <v>27.811</v>
      </c>
      <c r="I386" s="2">
        <f t="shared" si="852"/>
        <v>28.805</v>
      </c>
      <c r="J386" s="2">
        <f t="shared" si="852"/>
        <v>29.323</v>
      </c>
      <c r="K386" s="86">
        <f t="shared" si="852"/>
        <v>114.72799999999999</v>
      </c>
      <c r="L386" s="2">
        <f t="shared" si="852"/>
        <v>31.242000000000001</v>
      </c>
      <c r="M386" s="2">
        <f t="shared" si="852"/>
        <v>29.042000000000002</v>
      </c>
      <c r="N386" s="2">
        <f t="shared" si="852"/>
        <v>29.640999999999998</v>
      </c>
      <c r="O386" s="2">
        <f t="shared" si="852"/>
        <v>29.169</v>
      </c>
      <c r="P386" s="86">
        <f t="shared" si="852"/>
        <v>119.09399999999999</v>
      </c>
      <c r="Q386" s="2">
        <f t="shared" si="852"/>
        <v>33.075000000000003</v>
      </c>
      <c r="R386" s="2">
        <f t="shared" si="852"/>
        <v>35.344999999999999</v>
      </c>
      <c r="S386" s="2">
        <f t="shared" si="852"/>
        <v>33.277000000000001</v>
      </c>
      <c r="T386" s="2">
        <f t="shared" si="852"/>
        <v>35.704999999999998</v>
      </c>
      <c r="U386" s="86">
        <f t="shared" si="852"/>
        <v>137.40199999999999</v>
      </c>
      <c r="V386" s="2">
        <f t="shared" si="852"/>
        <v>35.337000000000003</v>
      </c>
      <c r="W386" s="2">
        <f t="shared" si="852"/>
        <v>35.784999999999997</v>
      </c>
      <c r="X386" s="2">
        <f t="shared" si="852"/>
        <v>36.057000000000002</v>
      </c>
      <c r="Y386" s="2">
        <f t="shared" si="852"/>
        <v>38.863</v>
      </c>
      <c r="Z386" s="86">
        <f t="shared" si="852"/>
        <v>146.042</v>
      </c>
      <c r="AA386" s="2">
        <f t="shared" si="852"/>
        <v>36.286999999999999</v>
      </c>
      <c r="AB386" s="2">
        <f t="shared" si="852"/>
        <v>35.295000000000002</v>
      </c>
      <c r="AC386" s="2">
        <f t="shared" si="852"/>
        <v>35.363999999999997</v>
      </c>
      <c r="AD386" s="2">
        <f t="shared" si="852"/>
        <v>34.587000000000003</v>
      </c>
      <c r="AE386" s="86">
        <f t="shared" si="852"/>
        <v>141.53299999999999</v>
      </c>
      <c r="AF386" s="2">
        <f t="shared" si="852"/>
        <v>39.274000000000001</v>
      </c>
      <c r="AG386" s="2">
        <f t="shared" si="852"/>
        <v>41.423000000000002</v>
      </c>
      <c r="AH386" s="2">
        <f t="shared" si="852"/>
        <v>37.469000000000001</v>
      </c>
      <c r="AI386" s="2">
        <f t="shared" si="852"/>
        <v>36.603999999999999</v>
      </c>
      <c r="AJ386" s="86">
        <f t="shared" si="852"/>
        <v>154.77000000000001</v>
      </c>
      <c r="AK386" s="2">
        <f t="shared" si="852"/>
        <v>39.122999999999998</v>
      </c>
      <c r="AL386" s="2">
        <f t="shared" si="852"/>
        <v>37.247</v>
      </c>
      <c r="AM386" s="2">
        <f t="shared" si="852"/>
        <v>39.746000000000002</v>
      </c>
      <c r="AN386" s="2">
        <f t="shared" si="852"/>
        <v>47.273000000000003</v>
      </c>
      <c r="AO386" s="86">
        <f t="shared" si="852"/>
        <v>160.19900000000001</v>
      </c>
      <c r="AP386" s="2">
        <f t="shared" si="852"/>
        <v>43.96</v>
      </c>
      <c r="AQ386" s="2">
        <f t="shared" si="852"/>
        <v>35.712000000000003</v>
      </c>
      <c r="AR386" s="2">
        <f t="shared" si="852"/>
        <v>37.795000000000002</v>
      </c>
      <c r="AS386" s="2">
        <f t="shared" si="852"/>
        <v>40.177000000000007</v>
      </c>
      <c r="AT386" s="86">
        <f t="shared" si="852"/>
        <v>157.64400000000001</v>
      </c>
      <c r="AU386" s="2">
        <f t="shared" si="852"/>
        <v>44.427</v>
      </c>
      <c r="AV386" s="2">
        <f t="shared" si="852"/>
        <v>48.228000000000002</v>
      </c>
      <c r="AW386" s="2">
        <f t="shared" si="852"/>
        <v>45.802</v>
      </c>
      <c r="AX386" s="2">
        <f t="shared" si="852"/>
        <v>47.679000000000002</v>
      </c>
      <c r="AY386" s="86">
        <f t="shared" si="852"/>
        <v>186.136</v>
      </c>
      <c r="AZ386" s="2">
        <f t="shared" si="852"/>
        <v>49.122999999999998</v>
      </c>
      <c r="BA386" s="2">
        <f t="shared" si="852"/>
        <v>50.191000000000003</v>
      </c>
      <c r="BB386" s="2">
        <f t="shared" si="852"/>
        <v>50.323999999999998</v>
      </c>
      <c r="BC386" s="2">
        <f t="shared" si="852"/>
        <v>56.115000000000009</v>
      </c>
      <c r="BD386" s="86">
        <f t="shared" si="852"/>
        <v>205.75299999999999</v>
      </c>
      <c r="BE386" s="2">
        <f t="shared" si="852"/>
        <v>54.069000000000003</v>
      </c>
      <c r="BF386" s="2">
        <f t="shared" si="852"/>
        <v>54.488</v>
      </c>
      <c r="BG386" s="2">
        <f t="shared" si="852"/>
        <v>54.209000000000003</v>
      </c>
      <c r="BH386" s="2">
        <f t="shared" si="852"/>
        <v>54.682999999999993</v>
      </c>
      <c r="BI386" s="90">
        <f t="shared" si="852"/>
        <v>217.44900000000001</v>
      </c>
      <c r="BJ386" s="2">
        <f t="shared" ref="BJ386:BM386" si="853">BJ39</f>
        <v>57.103492650592031</v>
      </c>
      <c r="BK386" s="2">
        <f t="shared" si="853"/>
        <v>58.348613558729369</v>
      </c>
      <c r="BL386" s="2">
        <f t="shared" si="853"/>
        <v>55.962393339985965</v>
      </c>
      <c r="BM386" s="2">
        <f t="shared" si="853"/>
        <v>59.089441819315724</v>
      </c>
      <c r="BN386" s="86">
        <f t="shared" si="848"/>
        <v>230.50394136862309</v>
      </c>
      <c r="BO386" s="2">
        <f t="shared" ref="BO386:BR386" si="854">BO39</f>
        <v>59.986921946061429</v>
      </c>
      <c r="BP386" s="2">
        <f t="shared" si="854"/>
        <v>61.22103613303458</v>
      </c>
      <c r="BQ386" s="2">
        <f t="shared" si="854"/>
        <v>58.762076052969711</v>
      </c>
      <c r="BR386" s="2">
        <f t="shared" si="854"/>
        <v>62.159087557187917</v>
      </c>
      <c r="BS386" s="86">
        <f t="shared" si="850"/>
        <v>242.12912168925365</v>
      </c>
      <c r="BT386" s="86">
        <f t="shared" ref="BT386:BV386" si="855">BT39</f>
        <v>256.49993580564069</v>
      </c>
      <c r="BU386" s="86">
        <f t="shared" si="855"/>
        <v>276.66214235233412</v>
      </c>
      <c r="BV386" s="86">
        <f t="shared" si="855"/>
        <v>302.35909530487578</v>
      </c>
      <c r="BW386" s="4"/>
    </row>
    <row r="387" spans="1:75" ht="15.75" customHeight="1" x14ac:dyDescent="0.2">
      <c r="A387" s="85" t="s">
        <v>227</v>
      </c>
      <c r="B387" s="85"/>
      <c r="C387" s="86">
        <f t="shared" si="852"/>
        <v>75.183999999999997</v>
      </c>
      <c r="D387" s="86">
        <f t="shared" si="852"/>
        <v>72.14</v>
      </c>
      <c r="E387" s="86">
        <f t="shared" si="852"/>
        <v>71.957999999999998</v>
      </c>
      <c r="F387" s="86">
        <f t="shared" si="852"/>
        <v>74.433000000000007</v>
      </c>
      <c r="G387" s="2">
        <f t="shared" si="852"/>
        <v>19.23</v>
      </c>
      <c r="H387" s="2">
        <f t="shared" si="852"/>
        <v>19.215</v>
      </c>
      <c r="I387" s="2">
        <f t="shared" si="852"/>
        <v>19.661000000000001</v>
      </c>
      <c r="J387" s="2">
        <f t="shared" si="852"/>
        <v>20.452000000000002</v>
      </c>
      <c r="K387" s="86">
        <f t="shared" si="852"/>
        <v>78.558000000000007</v>
      </c>
      <c r="L387" s="2">
        <f t="shared" si="852"/>
        <v>20.251000000000001</v>
      </c>
      <c r="M387" s="2">
        <f t="shared" si="852"/>
        <v>20.533999999999999</v>
      </c>
      <c r="N387" s="2">
        <f t="shared" si="852"/>
        <v>20.93</v>
      </c>
      <c r="O387" s="2">
        <f t="shared" si="852"/>
        <v>21.12</v>
      </c>
      <c r="P387" s="86">
        <f t="shared" si="852"/>
        <v>82.834999999999994</v>
      </c>
      <c r="Q387" s="2">
        <f t="shared" si="852"/>
        <v>21.177</v>
      </c>
      <c r="R387" s="2">
        <f t="shared" si="852"/>
        <v>21.158000000000001</v>
      </c>
      <c r="S387" s="2">
        <f t="shared" si="852"/>
        <v>21.317</v>
      </c>
      <c r="T387" s="2">
        <f t="shared" si="852"/>
        <v>21.911000000000001</v>
      </c>
      <c r="U387" s="86">
        <f t="shared" si="852"/>
        <v>85.563000000000002</v>
      </c>
      <c r="V387" s="2">
        <f t="shared" si="852"/>
        <v>21.463999999999999</v>
      </c>
      <c r="W387" s="2">
        <f t="shared" si="852"/>
        <v>21.460999999999999</v>
      </c>
      <c r="X387" s="2">
        <f t="shared" si="852"/>
        <v>21.634</v>
      </c>
      <c r="Y387" s="2">
        <f t="shared" si="852"/>
        <v>23.451000000000001</v>
      </c>
      <c r="Z387" s="86">
        <f t="shared" si="852"/>
        <v>88.01</v>
      </c>
      <c r="AA387" s="2">
        <f t="shared" si="852"/>
        <v>23.196000000000002</v>
      </c>
      <c r="AB387" s="2">
        <f t="shared" si="852"/>
        <v>23.297000000000001</v>
      </c>
      <c r="AC387" s="2">
        <f t="shared" si="852"/>
        <v>22.998999999999999</v>
      </c>
      <c r="AD387" s="2">
        <f t="shared" si="852"/>
        <v>23.236999999999998</v>
      </c>
      <c r="AE387" s="86">
        <f t="shared" si="852"/>
        <v>92.728999999999999</v>
      </c>
      <c r="AF387" s="2">
        <f t="shared" si="852"/>
        <v>24.001999999999999</v>
      </c>
      <c r="AG387" s="2">
        <f t="shared" si="852"/>
        <v>23.727</v>
      </c>
      <c r="AH387" s="2">
        <f t="shared" si="852"/>
        <v>24.09</v>
      </c>
      <c r="AI387" s="2">
        <f t="shared" si="852"/>
        <v>24.157</v>
      </c>
      <c r="AJ387" s="86">
        <f t="shared" si="852"/>
        <v>95.975999999999999</v>
      </c>
      <c r="AK387" s="2">
        <f t="shared" si="852"/>
        <v>21.361999999999998</v>
      </c>
      <c r="AL387" s="2">
        <f t="shared" si="852"/>
        <v>21.658999999999999</v>
      </c>
      <c r="AM387" s="2">
        <f t="shared" si="852"/>
        <v>21.341999999999999</v>
      </c>
      <c r="AN387" s="2">
        <f t="shared" si="852"/>
        <v>23.769999999999996</v>
      </c>
      <c r="AO387" s="86">
        <f t="shared" si="852"/>
        <v>88.132999999999996</v>
      </c>
      <c r="AP387" s="2">
        <f t="shared" si="852"/>
        <v>23.562000000000001</v>
      </c>
      <c r="AQ387" s="2">
        <f t="shared" si="852"/>
        <v>22.59</v>
      </c>
      <c r="AR387" s="2">
        <f t="shared" si="852"/>
        <v>22.651</v>
      </c>
      <c r="AS387" s="2">
        <f t="shared" si="852"/>
        <v>22.612000000000009</v>
      </c>
      <c r="AT387" s="86">
        <f t="shared" si="852"/>
        <v>91.415000000000006</v>
      </c>
      <c r="AU387" s="2">
        <f t="shared" si="852"/>
        <v>22.006</v>
      </c>
      <c r="AV387" s="2">
        <f t="shared" si="852"/>
        <v>22.222999999999999</v>
      </c>
      <c r="AW387" s="2">
        <f t="shared" si="852"/>
        <v>22.576000000000001</v>
      </c>
      <c r="AX387" s="2">
        <f t="shared" si="852"/>
        <v>22.84899999999999</v>
      </c>
      <c r="AY387" s="86">
        <f t="shared" si="852"/>
        <v>89.653999999999996</v>
      </c>
      <c r="AZ387" s="2">
        <f t="shared" si="852"/>
        <v>21.504999999999999</v>
      </c>
      <c r="BA387" s="2">
        <f t="shared" si="852"/>
        <v>22.608000000000001</v>
      </c>
      <c r="BB387" s="2">
        <f t="shared" si="852"/>
        <v>22.651</v>
      </c>
      <c r="BC387" s="2">
        <f t="shared" si="852"/>
        <v>25.616</v>
      </c>
      <c r="BD387" s="86">
        <f t="shared" si="852"/>
        <v>92.38</v>
      </c>
      <c r="BE387" s="2">
        <f t="shared" si="852"/>
        <v>22.954999999999998</v>
      </c>
      <c r="BF387" s="2">
        <f t="shared" si="852"/>
        <v>23.332000000000001</v>
      </c>
      <c r="BG387" s="2">
        <f t="shared" si="852"/>
        <v>22.837</v>
      </c>
      <c r="BH387" s="2">
        <f t="shared" si="852"/>
        <v>24.012</v>
      </c>
      <c r="BI387" s="90">
        <f t="shared" si="852"/>
        <v>93.135999999999996</v>
      </c>
      <c r="BJ387" s="2">
        <f t="shared" ref="BJ387:BM387" si="856">BJ392</f>
        <v>25.350973750000001</v>
      </c>
      <c r="BK387" s="2">
        <f t="shared" si="856"/>
        <v>25.970161198437495</v>
      </c>
      <c r="BL387" s="2">
        <f t="shared" si="856"/>
        <v>26.647392400666011</v>
      </c>
      <c r="BM387" s="2">
        <f t="shared" si="856"/>
        <v>27.303449068475683</v>
      </c>
      <c r="BN387" s="86">
        <f t="shared" si="848"/>
        <v>105.2719764175792</v>
      </c>
      <c r="BO387" s="2">
        <f t="shared" ref="BO387:BR387" si="857">BO392</f>
        <v>27.938992933715486</v>
      </c>
      <c r="BP387" s="2">
        <f t="shared" si="857"/>
        <v>28.477258799044961</v>
      </c>
      <c r="BQ387" s="2">
        <f t="shared" si="857"/>
        <v>29.076097332596625</v>
      </c>
      <c r="BR387" s="2">
        <f t="shared" si="857"/>
        <v>29.656211217297248</v>
      </c>
      <c r="BS387" s="86">
        <f t="shared" si="850"/>
        <v>115.14856028265433</v>
      </c>
      <c r="BT387" s="86">
        <f t="shared" ref="BT387:BV387" si="858">BT392</f>
        <v>120.87274250314043</v>
      </c>
      <c r="BU387" s="86">
        <f t="shared" si="858"/>
        <v>126.48692159434118</v>
      </c>
      <c r="BV387" s="86">
        <f t="shared" si="858"/>
        <v>131.39834558010091</v>
      </c>
      <c r="BW387" s="4"/>
    </row>
    <row r="388" spans="1:75" ht="15.75" customHeight="1" x14ac:dyDescent="0.2">
      <c r="A388" s="102" t="s">
        <v>89</v>
      </c>
      <c r="B388" s="102"/>
      <c r="C388" s="103">
        <f t="shared" ref="C388:BV388" si="859">C382-SUM(C385:C387)</f>
        <v>103.53999999999996</v>
      </c>
      <c r="D388" s="103">
        <f t="shared" si="859"/>
        <v>133.36399999999981</v>
      </c>
      <c r="E388" s="103">
        <f t="shared" si="859"/>
        <v>145.13499999999999</v>
      </c>
      <c r="F388" s="103">
        <f t="shared" si="859"/>
        <v>160.52400000000011</v>
      </c>
      <c r="G388" s="106">
        <f t="shared" si="859"/>
        <v>38.744999999999948</v>
      </c>
      <c r="H388" s="106">
        <f t="shared" si="859"/>
        <v>45.177999999999997</v>
      </c>
      <c r="I388" s="106">
        <f t="shared" si="859"/>
        <v>43.937999999999988</v>
      </c>
      <c r="J388" s="106">
        <f t="shared" si="859"/>
        <v>45.438000000000045</v>
      </c>
      <c r="K388" s="103">
        <f t="shared" si="859"/>
        <v>173.29900000000021</v>
      </c>
      <c r="L388" s="106">
        <f t="shared" si="859"/>
        <v>35.492999999999995</v>
      </c>
      <c r="M388" s="106">
        <f t="shared" si="859"/>
        <v>45.809000000000026</v>
      </c>
      <c r="N388" s="106">
        <f t="shared" si="859"/>
        <v>38.140999999999906</v>
      </c>
      <c r="O388" s="106">
        <f t="shared" si="859"/>
        <v>40.339999999999975</v>
      </c>
      <c r="P388" s="103">
        <f t="shared" si="859"/>
        <v>159.78300000000013</v>
      </c>
      <c r="Q388" s="106">
        <f t="shared" si="859"/>
        <v>42.504999999999939</v>
      </c>
      <c r="R388" s="106">
        <f t="shared" si="859"/>
        <v>53.810999999999922</v>
      </c>
      <c r="S388" s="106">
        <f t="shared" si="859"/>
        <v>45.960999999999956</v>
      </c>
      <c r="T388" s="106">
        <f t="shared" si="859"/>
        <v>45.877999999999986</v>
      </c>
      <c r="U388" s="103">
        <f t="shared" si="859"/>
        <v>188.15499999999975</v>
      </c>
      <c r="V388" s="106">
        <f t="shared" si="859"/>
        <v>50.904000000000053</v>
      </c>
      <c r="W388" s="106">
        <f t="shared" si="859"/>
        <v>57.491999999999962</v>
      </c>
      <c r="X388" s="106">
        <f t="shared" si="859"/>
        <v>52.045000000000016</v>
      </c>
      <c r="Y388" s="106">
        <f t="shared" si="859"/>
        <v>54.2349999999999</v>
      </c>
      <c r="Z388" s="103">
        <f t="shared" si="859"/>
        <v>214.67599999999993</v>
      </c>
      <c r="AA388" s="106">
        <f t="shared" si="859"/>
        <v>45.319000000000074</v>
      </c>
      <c r="AB388" s="106">
        <f t="shared" si="859"/>
        <v>51.97199999999998</v>
      </c>
      <c r="AC388" s="106">
        <f t="shared" si="859"/>
        <v>37.687000000000126</v>
      </c>
      <c r="AD388" s="106">
        <f t="shared" si="859"/>
        <v>41.488000000000056</v>
      </c>
      <c r="AE388" s="103">
        <f t="shared" si="859"/>
        <v>176.46599999999989</v>
      </c>
      <c r="AF388" s="106">
        <f t="shared" si="859"/>
        <v>32.650000000000091</v>
      </c>
      <c r="AG388" s="106">
        <f t="shared" si="859"/>
        <v>38.575000000000045</v>
      </c>
      <c r="AH388" s="106">
        <f t="shared" si="859"/>
        <v>37.007999999999925</v>
      </c>
      <c r="AI388" s="106">
        <f t="shared" si="859"/>
        <v>39.51199999999983</v>
      </c>
      <c r="AJ388" s="103">
        <f t="shared" si="859"/>
        <v>147.74599999999964</v>
      </c>
      <c r="AK388" s="106">
        <f t="shared" si="859"/>
        <v>32.27800000000002</v>
      </c>
      <c r="AL388" s="106">
        <f t="shared" si="859"/>
        <v>42.274000000000001</v>
      </c>
      <c r="AM388" s="106">
        <f t="shared" si="859"/>
        <v>29.509999999999991</v>
      </c>
      <c r="AN388" s="106">
        <f t="shared" si="859"/>
        <v>34.045000000000186</v>
      </c>
      <c r="AO388" s="103">
        <f t="shared" si="859"/>
        <v>141.29700000000003</v>
      </c>
      <c r="AP388" s="106">
        <f t="shared" si="859"/>
        <v>1.7269999999999754</v>
      </c>
      <c r="AQ388" s="106">
        <f t="shared" si="859"/>
        <v>-79.076999999999941</v>
      </c>
      <c r="AR388" s="106">
        <f t="shared" si="859"/>
        <v>-20.583999999999946</v>
      </c>
      <c r="AS388" s="106">
        <f t="shared" si="859"/>
        <v>-20.886999999999944</v>
      </c>
      <c r="AT388" s="103">
        <f t="shared" si="859"/>
        <v>-118.82100000000037</v>
      </c>
      <c r="AU388" s="106">
        <f t="shared" si="859"/>
        <v>13.844000000000051</v>
      </c>
      <c r="AV388" s="106">
        <f t="shared" si="859"/>
        <v>55.254000000000133</v>
      </c>
      <c r="AW388" s="106">
        <f t="shared" si="859"/>
        <v>35.230999999999995</v>
      </c>
      <c r="AX388" s="106">
        <f t="shared" si="859"/>
        <v>29.348999999999705</v>
      </c>
      <c r="AY388" s="103">
        <f t="shared" si="859"/>
        <v>133.67799999999988</v>
      </c>
      <c r="AZ388" s="106">
        <f t="shared" si="859"/>
        <v>31.182999999999993</v>
      </c>
      <c r="BA388" s="106">
        <f t="shared" si="859"/>
        <v>31.942999999999984</v>
      </c>
      <c r="BB388" s="106">
        <f t="shared" si="859"/>
        <v>3.2030000000000882</v>
      </c>
      <c r="BC388" s="106">
        <f t="shared" si="859"/>
        <v>34.189999999999486</v>
      </c>
      <c r="BD388" s="103">
        <f t="shared" si="859"/>
        <v>100.51899999999978</v>
      </c>
      <c r="BE388" s="106">
        <f t="shared" si="859"/>
        <v>40.409000000000106</v>
      </c>
      <c r="BF388" s="106">
        <f t="shared" si="859"/>
        <v>54.110999999999876</v>
      </c>
      <c r="BG388" s="106">
        <f t="shared" si="859"/>
        <v>27.233999999999924</v>
      </c>
      <c r="BH388" s="106">
        <f t="shared" si="859"/>
        <v>53.341000000000122</v>
      </c>
      <c r="BI388" s="115">
        <f t="shared" si="859"/>
        <v>175.09500000000025</v>
      </c>
      <c r="BJ388" s="106">
        <f t="shared" si="859"/>
        <v>42.348775036221696</v>
      </c>
      <c r="BK388" s="106">
        <f t="shared" si="859"/>
        <v>65.42502137526526</v>
      </c>
      <c r="BL388" s="106">
        <f t="shared" si="859"/>
        <v>37.240579628987916</v>
      </c>
      <c r="BM388" s="106">
        <f t="shared" si="859"/>
        <v>63.120178319394995</v>
      </c>
      <c r="BN388" s="103">
        <f t="shared" si="859"/>
        <v>208.13455435986998</v>
      </c>
      <c r="BO388" s="106">
        <f t="shared" si="859"/>
        <v>42.473710769351555</v>
      </c>
      <c r="BP388" s="106">
        <f t="shared" si="859"/>
        <v>66.782923534197607</v>
      </c>
      <c r="BQ388" s="106">
        <f t="shared" si="859"/>
        <v>37.327065978237897</v>
      </c>
      <c r="BR388" s="106">
        <f t="shared" si="859"/>
        <v>64.731702455275581</v>
      </c>
      <c r="BS388" s="103">
        <f t="shared" si="859"/>
        <v>211.31540273706241</v>
      </c>
      <c r="BT388" s="103">
        <f t="shared" si="859"/>
        <v>230.73461768101015</v>
      </c>
      <c r="BU388" s="103">
        <f t="shared" si="859"/>
        <v>248.46197624133129</v>
      </c>
      <c r="BV388" s="103">
        <f t="shared" si="859"/>
        <v>273.1280234549813</v>
      </c>
      <c r="BW388" s="83"/>
    </row>
    <row r="389" spans="1:75" ht="15.75" customHeight="1" x14ac:dyDescent="0.2">
      <c r="A389" s="108" t="str">
        <f>CONCATENATE("Adjusted ",A388,IF(AND(ROUND(SUM(C388:XFD388)-SUM(C389:XFD389),6)=0)," (No Adjustments)",""))</f>
        <v>Adjusted EBIT (No Adjustments)</v>
      </c>
      <c r="B389" s="108"/>
      <c r="C389" s="109">
        <f t="shared" ref="C389:BV389" si="860">C388</f>
        <v>103.53999999999996</v>
      </c>
      <c r="D389" s="109">
        <f t="shared" si="860"/>
        <v>133.36399999999981</v>
      </c>
      <c r="E389" s="109">
        <f t="shared" si="860"/>
        <v>145.13499999999999</v>
      </c>
      <c r="F389" s="109">
        <f t="shared" si="860"/>
        <v>160.52400000000011</v>
      </c>
      <c r="G389" s="110">
        <f t="shared" si="860"/>
        <v>38.744999999999948</v>
      </c>
      <c r="H389" s="110">
        <f t="shared" si="860"/>
        <v>45.177999999999997</v>
      </c>
      <c r="I389" s="110">
        <f t="shared" si="860"/>
        <v>43.937999999999988</v>
      </c>
      <c r="J389" s="110">
        <f t="shared" si="860"/>
        <v>45.438000000000045</v>
      </c>
      <c r="K389" s="109">
        <f t="shared" si="860"/>
        <v>173.29900000000021</v>
      </c>
      <c r="L389" s="110">
        <f t="shared" si="860"/>
        <v>35.492999999999995</v>
      </c>
      <c r="M389" s="110">
        <f t="shared" si="860"/>
        <v>45.809000000000026</v>
      </c>
      <c r="N389" s="110">
        <f t="shared" si="860"/>
        <v>38.140999999999906</v>
      </c>
      <c r="O389" s="110">
        <f t="shared" si="860"/>
        <v>40.339999999999975</v>
      </c>
      <c r="P389" s="109">
        <f t="shared" si="860"/>
        <v>159.78300000000013</v>
      </c>
      <c r="Q389" s="110">
        <f t="shared" si="860"/>
        <v>42.504999999999939</v>
      </c>
      <c r="R389" s="110">
        <f t="shared" si="860"/>
        <v>53.810999999999922</v>
      </c>
      <c r="S389" s="110">
        <f t="shared" si="860"/>
        <v>45.960999999999956</v>
      </c>
      <c r="T389" s="110">
        <f t="shared" si="860"/>
        <v>45.877999999999986</v>
      </c>
      <c r="U389" s="109">
        <f t="shared" si="860"/>
        <v>188.15499999999975</v>
      </c>
      <c r="V389" s="110">
        <f t="shared" si="860"/>
        <v>50.904000000000053</v>
      </c>
      <c r="W389" s="110">
        <f t="shared" si="860"/>
        <v>57.491999999999962</v>
      </c>
      <c r="X389" s="110">
        <f t="shared" si="860"/>
        <v>52.045000000000016</v>
      </c>
      <c r="Y389" s="110">
        <f t="shared" si="860"/>
        <v>54.2349999999999</v>
      </c>
      <c r="Z389" s="109">
        <f t="shared" si="860"/>
        <v>214.67599999999993</v>
      </c>
      <c r="AA389" s="110">
        <f t="shared" si="860"/>
        <v>45.319000000000074</v>
      </c>
      <c r="AB389" s="110">
        <f t="shared" si="860"/>
        <v>51.97199999999998</v>
      </c>
      <c r="AC389" s="110">
        <f t="shared" si="860"/>
        <v>37.687000000000126</v>
      </c>
      <c r="AD389" s="110">
        <f t="shared" si="860"/>
        <v>41.488000000000056</v>
      </c>
      <c r="AE389" s="109">
        <f t="shared" si="860"/>
        <v>176.46599999999989</v>
      </c>
      <c r="AF389" s="110">
        <f t="shared" si="860"/>
        <v>32.650000000000091</v>
      </c>
      <c r="AG389" s="110">
        <f t="shared" si="860"/>
        <v>38.575000000000045</v>
      </c>
      <c r="AH389" s="110">
        <f t="shared" si="860"/>
        <v>37.007999999999925</v>
      </c>
      <c r="AI389" s="110">
        <f t="shared" si="860"/>
        <v>39.51199999999983</v>
      </c>
      <c r="AJ389" s="109">
        <f t="shared" si="860"/>
        <v>147.74599999999964</v>
      </c>
      <c r="AK389" s="110">
        <f t="shared" si="860"/>
        <v>32.27800000000002</v>
      </c>
      <c r="AL389" s="110">
        <f t="shared" si="860"/>
        <v>42.274000000000001</v>
      </c>
      <c r="AM389" s="110">
        <f t="shared" si="860"/>
        <v>29.509999999999991</v>
      </c>
      <c r="AN389" s="110">
        <f t="shared" si="860"/>
        <v>34.045000000000186</v>
      </c>
      <c r="AO389" s="109">
        <f t="shared" si="860"/>
        <v>141.29700000000003</v>
      </c>
      <c r="AP389" s="110">
        <f t="shared" si="860"/>
        <v>1.7269999999999754</v>
      </c>
      <c r="AQ389" s="110">
        <f t="shared" si="860"/>
        <v>-79.076999999999941</v>
      </c>
      <c r="AR389" s="110">
        <f t="shared" si="860"/>
        <v>-20.583999999999946</v>
      </c>
      <c r="AS389" s="110">
        <f t="shared" si="860"/>
        <v>-20.886999999999944</v>
      </c>
      <c r="AT389" s="109">
        <f t="shared" si="860"/>
        <v>-118.82100000000037</v>
      </c>
      <c r="AU389" s="110">
        <f t="shared" si="860"/>
        <v>13.844000000000051</v>
      </c>
      <c r="AV389" s="110">
        <f t="shared" si="860"/>
        <v>55.254000000000133</v>
      </c>
      <c r="AW389" s="110">
        <f t="shared" si="860"/>
        <v>35.230999999999995</v>
      </c>
      <c r="AX389" s="110">
        <f t="shared" si="860"/>
        <v>29.348999999999705</v>
      </c>
      <c r="AY389" s="109">
        <f t="shared" si="860"/>
        <v>133.67799999999988</v>
      </c>
      <c r="AZ389" s="110">
        <f t="shared" si="860"/>
        <v>31.182999999999993</v>
      </c>
      <c r="BA389" s="110">
        <f t="shared" si="860"/>
        <v>31.942999999999984</v>
      </c>
      <c r="BB389" s="110">
        <f t="shared" si="860"/>
        <v>3.2030000000000882</v>
      </c>
      <c r="BC389" s="110">
        <f t="shared" si="860"/>
        <v>34.189999999999486</v>
      </c>
      <c r="BD389" s="109">
        <f t="shared" si="860"/>
        <v>100.51899999999978</v>
      </c>
      <c r="BE389" s="110">
        <f t="shared" si="860"/>
        <v>40.409000000000106</v>
      </c>
      <c r="BF389" s="110">
        <f t="shared" si="860"/>
        <v>54.110999999999876</v>
      </c>
      <c r="BG389" s="110">
        <f t="shared" si="860"/>
        <v>27.233999999999924</v>
      </c>
      <c r="BH389" s="110">
        <f t="shared" si="860"/>
        <v>53.341000000000122</v>
      </c>
      <c r="BI389" s="107">
        <f t="shared" si="860"/>
        <v>175.09500000000025</v>
      </c>
      <c r="BJ389" s="110">
        <f t="shared" si="860"/>
        <v>42.348775036221696</v>
      </c>
      <c r="BK389" s="110">
        <f t="shared" si="860"/>
        <v>65.42502137526526</v>
      </c>
      <c r="BL389" s="110">
        <f t="shared" si="860"/>
        <v>37.240579628987916</v>
      </c>
      <c r="BM389" s="110">
        <f t="shared" si="860"/>
        <v>63.120178319394995</v>
      </c>
      <c r="BN389" s="109">
        <f t="shared" si="860"/>
        <v>208.13455435986998</v>
      </c>
      <c r="BO389" s="110">
        <f t="shared" si="860"/>
        <v>42.473710769351555</v>
      </c>
      <c r="BP389" s="110">
        <f t="shared" si="860"/>
        <v>66.782923534197607</v>
      </c>
      <c r="BQ389" s="110">
        <f t="shared" si="860"/>
        <v>37.327065978237897</v>
      </c>
      <c r="BR389" s="110">
        <f t="shared" si="860"/>
        <v>64.731702455275581</v>
      </c>
      <c r="BS389" s="109">
        <f t="shared" si="860"/>
        <v>211.31540273706241</v>
      </c>
      <c r="BT389" s="109">
        <f t="shared" si="860"/>
        <v>230.73461768101015</v>
      </c>
      <c r="BU389" s="109">
        <f t="shared" si="860"/>
        <v>248.46197624133129</v>
      </c>
      <c r="BV389" s="109">
        <f t="shared" si="860"/>
        <v>273.1280234549813</v>
      </c>
      <c r="BW389" s="83"/>
    </row>
    <row r="390" spans="1:75" ht="15.75" customHeight="1" x14ac:dyDescent="0.2">
      <c r="A390" s="333" t="s">
        <v>711</v>
      </c>
      <c r="B390" s="333"/>
      <c r="C390" s="334"/>
      <c r="D390" s="334"/>
      <c r="E390" s="334"/>
      <c r="F390" s="334"/>
      <c r="G390" s="335"/>
      <c r="H390" s="335"/>
      <c r="I390" s="335"/>
      <c r="J390" s="335"/>
      <c r="K390" s="334"/>
      <c r="L390" s="335"/>
      <c r="M390" s="335"/>
      <c r="N390" s="335"/>
      <c r="O390" s="335"/>
      <c r="P390" s="334"/>
      <c r="Q390" s="335"/>
      <c r="R390" s="335"/>
      <c r="S390" s="335"/>
      <c r="T390" s="335"/>
      <c r="U390" s="334"/>
      <c r="V390" s="335"/>
      <c r="W390" s="335"/>
      <c r="X390" s="335"/>
      <c r="Y390" s="335"/>
      <c r="Z390" s="334"/>
      <c r="AA390" s="335"/>
      <c r="AB390" s="335"/>
      <c r="AC390" s="335"/>
      <c r="AD390" s="335"/>
      <c r="AE390" s="334"/>
      <c r="AF390" s="335"/>
      <c r="AG390" s="335"/>
      <c r="AH390" s="335"/>
      <c r="AI390" s="335"/>
      <c r="AJ390" s="334"/>
      <c r="AK390" s="335"/>
      <c r="AL390" s="335"/>
      <c r="AM390" s="335"/>
      <c r="AN390" s="335"/>
      <c r="AO390" s="334"/>
      <c r="AP390" s="335"/>
      <c r="AQ390" s="335"/>
      <c r="AR390" s="335"/>
      <c r="AS390" s="335"/>
      <c r="AT390" s="334"/>
      <c r="AU390" s="335"/>
      <c r="AV390" s="335"/>
      <c r="AW390" s="335"/>
      <c r="AX390" s="335"/>
      <c r="AY390" s="334"/>
      <c r="AZ390" s="335"/>
      <c r="BA390" s="335"/>
      <c r="BB390" s="335"/>
      <c r="BC390" s="335"/>
      <c r="BD390" s="334"/>
      <c r="BE390" s="335"/>
      <c r="BF390" s="335"/>
      <c r="BG390" s="335"/>
      <c r="BH390" s="335"/>
      <c r="BI390" s="339"/>
      <c r="BJ390" s="335" t="str">
        <f t="shared" ref="BJ390:BV390" ca="1" si="861">IFERROR(VLOOKUP($A390,tb_ConsensusEstimate,MATCH(BJ$5,OFFSET(tb_ConsensusEstimate,0,0,1,COLUMNS(tb_ConsensusEstimate)),0),FALSE),"-")</f>
        <v>N/A</v>
      </c>
      <c r="BK390" s="335" t="str">
        <f t="shared" ca="1" si="861"/>
        <v>N/A</v>
      </c>
      <c r="BL390" s="335" t="str">
        <f t="shared" ca="1" si="861"/>
        <v>N/A</v>
      </c>
      <c r="BM390" s="335" t="str">
        <f t="shared" ca="1" si="861"/>
        <v>N/A</v>
      </c>
      <c r="BN390" s="334" t="str">
        <f t="shared" ca="1" si="861"/>
        <v>N/A</v>
      </c>
      <c r="BO390" s="335" t="str">
        <f t="shared" ca="1" si="861"/>
        <v>N/A</v>
      </c>
      <c r="BP390" s="335" t="str">
        <f t="shared" ca="1" si="861"/>
        <v>N/A</v>
      </c>
      <c r="BQ390" s="335" t="str">
        <f t="shared" ca="1" si="861"/>
        <v>N/A</v>
      </c>
      <c r="BR390" s="335" t="str">
        <f t="shared" ca="1" si="861"/>
        <v>N/A</v>
      </c>
      <c r="BS390" s="334" t="str">
        <f t="shared" ca="1" si="861"/>
        <v>N/A</v>
      </c>
      <c r="BT390" s="334" t="str">
        <f t="shared" ca="1" si="861"/>
        <v>N/A</v>
      </c>
      <c r="BU390" s="334" t="str">
        <f t="shared" ca="1" si="861"/>
        <v>N/A</v>
      </c>
      <c r="BV390" s="334" t="str">
        <f t="shared" ca="1" si="861"/>
        <v>N/A</v>
      </c>
      <c r="BW390" s="83"/>
    </row>
    <row r="391" spans="1:75" ht="15.75" customHeight="1" x14ac:dyDescent="0.2">
      <c r="A391" s="85"/>
      <c r="B391" s="85"/>
      <c r="C391" s="86"/>
      <c r="D391" s="86"/>
      <c r="E391" s="86"/>
      <c r="F391" s="86"/>
      <c r="G391" s="2"/>
      <c r="H391" s="2"/>
      <c r="I391" s="2"/>
      <c r="J391" s="2"/>
      <c r="K391" s="86"/>
      <c r="L391" s="2"/>
      <c r="M391" s="2"/>
      <c r="N391" s="2"/>
      <c r="O391" s="2"/>
      <c r="P391" s="86"/>
      <c r="Q391" s="2"/>
      <c r="R391" s="2"/>
      <c r="S391" s="2"/>
      <c r="T391" s="2"/>
      <c r="U391" s="86"/>
      <c r="V391" s="2"/>
      <c r="W391" s="2"/>
      <c r="X391" s="2"/>
      <c r="Y391" s="2"/>
      <c r="Z391" s="86"/>
      <c r="AA391" s="2"/>
      <c r="AB391" s="2"/>
      <c r="AC391" s="2"/>
      <c r="AD391" s="2"/>
      <c r="AE391" s="86"/>
      <c r="AF391" s="2"/>
      <c r="AG391" s="2"/>
      <c r="AH391" s="2"/>
      <c r="AI391" s="2"/>
      <c r="AJ391" s="86"/>
      <c r="AK391" s="2"/>
      <c r="AL391" s="2"/>
      <c r="AM391" s="2"/>
      <c r="AN391" s="2"/>
      <c r="AO391" s="86"/>
      <c r="AP391" s="2"/>
      <c r="AQ391" s="2"/>
      <c r="AR391" s="2"/>
      <c r="AS391" s="2"/>
      <c r="AT391" s="86"/>
      <c r="AU391" s="2"/>
      <c r="AV391" s="2"/>
      <c r="AW391" s="2"/>
      <c r="AX391" s="2"/>
      <c r="AY391" s="86"/>
      <c r="AZ391" s="2"/>
      <c r="BA391" s="2"/>
      <c r="BB391" s="2"/>
      <c r="BC391" s="2"/>
      <c r="BD391" s="86"/>
      <c r="BE391" s="2"/>
      <c r="BF391" s="2"/>
      <c r="BG391" s="2"/>
      <c r="BH391" s="2"/>
      <c r="BI391" s="90"/>
      <c r="BJ391" s="2"/>
      <c r="BK391" s="2"/>
      <c r="BL391" s="2"/>
      <c r="BM391" s="2"/>
      <c r="BN391" s="86"/>
      <c r="BO391" s="2"/>
      <c r="BP391" s="2"/>
      <c r="BQ391" s="2"/>
      <c r="BR391" s="2"/>
      <c r="BS391" s="86"/>
      <c r="BT391" s="86"/>
      <c r="BU391" s="86"/>
      <c r="BV391" s="86"/>
      <c r="BW391" s="4"/>
    </row>
    <row r="392" spans="1:75" ht="15.75" customHeight="1" x14ac:dyDescent="0.2">
      <c r="A392" s="85" t="s">
        <v>230</v>
      </c>
      <c r="B392" s="85"/>
      <c r="C392" s="86">
        <f t="shared" ref="C392:BI392" si="862">C341</f>
        <v>75.183999999999997</v>
      </c>
      <c r="D392" s="86">
        <f t="shared" si="862"/>
        <v>72.14</v>
      </c>
      <c r="E392" s="86">
        <f t="shared" si="862"/>
        <v>71.957999999999998</v>
      </c>
      <c r="F392" s="86">
        <f t="shared" si="862"/>
        <v>74.433000000000007</v>
      </c>
      <c r="G392" s="2">
        <f t="shared" si="862"/>
        <v>19.23</v>
      </c>
      <c r="H392" s="2">
        <f t="shared" si="862"/>
        <v>19.215</v>
      </c>
      <c r="I392" s="2">
        <f t="shared" si="862"/>
        <v>19.661000000000001</v>
      </c>
      <c r="J392" s="2">
        <f t="shared" si="862"/>
        <v>20.452000000000002</v>
      </c>
      <c r="K392" s="86">
        <f t="shared" si="862"/>
        <v>78.558000000000007</v>
      </c>
      <c r="L392" s="2">
        <f t="shared" si="862"/>
        <v>20.251000000000001</v>
      </c>
      <c r="M392" s="2">
        <f t="shared" si="862"/>
        <v>20.533999999999999</v>
      </c>
      <c r="N392" s="2">
        <f t="shared" si="862"/>
        <v>20.93</v>
      </c>
      <c r="O392" s="2">
        <f t="shared" si="862"/>
        <v>21.12</v>
      </c>
      <c r="P392" s="86">
        <f t="shared" si="862"/>
        <v>82.834999999999994</v>
      </c>
      <c r="Q392" s="2">
        <f t="shared" si="862"/>
        <v>21.177</v>
      </c>
      <c r="R392" s="2">
        <f t="shared" si="862"/>
        <v>21.158000000000001</v>
      </c>
      <c r="S392" s="2">
        <f t="shared" si="862"/>
        <v>21.317</v>
      </c>
      <c r="T392" s="2">
        <f t="shared" si="862"/>
        <v>21.911000000000001</v>
      </c>
      <c r="U392" s="86">
        <f t="shared" si="862"/>
        <v>85.563000000000002</v>
      </c>
      <c r="V392" s="2">
        <f t="shared" si="862"/>
        <v>21.463999999999999</v>
      </c>
      <c r="W392" s="2">
        <f t="shared" si="862"/>
        <v>21.460999999999999</v>
      </c>
      <c r="X392" s="2">
        <f t="shared" si="862"/>
        <v>21.634</v>
      </c>
      <c r="Y392" s="2">
        <f t="shared" si="862"/>
        <v>23.451000000000001</v>
      </c>
      <c r="Z392" s="86">
        <f t="shared" si="862"/>
        <v>88.01</v>
      </c>
      <c r="AA392" s="2">
        <f t="shared" si="862"/>
        <v>23.196000000000002</v>
      </c>
      <c r="AB392" s="2">
        <f t="shared" si="862"/>
        <v>23.297000000000001</v>
      </c>
      <c r="AC392" s="2">
        <f t="shared" si="862"/>
        <v>22.998999999999999</v>
      </c>
      <c r="AD392" s="2">
        <f t="shared" si="862"/>
        <v>23.236999999999998</v>
      </c>
      <c r="AE392" s="86">
        <f t="shared" si="862"/>
        <v>92.728999999999999</v>
      </c>
      <c r="AF392" s="2">
        <f t="shared" si="862"/>
        <v>24.001999999999999</v>
      </c>
      <c r="AG392" s="2">
        <f t="shared" si="862"/>
        <v>23.727</v>
      </c>
      <c r="AH392" s="2">
        <f t="shared" si="862"/>
        <v>24.09</v>
      </c>
      <c r="AI392" s="2">
        <f t="shared" si="862"/>
        <v>24.157</v>
      </c>
      <c r="AJ392" s="86">
        <f t="shared" si="862"/>
        <v>95.975999999999999</v>
      </c>
      <c r="AK392" s="2">
        <f t="shared" si="862"/>
        <v>21.361999999999998</v>
      </c>
      <c r="AL392" s="2">
        <f t="shared" si="862"/>
        <v>21.658999999999999</v>
      </c>
      <c r="AM392" s="2">
        <f t="shared" si="862"/>
        <v>21.341999999999999</v>
      </c>
      <c r="AN392" s="2">
        <f t="shared" si="862"/>
        <v>23.769999999999996</v>
      </c>
      <c r="AO392" s="86">
        <f t="shared" si="862"/>
        <v>88.132999999999996</v>
      </c>
      <c r="AP392" s="2">
        <f t="shared" si="862"/>
        <v>23.562000000000001</v>
      </c>
      <c r="AQ392" s="2">
        <f t="shared" si="862"/>
        <v>22.59</v>
      </c>
      <c r="AR392" s="2">
        <f t="shared" si="862"/>
        <v>22.651</v>
      </c>
      <c r="AS392" s="2">
        <f t="shared" si="862"/>
        <v>22.612000000000009</v>
      </c>
      <c r="AT392" s="86">
        <f t="shared" si="862"/>
        <v>91.415000000000006</v>
      </c>
      <c r="AU392" s="2">
        <f t="shared" si="862"/>
        <v>22.006</v>
      </c>
      <c r="AV392" s="2">
        <f t="shared" si="862"/>
        <v>22.222999999999999</v>
      </c>
      <c r="AW392" s="2">
        <f t="shared" si="862"/>
        <v>22.576000000000001</v>
      </c>
      <c r="AX392" s="2">
        <f t="shared" si="862"/>
        <v>22.84899999999999</v>
      </c>
      <c r="AY392" s="86">
        <f t="shared" si="862"/>
        <v>89.653999999999996</v>
      </c>
      <c r="AZ392" s="2">
        <f t="shared" si="862"/>
        <v>21.504999999999999</v>
      </c>
      <c r="BA392" s="2">
        <f t="shared" si="862"/>
        <v>22.608000000000001</v>
      </c>
      <c r="BB392" s="2">
        <f t="shared" si="862"/>
        <v>22.651</v>
      </c>
      <c r="BC392" s="2">
        <f t="shared" si="862"/>
        <v>25.616</v>
      </c>
      <c r="BD392" s="86">
        <f t="shared" si="862"/>
        <v>92.38</v>
      </c>
      <c r="BE392" s="2">
        <f t="shared" si="862"/>
        <v>22.954999999999998</v>
      </c>
      <c r="BF392" s="2">
        <f t="shared" si="862"/>
        <v>23.332000000000001</v>
      </c>
      <c r="BG392" s="2">
        <f t="shared" si="862"/>
        <v>22.837</v>
      </c>
      <c r="BH392" s="2">
        <f t="shared" si="862"/>
        <v>24.012</v>
      </c>
      <c r="BI392" s="90">
        <f t="shared" si="862"/>
        <v>93.135999999999996</v>
      </c>
      <c r="BJ392" s="2">
        <f t="shared" ref="BJ392:BM392" si="863">-BJ721-BJ727</f>
        <v>25.350973750000001</v>
      </c>
      <c r="BK392" s="2">
        <f t="shared" si="863"/>
        <v>25.970161198437495</v>
      </c>
      <c r="BL392" s="2">
        <f t="shared" si="863"/>
        <v>26.647392400666011</v>
      </c>
      <c r="BM392" s="2">
        <f t="shared" si="863"/>
        <v>27.303449068475683</v>
      </c>
      <c r="BN392" s="86">
        <f t="shared" ref="BN392:BN393" si="864">SUM(BJ392,BK392,BL392,BM392)</f>
        <v>105.2719764175792</v>
      </c>
      <c r="BO392" s="2">
        <f t="shared" ref="BO392:BR392" si="865">-BO721-BO727</f>
        <v>27.938992933715486</v>
      </c>
      <c r="BP392" s="2">
        <f t="shared" si="865"/>
        <v>28.477258799044961</v>
      </c>
      <c r="BQ392" s="2">
        <f t="shared" si="865"/>
        <v>29.076097332596625</v>
      </c>
      <c r="BR392" s="2">
        <f t="shared" si="865"/>
        <v>29.656211217297248</v>
      </c>
      <c r="BS392" s="86">
        <f t="shared" ref="BS392:BS393" si="866">SUM(BO392,BP392,BQ392,BR392)</f>
        <v>115.14856028265433</v>
      </c>
      <c r="BT392" s="86">
        <f t="shared" ref="BT392:BV392" si="867">-BT721-BT727</f>
        <v>120.87274250314043</v>
      </c>
      <c r="BU392" s="86">
        <f t="shared" si="867"/>
        <v>126.48692159434118</v>
      </c>
      <c r="BV392" s="86">
        <f t="shared" si="867"/>
        <v>131.39834558010091</v>
      </c>
      <c r="BW392" s="4"/>
    </row>
    <row r="393" spans="1:75" ht="15.75" customHeight="1" x14ac:dyDescent="0.2">
      <c r="A393" s="92" t="s">
        <v>231</v>
      </c>
      <c r="B393" s="92"/>
      <c r="C393" s="93">
        <f t="shared" ref="C393:AQ393" si="868">C639</f>
        <v>14.61</v>
      </c>
      <c r="D393" s="93">
        <f t="shared" si="868"/>
        <v>10.913</v>
      </c>
      <c r="E393" s="93">
        <f t="shared" si="868"/>
        <v>9.6349999999999998</v>
      </c>
      <c r="F393" s="93">
        <f t="shared" si="868"/>
        <v>10.837999999999999</v>
      </c>
      <c r="G393" s="94">
        <f t="shared" si="868"/>
        <v>3.4049999999999998</v>
      </c>
      <c r="H393" s="94">
        <f t="shared" si="868"/>
        <v>3.4079999999999999</v>
      </c>
      <c r="I393" s="94">
        <f t="shared" si="868"/>
        <v>3.46</v>
      </c>
      <c r="J393" s="94">
        <f t="shared" si="868"/>
        <v>3.8620000000000001</v>
      </c>
      <c r="K393" s="93">
        <f t="shared" si="868"/>
        <v>14.135</v>
      </c>
      <c r="L393" s="94">
        <f t="shared" si="868"/>
        <v>3.839</v>
      </c>
      <c r="M393" s="94">
        <f t="shared" si="868"/>
        <v>3.8990000000000005</v>
      </c>
      <c r="N393" s="94">
        <f t="shared" si="868"/>
        <v>4.0549999999999988</v>
      </c>
      <c r="O393" s="94">
        <f t="shared" si="868"/>
        <v>5.0240000000000009</v>
      </c>
      <c r="P393" s="93">
        <f t="shared" si="868"/>
        <v>16.817</v>
      </c>
      <c r="Q393" s="94">
        <f t="shared" si="868"/>
        <v>4.7309999999999999</v>
      </c>
      <c r="R393" s="94">
        <f t="shared" si="868"/>
        <v>4.9459999999999997</v>
      </c>
      <c r="S393" s="94">
        <f t="shared" si="868"/>
        <v>4.8719999999999999</v>
      </c>
      <c r="T393" s="94">
        <f t="shared" si="868"/>
        <v>5.5040000000000013</v>
      </c>
      <c r="U393" s="93">
        <f t="shared" si="868"/>
        <v>20.053000000000001</v>
      </c>
      <c r="V393" s="94">
        <f t="shared" si="868"/>
        <v>5.1849999999999996</v>
      </c>
      <c r="W393" s="94">
        <f t="shared" si="868"/>
        <v>6.1190000000000007</v>
      </c>
      <c r="X393" s="94">
        <f t="shared" si="868"/>
        <v>4.8729999999999993</v>
      </c>
      <c r="Y393" s="94">
        <f t="shared" si="868"/>
        <v>5.2959999999999994</v>
      </c>
      <c r="Z393" s="93">
        <f t="shared" si="868"/>
        <v>21.472999999999999</v>
      </c>
      <c r="AA393" s="94">
        <f t="shared" si="868"/>
        <v>4.6150000000000002</v>
      </c>
      <c r="AB393" s="94">
        <f t="shared" si="868"/>
        <v>5.173</v>
      </c>
      <c r="AC393" s="94">
        <f t="shared" si="868"/>
        <v>5.2789999999999999</v>
      </c>
      <c r="AD393" s="94">
        <f t="shared" si="868"/>
        <v>1.3900000000000006</v>
      </c>
      <c r="AE393" s="93">
        <f t="shared" si="868"/>
        <v>16.457000000000001</v>
      </c>
      <c r="AF393" s="94">
        <f t="shared" si="868"/>
        <v>6.0129999999999999</v>
      </c>
      <c r="AG393" s="94">
        <f t="shared" si="868"/>
        <v>5.0619999999999994</v>
      </c>
      <c r="AH393" s="94">
        <f t="shared" si="868"/>
        <v>4.7320000000000011</v>
      </c>
      <c r="AI393" s="94">
        <f t="shared" si="868"/>
        <v>4.1809999999999992</v>
      </c>
      <c r="AJ393" s="93">
        <f t="shared" si="868"/>
        <v>19.988</v>
      </c>
      <c r="AK393" s="94">
        <f t="shared" si="868"/>
        <v>5.8470000000000004</v>
      </c>
      <c r="AL393" s="94">
        <f t="shared" si="868"/>
        <v>4.6409999999999991</v>
      </c>
      <c r="AM393" s="94">
        <f t="shared" si="868"/>
        <v>4.6470000000000002</v>
      </c>
      <c r="AN393" s="94">
        <f t="shared" si="868"/>
        <v>4.2380000000000013</v>
      </c>
      <c r="AO393" s="93">
        <f t="shared" si="868"/>
        <v>19.373000000000001</v>
      </c>
      <c r="AP393" s="94">
        <f t="shared" si="868"/>
        <v>5.5069999999999997</v>
      </c>
      <c r="AQ393" s="94">
        <f t="shared" si="868"/>
        <v>5.1100000000000012</v>
      </c>
      <c r="AR393" s="94">
        <f t="shared" ref="AR393:AS393" si="869">AR47</f>
        <v>4.9169999999999998</v>
      </c>
      <c r="AS393" s="94">
        <f t="shared" si="869"/>
        <v>5.8160000000000007</v>
      </c>
      <c r="AT393" s="93">
        <f t="shared" ref="AT393:BI393" si="870">AT639</f>
        <v>21.35</v>
      </c>
      <c r="AU393" s="94">
        <f t="shared" si="870"/>
        <v>5.444</v>
      </c>
      <c r="AV393" s="94">
        <f t="shared" si="870"/>
        <v>5.4910000000000005</v>
      </c>
      <c r="AW393" s="94">
        <f t="shared" si="870"/>
        <v>5.3940000000000001</v>
      </c>
      <c r="AX393" s="94">
        <f t="shared" si="870"/>
        <v>6.6589999999999989</v>
      </c>
      <c r="AY393" s="93">
        <f t="shared" si="870"/>
        <v>22.988</v>
      </c>
      <c r="AZ393" s="94">
        <f t="shared" si="870"/>
        <v>5.5179999999999998</v>
      </c>
      <c r="BA393" s="94">
        <f t="shared" si="870"/>
        <v>6.0889999999999995</v>
      </c>
      <c r="BB393" s="94">
        <f t="shared" si="870"/>
        <v>5.6129999999999995</v>
      </c>
      <c r="BC393" s="94">
        <f t="shared" si="870"/>
        <v>7.2059999999999995</v>
      </c>
      <c r="BD393" s="93">
        <f t="shared" si="870"/>
        <v>24.425999999999998</v>
      </c>
      <c r="BE393" s="94">
        <f t="shared" si="870"/>
        <v>5.9020000000000001</v>
      </c>
      <c r="BF393" s="94">
        <f t="shared" si="870"/>
        <v>6.3250000000000002</v>
      </c>
      <c r="BG393" s="94">
        <f t="shared" si="870"/>
        <v>6.6230000000000011</v>
      </c>
      <c r="BH393" s="94">
        <f t="shared" si="870"/>
        <v>6.9309999999999974</v>
      </c>
      <c r="BI393" s="97">
        <f t="shared" si="870"/>
        <v>25.780999999999999</v>
      </c>
      <c r="BJ393" s="99">
        <v>6</v>
      </c>
      <c r="BK393" s="99">
        <v>6</v>
      </c>
      <c r="BL393" s="99">
        <v>6</v>
      </c>
      <c r="BM393" s="99">
        <v>6</v>
      </c>
      <c r="BN393" s="93">
        <f t="shared" si="864"/>
        <v>24</v>
      </c>
      <c r="BO393" s="99">
        <v>6</v>
      </c>
      <c r="BP393" s="99">
        <v>6</v>
      </c>
      <c r="BQ393" s="99">
        <v>6</v>
      </c>
      <c r="BR393" s="99">
        <v>6</v>
      </c>
      <c r="BS393" s="93">
        <f t="shared" si="866"/>
        <v>24</v>
      </c>
      <c r="BT393" s="98">
        <v>24</v>
      </c>
      <c r="BU393" s="98">
        <v>24</v>
      </c>
      <c r="BV393" s="98">
        <v>24</v>
      </c>
      <c r="BW393" s="4"/>
    </row>
    <row r="394" spans="1:75" ht="15.75" customHeight="1" x14ac:dyDescent="0.2">
      <c r="A394" s="102" t="s">
        <v>55</v>
      </c>
      <c r="B394" s="102"/>
      <c r="C394" s="103">
        <f t="shared" ref="C394:BV394" si="871">C388+SUM(C392:C393)</f>
        <v>193.33399999999995</v>
      </c>
      <c r="D394" s="103">
        <f t="shared" si="871"/>
        <v>216.4169999999998</v>
      </c>
      <c r="E394" s="103">
        <f t="shared" si="871"/>
        <v>226.72800000000001</v>
      </c>
      <c r="F394" s="103">
        <f t="shared" si="871"/>
        <v>245.79500000000013</v>
      </c>
      <c r="G394" s="106">
        <f t="shared" si="871"/>
        <v>61.379999999999953</v>
      </c>
      <c r="H394" s="106">
        <f t="shared" si="871"/>
        <v>67.801000000000002</v>
      </c>
      <c r="I394" s="106">
        <f t="shared" si="871"/>
        <v>67.058999999999997</v>
      </c>
      <c r="J394" s="106">
        <f t="shared" si="871"/>
        <v>69.752000000000038</v>
      </c>
      <c r="K394" s="103">
        <f t="shared" si="871"/>
        <v>265.99200000000019</v>
      </c>
      <c r="L394" s="106">
        <f t="shared" si="871"/>
        <v>59.582999999999998</v>
      </c>
      <c r="M394" s="106">
        <f t="shared" si="871"/>
        <v>70.242000000000019</v>
      </c>
      <c r="N394" s="106">
        <f t="shared" si="871"/>
        <v>63.125999999999905</v>
      </c>
      <c r="O394" s="106">
        <f t="shared" si="871"/>
        <v>66.48399999999998</v>
      </c>
      <c r="P394" s="103">
        <f t="shared" si="871"/>
        <v>259.43500000000012</v>
      </c>
      <c r="Q394" s="106">
        <f t="shared" si="871"/>
        <v>68.41299999999994</v>
      </c>
      <c r="R394" s="106">
        <f t="shared" si="871"/>
        <v>79.914999999999921</v>
      </c>
      <c r="S394" s="106">
        <f t="shared" si="871"/>
        <v>72.149999999999949</v>
      </c>
      <c r="T394" s="106">
        <f t="shared" si="871"/>
        <v>73.292999999999992</v>
      </c>
      <c r="U394" s="103">
        <f t="shared" si="871"/>
        <v>293.77099999999973</v>
      </c>
      <c r="V394" s="106">
        <f t="shared" si="871"/>
        <v>77.553000000000054</v>
      </c>
      <c r="W394" s="106">
        <f t="shared" si="871"/>
        <v>85.07199999999996</v>
      </c>
      <c r="X394" s="106">
        <f t="shared" si="871"/>
        <v>78.552000000000021</v>
      </c>
      <c r="Y394" s="106">
        <f t="shared" si="871"/>
        <v>82.9819999999999</v>
      </c>
      <c r="Z394" s="103">
        <f t="shared" si="871"/>
        <v>324.15899999999993</v>
      </c>
      <c r="AA394" s="106">
        <f t="shared" si="871"/>
        <v>73.130000000000081</v>
      </c>
      <c r="AB394" s="106">
        <f t="shared" si="871"/>
        <v>80.441999999999979</v>
      </c>
      <c r="AC394" s="106">
        <f t="shared" si="871"/>
        <v>65.965000000000117</v>
      </c>
      <c r="AD394" s="106">
        <f t="shared" si="871"/>
        <v>66.115000000000052</v>
      </c>
      <c r="AE394" s="103">
        <f t="shared" si="871"/>
        <v>285.65199999999993</v>
      </c>
      <c r="AF394" s="106">
        <f t="shared" si="871"/>
        <v>62.665000000000092</v>
      </c>
      <c r="AG394" s="106">
        <f t="shared" si="871"/>
        <v>67.364000000000047</v>
      </c>
      <c r="AH394" s="106">
        <f t="shared" si="871"/>
        <v>65.829999999999927</v>
      </c>
      <c r="AI394" s="106">
        <f t="shared" si="871"/>
        <v>67.849999999999824</v>
      </c>
      <c r="AJ394" s="103">
        <f t="shared" si="871"/>
        <v>263.70999999999964</v>
      </c>
      <c r="AK394" s="106">
        <f t="shared" si="871"/>
        <v>59.487000000000023</v>
      </c>
      <c r="AL394" s="106">
        <f t="shared" si="871"/>
        <v>68.573999999999998</v>
      </c>
      <c r="AM394" s="106">
        <f t="shared" si="871"/>
        <v>55.498999999999988</v>
      </c>
      <c r="AN394" s="106">
        <f t="shared" si="871"/>
        <v>62.053000000000182</v>
      </c>
      <c r="AO394" s="103">
        <f t="shared" si="871"/>
        <v>248.80300000000003</v>
      </c>
      <c r="AP394" s="106">
        <f t="shared" si="871"/>
        <v>30.795999999999978</v>
      </c>
      <c r="AQ394" s="106">
        <f t="shared" si="871"/>
        <v>-51.376999999999938</v>
      </c>
      <c r="AR394" s="106">
        <f t="shared" si="871"/>
        <v>6.9840000000000515</v>
      </c>
      <c r="AS394" s="106">
        <f t="shared" si="871"/>
        <v>7.5410000000000679</v>
      </c>
      <c r="AT394" s="103">
        <f t="shared" si="871"/>
        <v>-6.0560000000003527</v>
      </c>
      <c r="AU394" s="106">
        <f t="shared" si="871"/>
        <v>41.294000000000054</v>
      </c>
      <c r="AV394" s="106">
        <f t="shared" si="871"/>
        <v>82.968000000000131</v>
      </c>
      <c r="AW394" s="106">
        <f t="shared" si="871"/>
        <v>63.200999999999993</v>
      </c>
      <c r="AX394" s="106">
        <f t="shared" si="871"/>
        <v>58.856999999999694</v>
      </c>
      <c r="AY394" s="103">
        <f t="shared" si="871"/>
        <v>246.31999999999988</v>
      </c>
      <c r="AZ394" s="106">
        <f t="shared" si="871"/>
        <v>58.205999999999989</v>
      </c>
      <c r="BA394" s="106">
        <f t="shared" si="871"/>
        <v>60.639999999999986</v>
      </c>
      <c r="BB394" s="106">
        <f t="shared" si="871"/>
        <v>31.467000000000088</v>
      </c>
      <c r="BC394" s="106">
        <f t="shared" si="871"/>
        <v>67.011999999999489</v>
      </c>
      <c r="BD394" s="103">
        <f t="shared" si="871"/>
        <v>217.32499999999976</v>
      </c>
      <c r="BE394" s="106">
        <f t="shared" si="871"/>
        <v>69.266000000000105</v>
      </c>
      <c r="BF394" s="106">
        <f t="shared" si="871"/>
        <v>83.767999999999873</v>
      </c>
      <c r="BG394" s="106">
        <f t="shared" si="871"/>
        <v>56.693999999999924</v>
      </c>
      <c r="BH394" s="106">
        <f t="shared" si="871"/>
        <v>84.28400000000012</v>
      </c>
      <c r="BI394" s="115">
        <f t="shared" si="871"/>
        <v>294.01200000000028</v>
      </c>
      <c r="BJ394" s="106">
        <f t="shared" si="871"/>
        <v>73.699748786221704</v>
      </c>
      <c r="BK394" s="106">
        <f t="shared" si="871"/>
        <v>97.395182573702755</v>
      </c>
      <c r="BL394" s="106">
        <f t="shared" si="871"/>
        <v>69.887972029653923</v>
      </c>
      <c r="BM394" s="106">
        <f t="shared" si="871"/>
        <v>96.423627387870681</v>
      </c>
      <c r="BN394" s="103">
        <f t="shared" si="871"/>
        <v>337.40653077744918</v>
      </c>
      <c r="BO394" s="106">
        <f t="shared" si="871"/>
        <v>76.412703703067038</v>
      </c>
      <c r="BP394" s="106">
        <f t="shared" si="871"/>
        <v>101.26018233324257</v>
      </c>
      <c r="BQ394" s="106">
        <f t="shared" si="871"/>
        <v>72.403163310834515</v>
      </c>
      <c r="BR394" s="106">
        <f t="shared" si="871"/>
        <v>100.38791367257284</v>
      </c>
      <c r="BS394" s="103">
        <f t="shared" si="871"/>
        <v>350.46396301971674</v>
      </c>
      <c r="BT394" s="103">
        <f t="shared" si="871"/>
        <v>375.60736018415059</v>
      </c>
      <c r="BU394" s="103">
        <f t="shared" si="871"/>
        <v>398.94889783567248</v>
      </c>
      <c r="BV394" s="103">
        <f t="shared" si="871"/>
        <v>428.52636903508221</v>
      </c>
      <c r="BW394" s="83"/>
    </row>
    <row r="395" spans="1:75" ht="15.75" customHeight="1" x14ac:dyDescent="0.2">
      <c r="A395" s="108" t="str">
        <f>CONCATENATE("Adjusted ",A394,IF(AND(ROUND(SUM(C394:XFD394)-SUM(C395:XFD395),6)=0)," (No Adjustments)",""))</f>
        <v>Adjusted EBITDA (No Adjustments)</v>
      </c>
      <c r="B395" s="108"/>
      <c r="C395" s="109">
        <f t="shared" ref="C395:BM395" si="872">C394</f>
        <v>193.33399999999995</v>
      </c>
      <c r="D395" s="109">
        <f t="shared" si="872"/>
        <v>216.4169999999998</v>
      </c>
      <c r="E395" s="109">
        <f t="shared" si="872"/>
        <v>226.72800000000001</v>
      </c>
      <c r="F395" s="109">
        <f t="shared" si="872"/>
        <v>245.79500000000013</v>
      </c>
      <c r="G395" s="110">
        <f t="shared" si="872"/>
        <v>61.379999999999953</v>
      </c>
      <c r="H395" s="110">
        <f t="shared" si="872"/>
        <v>67.801000000000002</v>
      </c>
      <c r="I395" s="110">
        <f t="shared" si="872"/>
        <v>67.058999999999997</v>
      </c>
      <c r="J395" s="110">
        <f t="shared" si="872"/>
        <v>69.752000000000038</v>
      </c>
      <c r="K395" s="109">
        <f t="shared" si="872"/>
        <v>265.99200000000019</v>
      </c>
      <c r="L395" s="110">
        <f t="shared" si="872"/>
        <v>59.582999999999998</v>
      </c>
      <c r="M395" s="110">
        <f t="shared" si="872"/>
        <v>70.242000000000019</v>
      </c>
      <c r="N395" s="110">
        <f t="shared" si="872"/>
        <v>63.125999999999905</v>
      </c>
      <c r="O395" s="110">
        <f t="shared" si="872"/>
        <v>66.48399999999998</v>
      </c>
      <c r="P395" s="109">
        <f t="shared" si="872"/>
        <v>259.43500000000012</v>
      </c>
      <c r="Q395" s="110">
        <f t="shared" si="872"/>
        <v>68.41299999999994</v>
      </c>
      <c r="R395" s="110">
        <f t="shared" si="872"/>
        <v>79.914999999999921</v>
      </c>
      <c r="S395" s="110">
        <f t="shared" si="872"/>
        <v>72.149999999999949</v>
      </c>
      <c r="T395" s="110">
        <f t="shared" si="872"/>
        <v>73.292999999999992</v>
      </c>
      <c r="U395" s="109">
        <f t="shared" si="872"/>
        <v>293.77099999999973</v>
      </c>
      <c r="V395" s="110">
        <f t="shared" si="872"/>
        <v>77.553000000000054</v>
      </c>
      <c r="W395" s="110">
        <f t="shared" si="872"/>
        <v>85.07199999999996</v>
      </c>
      <c r="X395" s="110">
        <f t="shared" si="872"/>
        <v>78.552000000000021</v>
      </c>
      <c r="Y395" s="110">
        <f t="shared" si="872"/>
        <v>82.9819999999999</v>
      </c>
      <c r="Z395" s="109">
        <f t="shared" si="872"/>
        <v>324.15899999999993</v>
      </c>
      <c r="AA395" s="110">
        <f t="shared" si="872"/>
        <v>73.130000000000081</v>
      </c>
      <c r="AB395" s="110">
        <f t="shared" si="872"/>
        <v>80.441999999999979</v>
      </c>
      <c r="AC395" s="110">
        <f t="shared" si="872"/>
        <v>65.965000000000117</v>
      </c>
      <c r="AD395" s="110">
        <f t="shared" si="872"/>
        <v>66.115000000000052</v>
      </c>
      <c r="AE395" s="109">
        <f t="shared" si="872"/>
        <v>285.65199999999993</v>
      </c>
      <c r="AF395" s="110">
        <f t="shared" si="872"/>
        <v>62.665000000000092</v>
      </c>
      <c r="AG395" s="110">
        <f t="shared" si="872"/>
        <v>67.364000000000047</v>
      </c>
      <c r="AH395" s="110">
        <f t="shared" si="872"/>
        <v>65.829999999999927</v>
      </c>
      <c r="AI395" s="110">
        <f t="shared" si="872"/>
        <v>67.849999999999824</v>
      </c>
      <c r="AJ395" s="109">
        <f t="shared" si="872"/>
        <v>263.70999999999964</v>
      </c>
      <c r="AK395" s="110">
        <f t="shared" si="872"/>
        <v>59.487000000000023</v>
      </c>
      <c r="AL395" s="110">
        <f t="shared" si="872"/>
        <v>68.573999999999998</v>
      </c>
      <c r="AM395" s="110">
        <f t="shared" si="872"/>
        <v>55.498999999999988</v>
      </c>
      <c r="AN395" s="110">
        <f t="shared" si="872"/>
        <v>62.053000000000182</v>
      </c>
      <c r="AO395" s="109">
        <f t="shared" si="872"/>
        <v>248.80300000000003</v>
      </c>
      <c r="AP395" s="110">
        <f t="shared" si="872"/>
        <v>30.795999999999978</v>
      </c>
      <c r="AQ395" s="110">
        <f t="shared" si="872"/>
        <v>-51.376999999999938</v>
      </c>
      <c r="AR395" s="110">
        <f t="shared" si="872"/>
        <v>6.9840000000000515</v>
      </c>
      <c r="AS395" s="110">
        <f t="shared" si="872"/>
        <v>7.5410000000000679</v>
      </c>
      <c r="AT395" s="109">
        <f t="shared" si="872"/>
        <v>-6.0560000000003527</v>
      </c>
      <c r="AU395" s="110">
        <f t="shared" si="872"/>
        <v>41.294000000000054</v>
      </c>
      <c r="AV395" s="110">
        <f t="shared" si="872"/>
        <v>82.968000000000131</v>
      </c>
      <c r="AW395" s="110">
        <f t="shared" si="872"/>
        <v>63.200999999999993</v>
      </c>
      <c r="AX395" s="110">
        <f t="shared" si="872"/>
        <v>58.856999999999694</v>
      </c>
      <c r="AY395" s="109">
        <f t="shared" si="872"/>
        <v>246.31999999999988</v>
      </c>
      <c r="AZ395" s="110">
        <f t="shared" si="872"/>
        <v>58.205999999999989</v>
      </c>
      <c r="BA395" s="110">
        <f t="shared" si="872"/>
        <v>60.639999999999986</v>
      </c>
      <c r="BB395" s="110">
        <f t="shared" si="872"/>
        <v>31.467000000000088</v>
      </c>
      <c r="BC395" s="110">
        <f t="shared" si="872"/>
        <v>67.011999999999489</v>
      </c>
      <c r="BD395" s="109">
        <f t="shared" si="872"/>
        <v>217.32499999999976</v>
      </c>
      <c r="BE395" s="110">
        <f t="shared" si="872"/>
        <v>69.266000000000105</v>
      </c>
      <c r="BF395" s="110">
        <f t="shared" si="872"/>
        <v>83.767999999999873</v>
      </c>
      <c r="BG395" s="110">
        <f t="shared" si="872"/>
        <v>56.693999999999924</v>
      </c>
      <c r="BH395" s="110">
        <f t="shared" si="872"/>
        <v>84.28400000000012</v>
      </c>
      <c r="BI395" s="107">
        <f t="shared" si="872"/>
        <v>294.01200000000028</v>
      </c>
      <c r="BJ395" s="110">
        <f t="shared" si="872"/>
        <v>73.699748786221704</v>
      </c>
      <c r="BK395" s="110">
        <f t="shared" si="872"/>
        <v>97.395182573702755</v>
      </c>
      <c r="BL395" s="110">
        <f t="shared" si="872"/>
        <v>69.887972029653923</v>
      </c>
      <c r="BM395" s="110">
        <f t="shared" si="872"/>
        <v>96.423627387870681</v>
      </c>
      <c r="BN395" s="109">
        <f>SUM(BJ395,BK395,BL395,BM395)</f>
        <v>337.40653077744906</v>
      </c>
      <c r="BO395" s="110">
        <f t="shared" ref="BO395:BR395" si="873">BO394</f>
        <v>76.412703703067038</v>
      </c>
      <c r="BP395" s="110">
        <f t="shared" si="873"/>
        <v>101.26018233324257</v>
      </c>
      <c r="BQ395" s="110">
        <f t="shared" si="873"/>
        <v>72.403163310834515</v>
      </c>
      <c r="BR395" s="110">
        <f t="shared" si="873"/>
        <v>100.38791367257284</v>
      </c>
      <c r="BS395" s="109">
        <f>SUM(BO395,BP395,BQ395,BR395)</f>
        <v>350.46396301971697</v>
      </c>
      <c r="BT395" s="109">
        <f t="shared" ref="BT395:BV395" si="874">BT394</f>
        <v>375.60736018415059</v>
      </c>
      <c r="BU395" s="109">
        <f t="shared" si="874"/>
        <v>398.94889783567248</v>
      </c>
      <c r="BV395" s="109">
        <f t="shared" si="874"/>
        <v>428.52636903508221</v>
      </c>
      <c r="BW395" s="83"/>
    </row>
    <row r="396" spans="1:75" ht="15.75" customHeight="1" x14ac:dyDescent="0.2">
      <c r="A396" s="333" t="str">
        <f>CONCATENATE("Consensus Estimates - ",IFERROR(LEFT(A395,FIND("(",A395)-1),A395))</f>
        <v xml:space="preserve">Consensus Estimates - Adjusted EBITDA </v>
      </c>
      <c r="B396" s="333"/>
      <c r="C396" s="334"/>
      <c r="D396" s="334"/>
      <c r="E396" s="334"/>
      <c r="F396" s="334"/>
      <c r="G396" s="335"/>
      <c r="H396" s="335"/>
      <c r="I396" s="335"/>
      <c r="J396" s="335"/>
      <c r="K396" s="334"/>
      <c r="L396" s="335"/>
      <c r="M396" s="335"/>
      <c r="N396" s="335"/>
      <c r="O396" s="335"/>
      <c r="P396" s="334"/>
      <c r="Q396" s="335"/>
      <c r="R396" s="335"/>
      <c r="S396" s="335"/>
      <c r="T396" s="335"/>
      <c r="U396" s="334"/>
      <c r="V396" s="335"/>
      <c r="W396" s="335"/>
      <c r="X396" s="335"/>
      <c r="Y396" s="335"/>
      <c r="Z396" s="336"/>
      <c r="AA396" s="335"/>
      <c r="AB396" s="335"/>
      <c r="AC396" s="335"/>
      <c r="AD396" s="335"/>
      <c r="AE396" s="336"/>
      <c r="AF396" s="335"/>
      <c r="AG396" s="335"/>
      <c r="AH396" s="335"/>
      <c r="AI396" s="335"/>
      <c r="AJ396" s="336"/>
      <c r="AK396" s="335"/>
      <c r="AL396" s="335"/>
      <c r="AM396" s="335"/>
      <c r="AN396" s="335"/>
      <c r="AO396" s="336"/>
      <c r="AP396" s="335"/>
      <c r="AQ396" s="335"/>
      <c r="AR396" s="335"/>
      <c r="AS396" s="335"/>
      <c r="AT396" s="336"/>
      <c r="AU396" s="335"/>
      <c r="AV396" s="335"/>
      <c r="AW396" s="335"/>
      <c r="AX396" s="335"/>
      <c r="AY396" s="336"/>
      <c r="AZ396" s="335"/>
      <c r="BA396" s="335"/>
      <c r="BB396" s="335"/>
      <c r="BC396" s="335"/>
      <c r="BD396" s="336"/>
      <c r="BE396" s="335"/>
      <c r="BF396" s="335"/>
      <c r="BG396" s="335"/>
      <c r="BH396" s="335"/>
      <c r="BI396" s="337"/>
      <c r="BJ396" s="338" t="str">
        <f t="shared" ref="BJ396:BS396" ca="1" si="875">IFERROR(VLOOKUP($A396,tb_ConsensusEstimate,MATCH(BJ$5,OFFSET(tb_ConsensusEstimate,0,0,1,COLUMNS(tb_ConsensusEstimate)),0),FALSE),"-")</f>
        <v>N/A</v>
      </c>
      <c r="BK396" s="338" t="str">
        <f t="shared" ca="1" si="875"/>
        <v>N/A</v>
      </c>
      <c r="BL396" s="338" t="str">
        <f t="shared" ca="1" si="875"/>
        <v>N/A</v>
      </c>
      <c r="BM396" s="338" t="str">
        <f t="shared" ca="1" si="875"/>
        <v>N/A</v>
      </c>
      <c r="BN396" s="336" t="str">
        <f t="shared" ca="1" si="875"/>
        <v>N/A</v>
      </c>
      <c r="BO396" s="338" t="str">
        <f t="shared" ca="1" si="875"/>
        <v>N/A</v>
      </c>
      <c r="BP396" s="338" t="str">
        <f t="shared" ca="1" si="875"/>
        <v>N/A</v>
      </c>
      <c r="BQ396" s="338" t="str">
        <f t="shared" ca="1" si="875"/>
        <v>N/A</v>
      </c>
      <c r="BR396" s="338" t="str">
        <f t="shared" ca="1" si="875"/>
        <v>N/A</v>
      </c>
      <c r="BS396" s="336" t="str">
        <f t="shared" ca="1" si="875"/>
        <v>N/A</v>
      </c>
      <c r="BT396" s="336" t="str">
        <f ca="1">IFERROR(VLOOKUP(A396,tb_ConsensusEstimate,MATCH(BT5,OFFSET(tb_ConsensusEstimate,0,0,1,COLUMNS(tb_ConsensusEstimate)),0),FALSE),"-")</f>
        <v>N/A</v>
      </c>
      <c r="BU396" s="336" t="str">
        <f ca="1">IFERROR(VLOOKUP(A396,tb_ConsensusEstimate,MATCH(BU5,OFFSET(tb_ConsensusEstimate,0,0,1,COLUMNS(tb_ConsensusEstimate)),0),FALSE),"-")</f>
        <v>N/A</v>
      </c>
      <c r="BV396" s="336" t="str">
        <f ca="1">IFERROR(VLOOKUP(A396,tb_ConsensusEstimate,MATCH(BV5,OFFSET(tb_ConsensusEstimate,0,0,1,COLUMNS(tb_ConsensusEstimate)),0),FALSE),"-")</f>
        <v>N/A</v>
      </c>
      <c r="BW396" s="335"/>
    </row>
    <row r="397" spans="1:75" ht="15.75" customHeight="1" x14ac:dyDescent="0.2">
      <c r="A397" s="340"/>
      <c r="B397" s="340"/>
      <c r="C397" s="341"/>
      <c r="D397" s="341"/>
      <c r="E397" s="341"/>
      <c r="F397" s="341"/>
      <c r="G397" s="342"/>
      <c r="H397" s="342"/>
      <c r="I397" s="342"/>
      <c r="J397" s="342"/>
      <c r="K397" s="341"/>
      <c r="L397" s="342"/>
      <c r="M397" s="342"/>
      <c r="N397" s="342"/>
      <c r="O397" s="342"/>
      <c r="P397" s="341"/>
      <c r="Q397" s="342"/>
      <c r="R397" s="342"/>
      <c r="S397" s="342"/>
      <c r="T397" s="342"/>
      <c r="U397" s="341"/>
      <c r="V397" s="342"/>
      <c r="W397" s="342"/>
      <c r="X397" s="342"/>
      <c r="Y397" s="342"/>
      <c r="Z397" s="341"/>
      <c r="AA397" s="342"/>
      <c r="AB397" s="342"/>
      <c r="AC397" s="342"/>
      <c r="AD397" s="342"/>
      <c r="AE397" s="341"/>
      <c r="AF397" s="342"/>
      <c r="AG397" s="342"/>
      <c r="AH397" s="342"/>
      <c r="AI397" s="342"/>
      <c r="AJ397" s="341"/>
      <c r="AK397" s="342"/>
      <c r="AL397" s="342"/>
      <c r="AM397" s="342"/>
      <c r="AN397" s="342"/>
      <c r="AO397" s="341"/>
      <c r="AP397" s="342"/>
      <c r="AQ397" s="342"/>
      <c r="AR397" s="342"/>
      <c r="AS397" s="342"/>
      <c r="AT397" s="341"/>
      <c r="AU397" s="342"/>
      <c r="AV397" s="342"/>
      <c r="AW397" s="342"/>
      <c r="AX397" s="342"/>
      <c r="AY397" s="341"/>
      <c r="AZ397" s="342"/>
      <c r="BA397" s="342"/>
      <c r="BB397" s="342"/>
      <c r="BC397" s="342"/>
      <c r="BD397" s="341"/>
      <c r="BE397" s="342"/>
      <c r="BF397" s="342"/>
      <c r="BG397" s="342"/>
      <c r="BH397" s="342"/>
      <c r="BI397" s="343"/>
      <c r="BJ397" s="342"/>
      <c r="BK397" s="342"/>
      <c r="BL397" s="342"/>
      <c r="BM397" s="342"/>
      <c r="BN397" s="341"/>
      <c r="BO397" s="342"/>
      <c r="BP397" s="342"/>
      <c r="BQ397" s="342"/>
      <c r="BR397" s="342"/>
      <c r="BS397" s="341"/>
      <c r="BT397" s="341"/>
      <c r="BU397" s="341"/>
      <c r="BV397" s="341"/>
      <c r="BW397" s="344"/>
    </row>
    <row r="398" spans="1:75" ht="15.75" customHeight="1" x14ac:dyDescent="0.2">
      <c r="A398" s="85" t="s">
        <v>233</v>
      </c>
      <c r="B398" s="85"/>
      <c r="C398" s="86">
        <f t="shared" ref="C398:BI398" si="876">-C349</f>
        <v>22.41</v>
      </c>
      <c r="D398" s="86">
        <f t="shared" si="876"/>
        <v>17.122</v>
      </c>
      <c r="E398" s="86">
        <f t="shared" si="876"/>
        <v>4.3070000000000004</v>
      </c>
      <c r="F398" s="86">
        <f t="shared" si="876"/>
        <v>4.7249999999999996</v>
      </c>
      <c r="G398" s="2">
        <f t="shared" si="876"/>
        <v>1.31</v>
      </c>
      <c r="H398" s="2">
        <f t="shared" si="876"/>
        <v>1.2709999999999999</v>
      </c>
      <c r="I398" s="2">
        <f t="shared" si="876"/>
        <v>0.72699999999999998</v>
      </c>
      <c r="J398" s="2">
        <f t="shared" si="876"/>
        <v>1.196</v>
      </c>
      <c r="K398" s="86">
        <f t="shared" si="876"/>
        <v>4.5039999999999996</v>
      </c>
      <c r="L398" s="2">
        <f t="shared" si="876"/>
        <v>1.391</v>
      </c>
      <c r="M398" s="2">
        <f t="shared" si="876"/>
        <v>1.544</v>
      </c>
      <c r="N398" s="2">
        <f t="shared" si="876"/>
        <v>1.381</v>
      </c>
      <c r="O398" s="2">
        <f t="shared" si="876"/>
        <v>1.871</v>
      </c>
      <c r="P398" s="86">
        <f t="shared" si="876"/>
        <v>6.1870000000000003</v>
      </c>
      <c r="Q398" s="2">
        <f t="shared" si="876"/>
        <v>1.895</v>
      </c>
      <c r="R398" s="2">
        <f t="shared" si="876"/>
        <v>1.4319999999999999</v>
      </c>
      <c r="S398" s="2">
        <f t="shared" si="876"/>
        <v>0.72199999999999998</v>
      </c>
      <c r="T398" s="2">
        <f t="shared" si="876"/>
        <v>1.845</v>
      </c>
      <c r="U398" s="86">
        <f t="shared" si="876"/>
        <v>5.8940000000000001</v>
      </c>
      <c r="V398" s="2">
        <f t="shared" si="876"/>
        <v>2.3039999999999998</v>
      </c>
      <c r="W398" s="2">
        <f t="shared" si="876"/>
        <v>2.181</v>
      </c>
      <c r="X398" s="2">
        <f t="shared" si="876"/>
        <v>2.4769999999999999</v>
      </c>
      <c r="Y398" s="2">
        <f t="shared" si="876"/>
        <v>2.2629999999999999</v>
      </c>
      <c r="Z398" s="86">
        <f t="shared" si="876"/>
        <v>9.2249999999999996</v>
      </c>
      <c r="AA398" s="2">
        <f t="shared" si="876"/>
        <v>1.256</v>
      </c>
      <c r="AB398" s="2">
        <f t="shared" si="876"/>
        <v>1.5699999999999998</v>
      </c>
      <c r="AC398" s="2">
        <f t="shared" si="876"/>
        <v>1.6</v>
      </c>
      <c r="AD398" s="2">
        <f t="shared" si="876"/>
        <v>1.9530000000000001</v>
      </c>
      <c r="AE398" s="86">
        <f t="shared" si="876"/>
        <v>6.3789999999999996</v>
      </c>
      <c r="AF398" s="2">
        <f t="shared" si="876"/>
        <v>1.506</v>
      </c>
      <c r="AG398" s="2">
        <f t="shared" si="876"/>
        <v>2.9079999999999999</v>
      </c>
      <c r="AH398" s="2">
        <f t="shared" si="876"/>
        <v>3.29</v>
      </c>
      <c r="AI398" s="2">
        <f t="shared" si="876"/>
        <v>1.7649999999999999</v>
      </c>
      <c r="AJ398" s="86">
        <f t="shared" si="876"/>
        <v>6.7830000000000004</v>
      </c>
      <c r="AK398" s="2">
        <f t="shared" si="876"/>
        <v>-2E-3</v>
      </c>
      <c r="AL398" s="2">
        <f t="shared" si="876"/>
        <v>2.5000000000000001E-2</v>
      </c>
      <c r="AM398" s="2">
        <f t="shared" si="876"/>
        <v>-6.0000000000000001E-3</v>
      </c>
      <c r="AN398" s="2">
        <f t="shared" si="876"/>
        <v>2.48</v>
      </c>
      <c r="AO398" s="86">
        <f t="shared" si="876"/>
        <v>2.4969999999999999</v>
      </c>
      <c r="AP398" s="2">
        <f t="shared" si="876"/>
        <v>1.518</v>
      </c>
      <c r="AQ398" s="2">
        <f t="shared" si="876"/>
        <v>2.5659999999999998</v>
      </c>
      <c r="AR398" s="2">
        <f t="shared" si="876"/>
        <v>2.9350000000000001</v>
      </c>
      <c r="AS398" s="2">
        <f t="shared" si="876"/>
        <v>1.58</v>
      </c>
      <c r="AT398" s="86">
        <f t="shared" si="876"/>
        <v>8.5990000000000002</v>
      </c>
      <c r="AU398" s="2">
        <f t="shared" si="876"/>
        <v>2.694</v>
      </c>
      <c r="AV398" s="2">
        <f t="shared" si="876"/>
        <v>4.7060000000000004</v>
      </c>
      <c r="AW398" s="2">
        <f t="shared" si="876"/>
        <v>1.794</v>
      </c>
      <c r="AX398" s="2">
        <f t="shared" si="876"/>
        <v>1.5039999999999996</v>
      </c>
      <c r="AY398" s="86">
        <f t="shared" si="876"/>
        <v>10.698</v>
      </c>
      <c r="AZ398" s="2">
        <f t="shared" si="876"/>
        <v>1.4610000000000001</v>
      </c>
      <c r="BA398" s="2">
        <f t="shared" si="876"/>
        <v>1.1299999999999999</v>
      </c>
      <c r="BB398" s="2">
        <f t="shared" si="876"/>
        <v>1.3149999999999999</v>
      </c>
      <c r="BC398" s="2">
        <f t="shared" si="876"/>
        <v>2.137</v>
      </c>
      <c r="BD398" s="86">
        <f t="shared" si="876"/>
        <v>6.0430000000000001</v>
      </c>
      <c r="BE398" s="2">
        <f t="shared" si="876"/>
        <v>1.88</v>
      </c>
      <c r="BF398" s="2">
        <f t="shared" si="876"/>
        <v>2.1619999999999999</v>
      </c>
      <c r="BG398" s="2">
        <f t="shared" si="876"/>
        <v>2.0270000000000001</v>
      </c>
      <c r="BH398" s="2">
        <f t="shared" si="876"/>
        <v>2.4829999999999997</v>
      </c>
      <c r="BI398" s="90">
        <f t="shared" si="876"/>
        <v>8.5519999999999996</v>
      </c>
      <c r="BJ398" s="2">
        <f t="shared" ref="BJ398:BM398" si="877">BJ531</f>
        <v>2.2798725000000002</v>
      </c>
      <c r="BK398" s="2">
        <f t="shared" ca="1" si="877"/>
        <v>2.2697736628393961</v>
      </c>
      <c r="BL398" s="2">
        <f t="shared" ca="1" si="877"/>
        <v>2.2530346506952283</v>
      </c>
      <c r="BM398" s="2">
        <f t="shared" ca="1" si="877"/>
        <v>2.2636860367678047</v>
      </c>
      <c r="BN398" s="86">
        <f t="shared" ref="BN398:BN400" ca="1" si="878">SUM(BJ398,BK398,BL398,BM398)</f>
        <v>9.0663668503024297</v>
      </c>
      <c r="BO398" s="2">
        <f t="shared" ref="BO398:BR398" ca="1" si="879">BO531</f>
        <v>2.2063045411423072</v>
      </c>
      <c r="BP398" s="2">
        <f t="shared" ca="1" si="879"/>
        <v>2.1919958226862373</v>
      </c>
      <c r="BQ398" s="2">
        <f t="shared" ca="1" si="879"/>
        <v>2.1735567857858307</v>
      </c>
      <c r="BR398" s="2">
        <f t="shared" ca="1" si="879"/>
        <v>2.1790989730144594</v>
      </c>
      <c r="BS398" s="86">
        <f t="shared" ref="BS398:BS400" ca="1" si="880">SUM(BO398,BP398,BQ398,BR398)</f>
        <v>8.7509561226288355</v>
      </c>
      <c r="BT398" s="86">
        <f t="shared" ref="BT398:BV398" ca="1" si="881">BT531</f>
        <v>8.4512536997245959</v>
      </c>
      <c r="BU398" s="86">
        <f t="shared" ca="1" si="881"/>
        <v>7.9024440170199277</v>
      </c>
      <c r="BV398" s="86">
        <f t="shared" ca="1" si="881"/>
        <v>7.2415023083410253</v>
      </c>
      <c r="BW398" s="4"/>
    </row>
    <row r="399" spans="1:75" ht="15.75" customHeight="1" x14ac:dyDescent="0.2">
      <c r="A399" s="85" t="s">
        <v>712</v>
      </c>
      <c r="B399" s="85"/>
      <c r="C399" s="86">
        <f t="shared" ref="C399:BI399" si="882">C345</f>
        <v>3.282</v>
      </c>
      <c r="D399" s="86">
        <f t="shared" si="882"/>
        <v>5.1529999999999996</v>
      </c>
      <c r="E399" s="86">
        <f t="shared" si="882"/>
        <v>10.138</v>
      </c>
      <c r="F399" s="86">
        <f t="shared" si="882"/>
        <v>12.289</v>
      </c>
      <c r="G399" s="2">
        <f t="shared" si="882"/>
        <v>1.3140000000000001</v>
      </c>
      <c r="H399" s="2">
        <f t="shared" si="882"/>
        <v>2.5030000000000001</v>
      </c>
      <c r="I399" s="2">
        <f t="shared" si="882"/>
        <v>4.21</v>
      </c>
      <c r="J399" s="2">
        <f t="shared" si="882"/>
        <v>4.8789999999999996</v>
      </c>
      <c r="K399" s="86">
        <f t="shared" si="882"/>
        <v>12.906000000000001</v>
      </c>
      <c r="L399" s="2">
        <f t="shared" si="882"/>
        <v>2.234</v>
      </c>
      <c r="M399" s="2">
        <f t="shared" si="882"/>
        <v>2.6080000000000001</v>
      </c>
      <c r="N399" s="2">
        <f t="shared" si="882"/>
        <v>3.9660000000000002</v>
      </c>
      <c r="O399" s="2">
        <f t="shared" si="882"/>
        <v>5.548</v>
      </c>
      <c r="P399" s="86">
        <f t="shared" si="882"/>
        <v>14.356</v>
      </c>
      <c r="Q399" s="2">
        <f t="shared" si="882"/>
        <v>1.4510000000000001</v>
      </c>
      <c r="R399" s="2">
        <f t="shared" si="882"/>
        <v>4.0579999999999998</v>
      </c>
      <c r="S399" s="2">
        <f t="shared" si="882"/>
        <v>4.306</v>
      </c>
      <c r="T399" s="2">
        <f t="shared" si="882"/>
        <v>7.0830000000000002</v>
      </c>
      <c r="U399" s="86">
        <f t="shared" si="882"/>
        <v>16.898</v>
      </c>
      <c r="V399" s="2">
        <f t="shared" si="882"/>
        <v>2.31</v>
      </c>
      <c r="W399" s="2">
        <f t="shared" si="882"/>
        <v>2.302</v>
      </c>
      <c r="X399" s="2">
        <f t="shared" si="882"/>
        <v>1.982</v>
      </c>
      <c r="Y399" s="2">
        <f t="shared" si="882"/>
        <v>6.9749999999999996</v>
      </c>
      <c r="Z399" s="86">
        <f t="shared" si="882"/>
        <v>13.569000000000001</v>
      </c>
      <c r="AA399" s="2">
        <f t="shared" si="882"/>
        <v>0.97</v>
      </c>
      <c r="AB399" s="2">
        <f t="shared" si="882"/>
        <v>1.3089999999999999</v>
      </c>
      <c r="AC399" s="2">
        <f t="shared" si="882"/>
        <v>3.37</v>
      </c>
      <c r="AD399" s="2">
        <f t="shared" si="882"/>
        <v>7.6289999999999996</v>
      </c>
      <c r="AE399" s="86">
        <f t="shared" si="882"/>
        <v>13.278</v>
      </c>
      <c r="AF399" s="2">
        <f t="shared" si="882"/>
        <v>1.099</v>
      </c>
      <c r="AG399" s="2">
        <f t="shared" si="882"/>
        <v>1.4490000000000001</v>
      </c>
      <c r="AH399" s="2">
        <f t="shared" si="882"/>
        <v>3.25</v>
      </c>
      <c r="AI399" s="2">
        <f t="shared" si="882"/>
        <v>5.1379999999999999</v>
      </c>
      <c r="AJ399" s="86">
        <f t="shared" si="882"/>
        <v>10.936999999999999</v>
      </c>
      <c r="AK399" s="2">
        <f t="shared" si="882"/>
        <v>2.13</v>
      </c>
      <c r="AL399" s="2">
        <f t="shared" si="882"/>
        <v>2.1749999999999998</v>
      </c>
      <c r="AM399" s="2">
        <f t="shared" si="882"/>
        <v>2.5459999999999998</v>
      </c>
      <c r="AN399" s="2">
        <f t="shared" si="882"/>
        <v>6.298</v>
      </c>
      <c r="AO399" s="86">
        <f t="shared" si="882"/>
        <v>13.148999999999999</v>
      </c>
      <c r="AP399" s="2">
        <f t="shared" si="882"/>
        <v>3.1190000000000002</v>
      </c>
      <c r="AQ399" s="2">
        <f t="shared" si="882"/>
        <v>2.097</v>
      </c>
      <c r="AR399" s="2">
        <f t="shared" si="882"/>
        <v>2.3940000000000001</v>
      </c>
      <c r="AS399" s="2">
        <f t="shared" si="882"/>
        <v>2.8459999999999992</v>
      </c>
      <c r="AT399" s="86">
        <f t="shared" si="882"/>
        <v>10.456</v>
      </c>
      <c r="AU399" s="2">
        <f t="shared" si="882"/>
        <v>3.8559999999999999</v>
      </c>
      <c r="AV399" s="2">
        <f t="shared" si="882"/>
        <v>2.7789999999999999</v>
      </c>
      <c r="AW399" s="2">
        <f t="shared" si="882"/>
        <v>3.169</v>
      </c>
      <c r="AX399" s="2">
        <f t="shared" si="882"/>
        <v>3.907</v>
      </c>
      <c r="AY399" s="86">
        <f t="shared" si="882"/>
        <v>13.711</v>
      </c>
      <c r="AZ399" s="2">
        <f t="shared" si="882"/>
        <v>1.764</v>
      </c>
      <c r="BA399" s="2">
        <f t="shared" si="882"/>
        <v>2.9470000000000001</v>
      </c>
      <c r="BB399" s="2">
        <f t="shared" si="882"/>
        <v>4.327</v>
      </c>
      <c r="BC399" s="2">
        <f t="shared" si="882"/>
        <v>7.7910000000000004</v>
      </c>
      <c r="BD399" s="86">
        <f t="shared" si="882"/>
        <v>16.829000000000001</v>
      </c>
      <c r="BE399" s="2">
        <f t="shared" si="882"/>
        <v>3.052</v>
      </c>
      <c r="BF399" s="2">
        <f t="shared" si="882"/>
        <v>6.0060000000000002</v>
      </c>
      <c r="BG399" s="2">
        <f t="shared" si="882"/>
        <v>6.742</v>
      </c>
      <c r="BH399" s="2">
        <f t="shared" si="882"/>
        <v>9.5790000000000006</v>
      </c>
      <c r="BI399" s="90">
        <f t="shared" si="882"/>
        <v>25.379000000000001</v>
      </c>
      <c r="BJ399" s="2">
        <f t="shared" ref="BJ399:BM399" si="883">BJ41</f>
        <v>5</v>
      </c>
      <c r="BK399" s="2">
        <f t="shared" si="883"/>
        <v>5</v>
      </c>
      <c r="BL399" s="2">
        <f t="shared" si="883"/>
        <v>9</v>
      </c>
      <c r="BM399" s="2">
        <f t="shared" si="883"/>
        <v>9</v>
      </c>
      <c r="BN399" s="86">
        <f t="shared" si="878"/>
        <v>28</v>
      </c>
      <c r="BO399" s="2">
        <f t="shared" ref="BO399:BR399" si="884">BO41</f>
        <v>5</v>
      </c>
      <c r="BP399" s="2">
        <f t="shared" si="884"/>
        <v>5</v>
      </c>
      <c r="BQ399" s="2">
        <f t="shared" si="884"/>
        <v>5</v>
      </c>
      <c r="BR399" s="2">
        <f t="shared" si="884"/>
        <v>5</v>
      </c>
      <c r="BS399" s="86">
        <f t="shared" si="880"/>
        <v>20</v>
      </c>
      <c r="BT399" s="86">
        <f t="shared" ref="BT399:BV399" si="885">BT41</f>
        <v>23</v>
      </c>
      <c r="BU399" s="86">
        <f t="shared" si="885"/>
        <v>23</v>
      </c>
      <c r="BV399" s="86">
        <f t="shared" si="885"/>
        <v>23</v>
      </c>
      <c r="BW399" s="4"/>
    </row>
    <row r="400" spans="1:75" ht="15.75" customHeight="1" x14ac:dyDescent="0.2">
      <c r="A400" s="92" t="s">
        <v>713</v>
      </c>
      <c r="B400" s="92"/>
      <c r="C400" s="93">
        <f t="shared" ref="C400:BI400" si="886">-C348+C342+C343+C344</f>
        <v>26.541</v>
      </c>
      <c r="D400" s="93">
        <f t="shared" si="886"/>
        <v>0</v>
      </c>
      <c r="E400" s="93">
        <f t="shared" si="886"/>
        <v>1.5469999999999999</v>
      </c>
      <c r="F400" s="93">
        <f t="shared" si="886"/>
        <v>9.5359999999999996</v>
      </c>
      <c r="G400" s="94">
        <f t="shared" si="886"/>
        <v>0.64400000000000002</v>
      </c>
      <c r="H400" s="94">
        <f t="shared" si="886"/>
        <v>1.5049999999999999</v>
      </c>
      <c r="I400" s="94">
        <f t="shared" si="886"/>
        <v>1.097</v>
      </c>
      <c r="J400" s="94">
        <f t="shared" si="886"/>
        <v>-3.8069999999999999</v>
      </c>
      <c r="K400" s="93">
        <f t="shared" si="886"/>
        <v>-0.56100000000000005</v>
      </c>
      <c r="L400" s="94">
        <f t="shared" si="886"/>
        <v>0.186</v>
      </c>
      <c r="M400" s="94">
        <f t="shared" si="886"/>
        <v>0.51</v>
      </c>
      <c r="N400" s="94">
        <f t="shared" si="886"/>
        <v>0</v>
      </c>
      <c r="O400" s="94">
        <f t="shared" si="886"/>
        <v>0</v>
      </c>
      <c r="P400" s="93">
        <f t="shared" si="886"/>
        <v>0.69599999999999995</v>
      </c>
      <c r="Q400" s="94">
        <f t="shared" si="886"/>
        <v>0</v>
      </c>
      <c r="R400" s="94">
        <f t="shared" si="886"/>
        <v>0</v>
      </c>
      <c r="S400" s="94">
        <f t="shared" si="886"/>
        <v>6.0110000000000001</v>
      </c>
      <c r="T400" s="94">
        <f t="shared" si="886"/>
        <v>0</v>
      </c>
      <c r="U400" s="93">
        <f t="shared" si="886"/>
        <v>6.0110000000000001</v>
      </c>
      <c r="V400" s="94">
        <f t="shared" si="886"/>
        <v>0</v>
      </c>
      <c r="W400" s="94">
        <f t="shared" si="886"/>
        <v>0</v>
      </c>
      <c r="X400" s="94">
        <f t="shared" si="886"/>
        <v>0</v>
      </c>
      <c r="Y400" s="94">
        <f t="shared" si="886"/>
        <v>0.114</v>
      </c>
      <c r="Z400" s="93">
        <f t="shared" si="886"/>
        <v>0.114</v>
      </c>
      <c r="AA400" s="94">
        <f t="shared" si="886"/>
        <v>0.78600000000000003</v>
      </c>
      <c r="AB400" s="94">
        <f t="shared" si="886"/>
        <v>0.44500000000000001</v>
      </c>
      <c r="AC400" s="94">
        <f t="shared" si="886"/>
        <v>0</v>
      </c>
      <c r="AD400" s="94">
        <f t="shared" si="886"/>
        <v>9.1120000000000001</v>
      </c>
      <c r="AE400" s="93">
        <f t="shared" si="886"/>
        <v>10.343</v>
      </c>
      <c r="AF400" s="94">
        <f t="shared" si="886"/>
        <v>0</v>
      </c>
      <c r="AG400" s="94">
        <f t="shared" si="886"/>
        <v>2.5830000000000002</v>
      </c>
      <c r="AH400" s="94">
        <f t="shared" si="886"/>
        <v>0.26300000000000001</v>
      </c>
      <c r="AI400" s="94">
        <f t="shared" si="886"/>
        <v>17.083000000000002</v>
      </c>
      <c r="AJ400" s="93">
        <f t="shared" si="886"/>
        <v>22.615000000000002</v>
      </c>
      <c r="AK400" s="94">
        <f t="shared" si="886"/>
        <v>1.45</v>
      </c>
      <c r="AL400" s="94">
        <f t="shared" si="886"/>
        <v>1.6439999999999999</v>
      </c>
      <c r="AM400" s="94">
        <f t="shared" si="886"/>
        <v>10.345000000000001</v>
      </c>
      <c r="AN400" s="94">
        <f t="shared" si="886"/>
        <v>-31.311999999999998</v>
      </c>
      <c r="AO400" s="93">
        <f t="shared" si="886"/>
        <v>-14.682999999999998</v>
      </c>
      <c r="AP400" s="94">
        <f t="shared" si="886"/>
        <v>188.66599999999997</v>
      </c>
      <c r="AQ400" s="94">
        <f t="shared" si="886"/>
        <v>2.536</v>
      </c>
      <c r="AR400" s="94">
        <f t="shared" si="886"/>
        <v>11.88</v>
      </c>
      <c r="AS400" s="94">
        <f t="shared" si="886"/>
        <v>15.078000000000003</v>
      </c>
      <c r="AT400" s="93">
        <f t="shared" si="886"/>
        <v>218.16000000000003</v>
      </c>
      <c r="AU400" s="94">
        <f t="shared" si="886"/>
        <v>1.1440000000000001</v>
      </c>
      <c r="AV400" s="94">
        <f t="shared" si="886"/>
        <v>11.356999999999999</v>
      </c>
      <c r="AW400" s="94">
        <f t="shared" si="886"/>
        <v>0.68500000000000005</v>
      </c>
      <c r="AX400" s="94">
        <f t="shared" si="886"/>
        <v>24.463000000000001</v>
      </c>
      <c r="AY400" s="93">
        <f t="shared" si="886"/>
        <v>37.649000000000001</v>
      </c>
      <c r="AZ400" s="94">
        <f t="shared" si="886"/>
        <v>1.0980000000000001</v>
      </c>
      <c r="BA400" s="94">
        <f t="shared" si="886"/>
        <v>1.054</v>
      </c>
      <c r="BB400" s="94">
        <f t="shared" si="886"/>
        <v>1.081</v>
      </c>
      <c r="BC400" s="94">
        <f t="shared" si="886"/>
        <v>41.522000000000006</v>
      </c>
      <c r="BD400" s="93">
        <f t="shared" si="886"/>
        <v>44.755000000000003</v>
      </c>
      <c r="BE400" s="94">
        <f t="shared" si="886"/>
        <v>3.431</v>
      </c>
      <c r="BF400" s="94">
        <f t="shared" si="886"/>
        <v>0.6339999999999999</v>
      </c>
      <c r="BG400" s="94">
        <f t="shared" si="886"/>
        <v>1.462</v>
      </c>
      <c r="BH400" s="94">
        <f t="shared" si="886"/>
        <v>35.622999999999998</v>
      </c>
      <c r="BI400" s="97">
        <f t="shared" si="886"/>
        <v>41.15</v>
      </c>
      <c r="BJ400" s="99">
        <v>0</v>
      </c>
      <c r="BK400" s="99">
        <v>0</v>
      </c>
      <c r="BL400" s="99">
        <v>0</v>
      </c>
      <c r="BM400" s="99">
        <v>0</v>
      </c>
      <c r="BN400" s="93">
        <f t="shared" si="878"/>
        <v>0</v>
      </c>
      <c r="BO400" s="99">
        <v>0</v>
      </c>
      <c r="BP400" s="99">
        <v>0</v>
      </c>
      <c r="BQ400" s="99">
        <v>0</v>
      </c>
      <c r="BR400" s="99">
        <v>0</v>
      </c>
      <c r="BS400" s="93">
        <f t="shared" si="880"/>
        <v>0</v>
      </c>
      <c r="BT400" s="98">
        <v>0</v>
      </c>
      <c r="BU400" s="98">
        <v>0</v>
      </c>
      <c r="BV400" s="98">
        <v>0</v>
      </c>
      <c r="BW400" s="4"/>
    </row>
    <row r="401" spans="1:75" ht="15.75" customHeight="1" x14ac:dyDescent="0.2">
      <c r="A401" s="102" t="s">
        <v>92</v>
      </c>
      <c r="B401" s="102"/>
      <c r="C401" s="103">
        <f t="shared" ref="C401:BV401" si="887">C388-SUM(C398:C400)</f>
        <v>51.30699999999996</v>
      </c>
      <c r="D401" s="103">
        <f t="shared" si="887"/>
        <v>111.0889999999998</v>
      </c>
      <c r="E401" s="103">
        <f t="shared" si="887"/>
        <v>129.143</v>
      </c>
      <c r="F401" s="103">
        <f t="shared" si="887"/>
        <v>133.9740000000001</v>
      </c>
      <c r="G401" s="106">
        <f t="shared" si="887"/>
        <v>35.476999999999947</v>
      </c>
      <c r="H401" s="106">
        <f t="shared" si="887"/>
        <v>39.899000000000001</v>
      </c>
      <c r="I401" s="106">
        <f t="shared" si="887"/>
        <v>37.903999999999989</v>
      </c>
      <c r="J401" s="106">
        <f t="shared" si="887"/>
        <v>43.170000000000044</v>
      </c>
      <c r="K401" s="103">
        <f t="shared" si="887"/>
        <v>156.45000000000022</v>
      </c>
      <c r="L401" s="106">
        <f t="shared" si="887"/>
        <v>31.681999999999995</v>
      </c>
      <c r="M401" s="106">
        <f t="shared" si="887"/>
        <v>41.147000000000027</v>
      </c>
      <c r="N401" s="106">
        <f t="shared" si="887"/>
        <v>32.793999999999905</v>
      </c>
      <c r="O401" s="106">
        <f t="shared" si="887"/>
        <v>32.920999999999978</v>
      </c>
      <c r="P401" s="103">
        <f t="shared" si="887"/>
        <v>138.54400000000012</v>
      </c>
      <c r="Q401" s="106">
        <f t="shared" si="887"/>
        <v>39.158999999999935</v>
      </c>
      <c r="R401" s="106">
        <f t="shared" si="887"/>
        <v>48.32099999999992</v>
      </c>
      <c r="S401" s="106">
        <f t="shared" si="887"/>
        <v>34.921999999999954</v>
      </c>
      <c r="T401" s="106">
        <f t="shared" si="887"/>
        <v>36.949999999999989</v>
      </c>
      <c r="U401" s="103">
        <f t="shared" si="887"/>
        <v>159.35199999999975</v>
      </c>
      <c r="V401" s="106">
        <f t="shared" si="887"/>
        <v>46.290000000000056</v>
      </c>
      <c r="W401" s="106">
        <f t="shared" si="887"/>
        <v>53.008999999999958</v>
      </c>
      <c r="X401" s="106">
        <f t="shared" si="887"/>
        <v>47.586000000000013</v>
      </c>
      <c r="Y401" s="106">
        <f t="shared" si="887"/>
        <v>44.882999999999896</v>
      </c>
      <c r="Z401" s="103">
        <f t="shared" si="887"/>
        <v>191.76799999999992</v>
      </c>
      <c r="AA401" s="106">
        <f t="shared" si="887"/>
        <v>42.307000000000073</v>
      </c>
      <c r="AB401" s="106">
        <f t="shared" si="887"/>
        <v>48.647999999999982</v>
      </c>
      <c r="AC401" s="106">
        <f t="shared" si="887"/>
        <v>32.717000000000127</v>
      </c>
      <c r="AD401" s="106">
        <f t="shared" si="887"/>
        <v>22.794000000000057</v>
      </c>
      <c r="AE401" s="103">
        <f t="shared" si="887"/>
        <v>146.46599999999989</v>
      </c>
      <c r="AF401" s="106">
        <f t="shared" si="887"/>
        <v>30.045000000000091</v>
      </c>
      <c r="AG401" s="106">
        <f t="shared" si="887"/>
        <v>31.635000000000044</v>
      </c>
      <c r="AH401" s="106">
        <f t="shared" si="887"/>
        <v>30.204999999999924</v>
      </c>
      <c r="AI401" s="106">
        <f t="shared" si="887"/>
        <v>15.525999999999829</v>
      </c>
      <c r="AJ401" s="103">
        <f t="shared" si="887"/>
        <v>107.41099999999963</v>
      </c>
      <c r="AK401" s="106">
        <f t="shared" si="887"/>
        <v>28.700000000000021</v>
      </c>
      <c r="AL401" s="106">
        <f t="shared" si="887"/>
        <v>38.43</v>
      </c>
      <c r="AM401" s="106">
        <f t="shared" si="887"/>
        <v>16.624999999999989</v>
      </c>
      <c r="AN401" s="106">
        <f t="shared" si="887"/>
        <v>56.579000000000185</v>
      </c>
      <c r="AO401" s="103">
        <f t="shared" si="887"/>
        <v>140.33400000000003</v>
      </c>
      <c r="AP401" s="106">
        <f t="shared" si="887"/>
        <v>-191.57599999999999</v>
      </c>
      <c r="AQ401" s="106">
        <f t="shared" si="887"/>
        <v>-86.275999999999939</v>
      </c>
      <c r="AR401" s="106">
        <f t="shared" si="887"/>
        <v>-37.79299999999995</v>
      </c>
      <c r="AS401" s="106">
        <f t="shared" si="887"/>
        <v>-40.390999999999948</v>
      </c>
      <c r="AT401" s="103">
        <f t="shared" si="887"/>
        <v>-356.0360000000004</v>
      </c>
      <c r="AU401" s="106">
        <f t="shared" si="887"/>
        <v>6.150000000000051</v>
      </c>
      <c r="AV401" s="106">
        <f t="shared" si="887"/>
        <v>36.412000000000134</v>
      </c>
      <c r="AW401" s="106">
        <f t="shared" si="887"/>
        <v>29.582999999999995</v>
      </c>
      <c r="AX401" s="106">
        <f t="shared" si="887"/>
        <v>-0.52500000000029701</v>
      </c>
      <c r="AY401" s="103">
        <f t="shared" si="887"/>
        <v>71.619999999999891</v>
      </c>
      <c r="AZ401" s="106">
        <f t="shared" si="887"/>
        <v>26.859999999999992</v>
      </c>
      <c r="BA401" s="106">
        <f t="shared" si="887"/>
        <v>26.811999999999983</v>
      </c>
      <c r="BB401" s="106">
        <f t="shared" si="887"/>
        <v>-3.5199999999999108</v>
      </c>
      <c r="BC401" s="106">
        <f t="shared" si="887"/>
        <v>-17.260000000000517</v>
      </c>
      <c r="BD401" s="103">
        <f t="shared" si="887"/>
        <v>32.891999999999769</v>
      </c>
      <c r="BE401" s="106">
        <f t="shared" si="887"/>
        <v>32.046000000000106</v>
      </c>
      <c r="BF401" s="106">
        <f t="shared" si="887"/>
        <v>45.308999999999877</v>
      </c>
      <c r="BG401" s="106">
        <f t="shared" si="887"/>
        <v>17.002999999999922</v>
      </c>
      <c r="BH401" s="106">
        <f t="shared" si="887"/>
        <v>5.6560000000001196</v>
      </c>
      <c r="BI401" s="115">
        <f t="shared" si="887"/>
        <v>100.01400000000027</v>
      </c>
      <c r="BJ401" s="106">
        <f t="shared" si="887"/>
        <v>35.0689025362217</v>
      </c>
      <c r="BK401" s="106">
        <f t="shared" ca="1" si="887"/>
        <v>58.155247712425862</v>
      </c>
      <c r="BL401" s="106">
        <f t="shared" ca="1" si="887"/>
        <v>25.987544978292689</v>
      </c>
      <c r="BM401" s="106">
        <f t="shared" ca="1" si="887"/>
        <v>51.856492282627187</v>
      </c>
      <c r="BN401" s="103">
        <f t="shared" ca="1" si="887"/>
        <v>171.06818750956757</v>
      </c>
      <c r="BO401" s="106">
        <f t="shared" ca="1" si="887"/>
        <v>35.267406228209246</v>
      </c>
      <c r="BP401" s="106">
        <f t="shared" ca="1" si="887"/>
        <v>59.59092771151137</v>
      </c>
      <c r="BQ401" s="106">
        <f t="shared" ca="1" si="887"/>
        <v>30.153509192452066</v>
      </c>
      <c r="BR401" s="106">
        <f t="shared" ca="1" si="887"/>
        <v>57.552603482261119</v>
      </c>
      <c r="BS401" s="103">
        <f t="shared" ca="1" si="887"/>
        <v>182.56444661443356</v>
      </c>
      <c r="BT401" s="103">
        <f t="shared" ca="1" si="887"/>
        <v>199.28336398128556</v>
      </c>
      <c r="BU401" s="103">
        <f t="shared" ca="1" si="887"/>
        <v>217.55953222431137</v>
      </c>
      <c r="BV401" s="103">
        <f t="shared" ca="1" si="887"/>
        <v>242.88652114664029</v>
      </c>
      <c r="BW401" s="83"/>
    </row>
    <row r="402" spans="1:75" ht="15.75" customHeight="1" x14ac:dyDescent="0.2">
      <c r="A402" s="333"/>
      <c r="B402" s="333"/>
      <c r="C402" s="334"/>
      <c r="D402" s="334"/>
      <c r="E402" s="334"/>
      <c r="F402" s="334"/>
      <c r="G402" s="335"/>
      <c r="H402" s="335"/>
      <c r="I402" s="335"/>
      <c r="J402" s="335"/>
      <c r="K402" s="334"/>
      <c r="L402" s="335"/>
      <c r="M402" s="335"/>
      <c r="N402" s="335"/>
      <c r="O402" s="335"/>
      <c r="P402" s="334"/>
      <c r="Q402" s="335"/>
      <c r="R402" s="335"/>
      <c r="S402" s="335"/>
      <c r="T402" s="335"/>
      <c r="U402" s="334"/>
      <c r="V402" s="335"/>
      <c r="W402" s="335"/>
      <c r="X402" s="335"/>
      <c r="Y402" s="335"/>
      <c r="Z402" s="334"/>
      <c r="AA402" s="335"/>
      <c r="AB402" s="335"/>
      <c r="AC402" s="335"/>
      <c r="AD402" s="335"/>
      <c r="AE402" s="334"/>
      <c r="AF402" s="335"/>
      <c r="AG402" s="335"/>
      <c r="AH402" s="335"/>
      <c r="AI402" s="335"/>
      <c r="AJ402" s="334"/>
      <c r="AK402" s="335"/>
      <c r="AL402" s="335"/>
      <c r="AM402" s="335"/>
      <c r="AN402" s="335"/>
      <c r="AO402" s="334"/>
      <c r="AP402" s="335"/>
      <c r="AQ402" s="335"/>
      <c r="AR402" s="335"/>
      <c r="AS402" s="335"/>
      <c r="AT402" s="334"/>
      <c r="AU402" s="335"/>
      <c r="AV402" s="335"/>
      <c r="AW402" s="335"/>
      <c r="AX402" s="335"/>
      <c r="AY402" s="334"/>
      <c r="AZ402" s="335"/>
      <c r="BA402" s="335"/>
      <c r="BB402" s="335"/>
      <c r="BC402" s="335"/>
      <c r="BD402" s="334"/>
      <c r="BE402" s="335"/>
      <c r="BF402" s="335"/>
      <c r="BG402" s="335"/>
      <c r="BH402" s="335"/>
      <c r="BI402" s="339"/>
      <c r="BJ402" s="335"/>
      <c r="BK402" s="335"/>
      <c r="BL402" s="335"/>
      <c r="BM402" s="335"/>
      <c r="BN402" s="334"/>
      <c r="BO402" s="335"/>
      <c r="BP402" s="335"/>
      <c r="BQ402" s="335"/>
      <c r="BR402" s="335"/>
      <c r="BS402" s="334"/>
      <c r="BT402" s="334"/>
      <c r="BU402" s="334"/>
      <c r="BV402" s="334"/>
      <c r="BW402" s="345"/>
    </row>
    <row r="403" spans="1:75" ht="15.75" customHeight="1" x14ac:dyDescent="0.2">
      <c r="A403" s="85" t="s">
        <v>234</v>
      </c>
      <c r="B403" s="85"/>
      <c r="C403" s="86">
        <f t="shared" ref="C403:BI403" si="888">C351-C404</f>
        <v>13.272</v>
      </c>
      <c r="D403" s="86">
        <f t="shared" si="888"/>
        <v>33.463000000000001</v>
      </c>
      <c r="E403" s="86">
        <f t="shared" si="888"/>
        <v>25.516000000000002</v>
      </c>
      <c r="F403" s="86">
        <f t="shared" si="888"/>
        <v>48.308999999999997</v>
      </c>
      <c r="G403" s="2">
        <f t="shared" si="888"/>
        <v>7.907</v>
      </c>
      <c r="H403" s="2">
        <f t="shared" si="888"/>
        <v>8.8760000000000012</v>
      </c>
      <c r="I403" s="2">
        <f t="shared" si="888"/>
        <v>8.8919999999999995</v>
      </c>
      <c r="J403" s="2">
        <f t="shared" si="888"/>
        <v>11.786</v>
      </c>
      <c r="K403" s="86">
        <f t="shared" si="888"/>
        <v>37.460999999999999</v>
      </c>
      <c r="L403" s="2">
        <f t="shared" si="888"/>
        <v>8.3529999999999998</v>
      </c>
      <c r="M403" s="2">
        <f t="shared" si="888"/>
        <v>12.099</v>
      </c>
      <c r="N403" s="2">
        <f t="shared" si="888"/>
        <v>9.5559999999999992</v>
      </c>
      <c r="O403" s="2">
        <f t="shared" si="888"/>
        <v>7.0560000000000009</v>
      </c>
      <c r="P403" s="86">
        <f t="shared" si="888"/>
        <v>37.064</v>
      </c>
      <c r="Q403" s="2">
        <f t="shared" si="888"/>
        <v>9.5210000000000008</v>
      </c>
      <c r="R403" s="2">
        <f t="shared" si="888"/>
        <v>13.666</v>
      </c>
      <c r="S403" s="2">
        <f t="shared" si="888"/>
        <v>9.2170000000000005</v>
      </c>
      <c r="T403" s="2">
        <f t="shared" si="888"/>
        <v>9.2409999999999997</v>
      </c>
      <c r="U403" s="86">
        <f t="shared" si="888"/>
        <v>41.645000000000003</v>
      </c>
      <c r="V403" s="2">
        <f t="shared" si="888"/>
        <v>9.1750000000000007</v>
      </c>
      <c r="W403" s="2">
        <f t="shared" si="888"/>
        <v>16.372</v>
      </c>
      <c r="X403" s="2">
        <f t="shared" si="888"/>
        <v>13.661000000000001</v>
      </c>
      <c r="Y403" s="2">
        <f t="shared" si="888"/>
        <v>14.071000000000002</v>
      </c>
      <c r="Z403" s="86">
        <f t="shared" si="888"/>
        <v>53.279000000000003</v>
      </c>
      <c r="AA403" s="2">
        <f t="shared" si="888"/>
        <v>4.0780000000000003</v>
      </c>
      <c r="AB403" s="2">
        <f t="shared" si="888"/>
        <v>11.404</v>
      </c>
      <c r="AC403" s="2">
        <f t="shared" si="888"/>
        <v>7.3970000000000002</v>
      </c>
      <c r="AD403" s="2">
        <f t="shared" si="888"/>
        <v>-8.6250000000000036</v>
      </c>
      <c r="AE403" s="86">
        <f t="shared" si="888"/>
        <v>14.254</v>
      </c>
      <c r="AF403" s="2">
        <f t="shared" si="888"/>
        <v>2.859</v>
      </c>
      <c r="AG403" s="2">
        <f t="shared" si="888"/>
        <v>3.6339999999999999</v>
      </c>
      <c r="AH403" s="2">
        <f t="shared" si="888"/>
        <v>1.619</v>
      </c>
      <c r="AI403" s="2">
        <f t="shared" si="888"/>
        <v>5.774</v>
      </c>
      <c r="AJ403" s="86">
        <f t="shared" si="888"/>
        <v>13.885999999999999</v>
      </c>
      <c r="AK403" s="2">
        <f t="shared" si="888"/>
        <v>-7.6000000000000068E-2</v>
      </c>
      <c r="AL403" s="2">
        <f t="shared" si="888"/>
        <v>7.0010000000000003</v>
      </c>
      <c r="AM403" s="2">
        <f t="shared" si="888"/>
        <v>0.88600000000000001</v>
      </c>
      <c r="AN403" s="2">
        <f t="shared" si="888"/>
        <v>7.4269999999999996</v>
      </c>
      <c r="AO403" s="86">
        <f t="shared" si="888"/>
        <v>15.238</v>
      </c>
      <c r="AP403" s="2">
        <f t="shared" si="888"/>
        <v>-44.181999999999995</v>
      </c>
      <c r="AQ403" s="2">
        <f t="shared" si="888"/>
        <v>-29.794999999999998</v>
      </c>
      <c r="AR403" s="2">
        <f t="shared" si="888"/>
        <v>32.358999999999995</v>
      </c>
      <c r="AS403" s="2">
        <f t="shared" si="888"/>
        <v>6.1749999999999829</v>
      </c>
      <c r="AT403" s="86">
        <f t="shared" si="888"/>
        <v>-35.443000000000012</v>
      </c>
      <c r="AU403" s="2">
        <f t="shared" si="888"/>
        <v>3.79</v>
      </c>
      <c r="AV403" s="2">
        <f t="shared" si="888"/>
        <v>4.0839999999999996</v>
      </c>
      <c r="AW403" s="2">
        <f t="shared" si="888"/>
        <v>-0.76499999999999968</v>
      </c>
      <c r="AX403" s="2">
        <f t="shared" si="888"/>
        <v>12.987</v>
      </c>
      <c r="AY403" s="86">
        <f t="shared" si="888"/>
        <v>20.096</v>
      </c>
      <c r="AZ403" s="2">
        <f t="shared" si="888"/>
        <v>-0.17200000000000015</v>
      </c>
      <c r="BA403" s="2">
        <f t="shared" si="888"/>
        <v>4.7460000000000004</v>
      </c>
      <c r="BB403" s="2">
        <f t="shared" si="888"/>
        <v>1.7899999999999998</v>
      </c>
      <c r="BC403" s="2">
        <f t="shared" si="888"/>
        <v>2.0510000000000019</v>
      </c>
      <c r="BD403" s="86">
        <f t="shared" si="888"/>
        <v>8.4150000000000009</v>
      </c>
      <c r="BE403" s="2">
        <f t="shared" si="888"/>
        <v>0.80399999999999983</v>
      </c>
      <c r="BF403" s="2">
        <f t="shared" si="888"/>
        <v>3.3570000000000002</v>
      </c>
      <c r="BG403" s="2">
        <f t="shared" si="888"/>
        <v>-8.6000000000000076E-2</v>
      </c>
      <c r="BH403" s="2">
        <f t="shared" si="888"/>
        <v>10.303000000000001</v>
      </c>
      <c r="BI403" s="90">
        <f t="shared" si="888"/>
        <v>14.378</v>
      </c>
      <c r="BJ403" s="2">
        <f t="shared" ref="BJ403:BM404" si="889">BJ416*BJ$401</f>
        <v>5.2603353804332551</v>
      </c>
      <c r="BK403" s="2">
        <f t="shared" ca="1" si="889"/>
        <v>8.7232871568638792</v>
      </c>
      <c r="BL403" s="2">
        <f t="shared" ca="1" si="889"/>
        <v>3.8981317467439034</v>
      </c>
      <c r="BM403" s="2">
        <f t="shared" ca="1" si="889"/>
        <v>7.778473842394078</v>
      </c>
      <c r="BN403" s="86">
        <f t="shared" ref="BN403:BN404" ca="1" si="890">SUM(BJ403,BK403,BL403,BM403)</f>
        <v>25.660228126435115</v>
      </c>
      <c r="BO403" s="2">
        <f t="shared" ref="BO403:BR404" ca="1" si="891">BO416*BO$401</f>
        <v>5.2901109342313868</v>
      </c>
      <c r="BP403" s="2">
        <f t="shared" ca="1" si="891"/>
        <v>8.9386391567267047</v>
      </c>
      <c r="BQ403" s="2">
        <f t="shared" ca="1" si="891"/>
        <v>4.5230263788678098</v>
      </c>
      <c r="BR403" s="2">
        <f t="shared" ca="1" si="891"/>
        <v>8.6328905223391672</v>
      </c>
      <c r="BS403" s="86">
        <f t="shared" ref="BS403:BS404" ca="1" si="892">SUM(BO403,BP403,BQ403,BR403)</f>
        <v>27.384666992165066</v>
      </c>
      <c r="BT403" s="86">
        <f t="shared" ref="BT403:BV403" ca="1" si="893">BT416*BT401</f>
        <v>29.892504597192833</v>
      </c>
      <c r="BU403" s="86">
        <f t="shared" ca="1" si="893"/>
        <v>32.633929833646704</v>
      </c>
      <c r="BV403" s="86">
        <f t="shared" ca="1" si="893"/>
        <v>36.432978171996041</v>
      </c>
      <c r="BW403" s="4"/>
    </row>
    <row r="404" spans="1:75" ht="15.75" customHeight="1" x14ac:dyDescent="0.2">
      <c r="A404" s="92" t="s">
        <v>714</v>
      </c>
      <c r="B404" s="92"/>
      <c r="C404" s="93">
        <f t="shared" ref="C404:AX404" si="894">C638</f>
        <v>-4.798</v>
      </c>
      <c r="D404" s="93">
        <f t="shared" si="894"/>
        <v>-4.0869999999999997</v>
      </c>
      <c r="E404" s="93">
        <f t="shared" si="894"/>
        <v>7.907</v>
      </c>
      <c r="F404" s="93">
        <f t="shared" si="894"/>
        <v>-12.757999999999999</v>
      </c>
      <c r="G404" s="94">
        <f t="shared" si="894"/>
        <v>2.278</v>
      </c>
      <c r="H404" s="94">
        <f t="shared" si="894"/>
        <v>2.44</v>
      </c>
      <c r="I404" s="94">
        <f t="shared" si="894"/>
        <v>1.5309999999999997</v>
      </c>
      <c r="J404" s="94">
        <f t="shared" si="894"/>
        <v>-1.6159999999999997</v>
      </c>
      <c r="K404" s="93">
        <f t="shared" si="894"/>
        <v>4.633</v>
      </c>
      <c r="L404" s="94">
        <f t="shared" si="894"/>
        <v>0.81100000000000005</v>
      </c>
      <c r="M404" s="94">
        <f t="shared" si="894"/>
        <v>-1.0010000000000001</v>
      </c>
      <c r="N404" s="94">
        <f t="shared" si="894"/>
        <v>-0.9850000000000001</v>
      </c>
      <c r="O404" s="94">
        <f t="shared" si="894"/>
        <v>1.379</v>
      </c>
      <c r="P404" s="93">
        <f t="shared" si="894"/>
        <v>0.20399999999999999</v>
      </c>
      <c r="Q404" s="94">
        <f t="shared" si="894"/>
        <v>1.2150000000000001</v>
      </c>
      <c r="R404" s="94">
        <f t="shared" si="894"/>
        <v>-6.9000000000000172E-2</v>
      </c>
      <c r="S404" s="94">
        <f t="shared" si="894"/>
        <v>-0.47099999999999986</v>
      </c>
      <c r="T404" s="94">
        <f t="shared" si="894"/>
        <v>0.5089999999999999</v>
      </c>
      <c r="U404" s="93">
        <f t="shared" si="894"/>
        <v>1.1839999999999999</v>
      </c>
      <c r="V404" s="94">
        <f t="shared" si="894"/>
        <v>3.161</v>
      </c>
      <c r="W404" s="94">
        <f t="shared" si="894"/>
        <v>-1.948</v>
      </c>
      <c r="X404" s="94">
        <f t="shared" si="894"/>
        <v>-0.64900000000000013</v>
      </c>
      <c r="Y404" s="94">
        <f t="shared" si="894"/>
        <v>-1.569</v>
      </c>
      <c r="Z404" s="93">
        <f t="shared" si="894"/>
        <v>-1.0049999999999999</v>
      </c>
      <c r="AA404" s="94">
        <f t="shared" si="894"/>
        <v>3.1859999999999999</v>
      </c>
      <c r="AB404" s="94">
        <f t="shared" si="894"/>
        <v>-0.92200000000000015</v>
      </c>
      <c r="AC404" s="94">
        <f t="shared" si="894"/>
        <v>-1.1249999999999998</v>
      </c>
      <c r="AD404" s="94">
        <f t="shared" si="894"/>
        <v>-26.318999999999999</v>
      </c>
      <c r="AE404" s="93">
        <f t="shared" si="894"/>
        <v>-25.18</v>
      </c>
      <c r="AF404" s="94">
        <f t="shared" si="894"/>
        <v>1.157</v>
      </c>
      <c r="AG404" s="94">
        <f t="shared" si="894"/>
        <v>-0.35199999999999998</v>
      </c>
      <c r="AH404" s="94">
        <f t="shared" si="894"/>
        <v>0.11099999999999999</v>
      </c>
      <c r="AI404" s="94">
        <f t="shared" si="894"/>
        <v>-6.4260000000000002</v>
      </c>
      <c r="AJ404" s="93">
        <f t="shared" si="894"/>
        <v>-5.51</v>
      </c>
      <c r="AK404" s="94">
        <f t="shared" si="894"/>
        <v>1.792</v>
      </c>
      <c r="AL404" s="94">
        <f t="shared" si="894"/>
        <v>-4.0810000000000004</v>
      </c>
      <c r="AM404" s="94">
        <f t="shared" si="894"/>
        <v>-0.35099999999999998</v>
      </c>
      <c r="AN404" s="94">
        <f t="shared" si="894"/>
        <v>0.44300000000000006</v>
      </c>
      <c r="AO404" s="93">
        <f t="shared" si="894"/>
        <v>-2.1970000000000001</v>
      </c>
      <c r="AP404" s="94">
        <f t="shared" si="894"/>
        <v>-11.231</v>
      </c>
      <c r="AQ404" s="94">
        <f t="shared" si="894"/>
        <v>5.7999999999999829E-2</v>
      </c>
      <c r="AR404" s="94">
        <f t="shared" si="894"/>
        <v>-41.805999999999997</v>
      </c>
      <c r="AS404" s="94">
        <f t="shared" si="894"/>
        <v>-14.248999999999995</v>
      </c>
      <c r="AT404" s="93">
        <f t="shared" si="894"/>
        <v>-67.227999999999994</v>
      </c>
      <c r="AU404" s="94">
        <f t="shared" si="894"/>
        <v>-1.508</v>
      </c>
      <c r="AV404" s="94">
        <f t="shared" si="894"/>
        <v>-1.387</v>
      </c>
      <c r="AW404" s="94">
        <f t="shared" si="894"/>
        <v>-2.3320000000000003</v>
      </c>
      <c r="AX404" s="94">
        <f t="shared" si="894"/>
        <v>-15.622</v>
      </c>
      <c r="AY404" s="93">
        <f>SUM(AU404,AV404,AW404,AX404)</f>
        <v>-20.849</v>
      </c>
      <c r="AZ404" s="94">
        <f t="shared" ref="AZ404:BI404" si="895">AZ638</f>
        <v>3.8690000000000002</v>
      </c>
      <c r="BA404" s="94">
        <f t="shared" si="895"/>
        <v>-3.5900000000000003</v>
      </c>
      <c r="BB404" s="94">
        <f t="shared" si="895"/>
        <v>-2.9119999999999999</v>
      </c>
      <c r="BC404" s="94">
        <f t="shared" si="895"/>
        <v>-16.013000000000002</v>
      </c>
      <c r="BD404" s="93">
        <f t="shared" si="895"/>
        <v>-18.646000000000001</v>
      </c>
      <c r="BE404" s="94">
        <f t="shared" si="895"/>
        <v>3.1920000000000002</v>
      </c>
      <c r="BF404" s="94">
        <f t="shared" si="895"/>
        <v>-0.72300000000000031</v>
      </c>
      <c r="BG404" s="94">
        <f t="shared" si="895"/>
        <v>-0.85599999999999987</v>
      </c>
      <c r="BH404" s="94">
        <f t="shared" si="895"/>
        <v>-17.327999999999999</v>
      </c>
      <c r="BI404" s="97">
        <f t="shared" si="895"/>
        <v>-15.715</v>
      </c>
      <c r="BJ404" s="94">
        <f t="shared" si="889"/>
        <v>0.35068902536221702</v>
      </c>
      <c r="BK404" s="94">
        <f t="shared" ca="1" si="889"/>
        <v>1.7446574313727758</v>
      </c>
      <c r="BL404" s="94">
        <f t="shared" ca="1" si="889"/>
        <v>0.51975089956585374</v>
      </c>
      <c r="BM404" s="94">
        <f t="shared" ca="1" si="889"/>
        <v>1.5556947684788156</v>
      </c>
      <c r="BN404" s="93">
        <f t="shared" ca="1" si="890"/>
        <v>4.1707921247796627</v>
      </c>
      <c r="BO404" s="94">
        <f t="shared" ca="1" si="891"/>
        <v>0.35267406228209247</v>
      </c>
      <c r="BP404" s="94">
        <f t="shared" ca="1" si="891"/>
        <v>1.7877278313453411</v>
      </c>
      <c r="BQ404" s="94">
        <f t="shared" ca="1" si="891"/>
        <v>0.60307018384904132</v>
      </c>
      <c r="BR404" s="94">
        <f t="shared" ca="1" si="891"/>
        <v>1.7265781044678334</v>
      </c>
      <c r="BS404" s="93">
        <f t="shared" ca="1" si="892"/>
        <v>4.4700501819443081</v>
      </c>
      <c r="BT404" s="93">
        <f t="shared" ref="BT404:BV404" ca="1" si="896">BT417*BT401</f>
        <v>5.9785009194385665</v>
      </c>
      <c r="BU404" s="93">
        <f t="shared" ca="1" si="896"/>
        <v>6.5267859667293404</v>
      </c>
      <c r="BV404" s="93">
        <f t="shared" ca="1" si="896"/>
        <v>7.2865956343992089</v>
      </c>
      <c r="BW404" s="4"/>
    </row>
    <row r="405" spans="1:75" ht="15.75" customHeight="1" x14ac:dyDescent="0.2">
      <c r="A405" s="102" t="s">
        <v>715</v>
      </c>
      <c r="B405" s="102"/>
      <c r="C405" s="103">
        <f t="shared" ref="C405:BV405" si="897">C401-SUM(C403:C404)</f>
        <v>42.832999999999956</v>
      </c>
      <c r="D405" s="103">
        <f>D401-SUM(D403:D404)</f>
        <v>81.712999999999795</v>
      </c>
      <c r="E405" s="103">
        <f t="shared" si="897"/>
        <v>95.72</v>
      </c>
      <c r="F405" s="103">
        <f t="shared" si="897"/>
        <v>98.423000000000101</v>
      </c>
      <c r="G405" s="106">
        <f t="shared" si="897"/>
        <v>25.291999999999945</v>
      </c>
      <c r="H405" s="106">
        <f t="shared" si="897"/>
        <v>28.582999999999998</v>
      </c>
      <c r="I405" s="106">
        <f t="shared" si="897"/>
        <v>27.480999999999991</v>
      </c>
      <c r="J405" s="106">
        <f t="shared" si="897"/>
        <v>33.000000000000043</v>
      </c>
      <c r="K405" s="103">
        <f t="shared" si="897"/>
        <v>114.35600000000022</v>
      </c>
      <c r="L405" s="106">
        <f t="shared" si="897"/>
        <v>22.517999999999994</v>
      </c>
      <c r="M405" s="106">
        <f t="shared" si="897"/>
        <v>30.049000000000028</v>
      </c>
      <c r="N405" s="106">
        <f t="shared" si="897"/>
        <v>24.222999999999907</v>
      </c>
      <c r="O405" s="106">
        <f t="shared" si="897"/>
        <v>24.485999999999976</v>
      </c>
      <c r="P405" s="103">
        <f t="shared" si="897"/>
        <v>101.27600000000012</v>
      </c>
      <c r="Q405" s="106">
        <f t="shared" si="897"/>
        <v>28.422999999999934</v>
      </c>
      <c r="R405" s="106">
        <f t="shared" si="897"/>
        <v>34.723999999999918</v>
      </c>
      <c r="S405" s="106">
        <f t="shared" si="897"/>
        <v>26.175999999999952</v>
      </c>
      <c r="T405" s="106">
        <f t="shared" si="897"/>
        <v>27.199999999999989</v>
      </c>
      <c r="U405" s="103">
        <f t="shared" si="897"/>
        <v>116.52299999999974</v>
      </c>
      <c r="V405" s="106">
        <f t="shared" si="897"/>
        <v>33.954000000000057</v>
      </c>
      <c r="W405" s="106">
        <f t="shared" si="897"/>
        <v>38.584999999999958</v>
      </c>
      <c r="X405" s="106">
        <f t="shared" si="897"/>
        <v>34.574000000000012</v>
      </c>
      <c r="Y405" s="106">
        <f t="shared" si="897"/>
        <v>32.380999999999894</v>
      </c>
      <c r="Z405" s="103">
        <f t="shared" si="897"/>
        <v>139.49399999999991</v>
      </c>
      <c r="AA405" s="106">
        <f t="shared" si="897"/>
        <v>35.04300000000007</v>
      </c>
      <c r="AB405" s="106">
        <f t="shared" si="897"/>
        <v>38.165999999999983</v>
      </c>
      <c r="AC405" s="106">
        <f t="shared" si="897"/>
        <v>26.445000000000128</v>
      </c>
      <c r="AD405" s="106">
        <f t="shared" si="897"/>
        <v>57.738000000000056</v>
      </c>
      <c r="AE405" s="103">
        <f t="shared" si="897"/>
        <v>157.39199999999988</v>
      </c>
      <c r="AF405" s="106">
        <f t="shared" si="897"/>
        <v>26.029000000000089</v>
      </c>
      <c r="AG405" s="106">
        <f t="shared" si="897"/>
        <v>28.353000000000044</v>
      </c>
      <c r="AH405" s="106">
        <f t="shared" si="897"/>
        <v>28.474999999999923</v>
      </c>
      <c r="AI405" s="106">
        <f t="shared" si="897"/>
        <v>16.17799999999983</v>
      </c>
      <c r="AJ405" s="103">
        <f t="shared" si="897"/>
        <v>99.034999999999627</v>
      </c>
      <c r="AK405" s="106">
        <f t="shared" si="897"/>
        <v>26.98400000000002</v>
      </c>
      <c r="AL405" s="106">
        <f t="shared" si="897"/>
        <v>35.51</v>
      </c>
      <c r="AM405" s="106">
        <f t="shared" si="897"/>
        <v>16.089999999999989</v>
      </c>
      <c r="AN405" s="106">
        <f t="shared" si="897"/>
        <v>48.709000000000188</v>
      </c>
      <c r="AO405" s="103">
        <f t="shared" si="897"/>
        <v>127.29300000000003</v>
      </c>
      <c r="AP405" s="106">
        <f t="shared" si="897"/>
        <v>-136.16300000000001</v>
      </c>
      <c r="AQ405" s="106">
        <f t="shared" si="897"/>
        <v>-56.538999999999945</v>
      </c>
      <c r="AR405" s="106">
        <f t="shared" si="897"/>
        <v>-28.345999999999947</v>
      </c>
      <c r="AS405" s="106">
        <f t="shared" si="897"/>
        <v>-32.316999999999936</v>
      </c>
      <c r="AT405" s="103">
        <f t="shared" si="897"/>
        <v>-253.36500000000041</v>
      </c>
      <c r="AU405" s="106">
        <f t="shared" si="897"/>
        <v>3.868000000000051</v>
      </c>
      <c r="AV405" s="106">
        <f t="shared" si="897"/>
        <v>33.715000000000131</v>
      </c>
      <c r="AW405" s="106">
        <f t="shared" si="897"/>
        <v>32.679999999999993</v>
      </c>
      <c r="AX405" s="106">
        <f t="shared" si="897"/>
        <v>2.1099999999997028</v>
      </c>
      <c r="AY405" s="103">
        <f t="shared" si="897"/>
        <v>72.372999999999891</v>
      </c>
      <c r="AZ405" s="106">
        <f t="shared" si="897"/>
        <v>23.162999999999993</v>
      </c>
      <c r="BA405" s="106">
        <f t="shared" si="897"/>
        <v>25.655999999999985</v>
      </c>
      <c r="BB405" s="106">
        <f t="shared" si="897"/>
        <v>-2.3979999999999109</v>
      </c>
      <c r="BC405" s="106">
        <f t="shared" si="897"/>
        <v>-3.298000000000517</v>
      </c>
      <c r="BD405" s="103">
        <f t="shared" si="897"/>
        <v>43.12299999999977</v>
      </c>
      <c r="BE405" s="106">
        <f t="shared" si="897"/>
        <v>28.050000000000107</v>
      </c>
      <c r="BF405" s="106">
        <f t="shared" si="897"/>
        <v>42.674999999999876</v>
      </c>
      <c r="BG405" s="106">
        <f t="shared" si="897"/>
        <v>17.944999999999922</v>
      </c>
      <c r="BH405" s="106">
        <f t="shared" si="897"/>
        <v>12.681000000000118</v>
      </c>
      <c r="BI405" s="115">
        <f t="shared" si="897"/>
        <v>101.35100000000027</v>
      </c>
      <c r="BJ405" s="106">
        <f t="shared" si="897"/>
        <v>29.457878130426227</v>
      </c>
      <c r="BK405" s="106">
        <f t="shared" ca="1" si="897"/>
        <v>47.687303124189206</v>
      </c>
      <c r="BL405" s="106">
        <f t="shared" ca="1" si="897"/>
        <v>21.569662331982933</v>
      </c>
      <c r="BM405" s="106">
        <f t="shared" ca="1" si="897"/>
        <v>42.522323671754293</v>
      </c>
      <c r="BN405" s="103">
        <f t="shared" ca="1" si="897"/>
        <v>141.2371672583528</v>
      </c>
      <c r="BO405" s="106">
        <f t="shared" ca="1" si="897"/>
        <v>29.624621231695766</v>
      </c>
      <c r="BP405" s="106">
        <f t="shared" ca="1" si="897"/>
        <v>48.864560723439325</v>
      </c>
      <c r="BQ405" s="106">
        <f t="shared" ca="1" si="897"/>
        <v>25.027412629735217</v>
      </c>
      <c r="BR405" s="106">
        <f t="shared" ca="1" si="897"/>
        <v>47.193134855454119</v>
      </c>
      <c r="BS405" s="103">
        <f t="shared" ca="1" si="897"/>
        <v>150.7097294403242</v>
      </c>
      <c r="BT405" s="103">
        <f t="shared" ca="1" si="897"/>
        <v>163.41235846465418</v>
      </c>
      <c r="BU405" s="103">
        <f t="shared" ca="1" si="897"/>
        <v>178.39881642393533</v>
      </c>
      <c r="BV405" s="103">
        <f t="shared" ca="1" si="897"/>
        <v>199.16694734024503</v>
      </c>
      <c r="BW405" s="83"/>
    </row>
    <row r="406" spans="1:75" ht="15.75" customHeight="1" x14ac:dyDescent="0.2">
      <c r="A406" s="85" t="s">
        <v>716</v>
      </c>
      <c r="B406" s="85"/>
      <c r="C406" s="86"/>
      <c r="D406" s="86"/>
      <c r="E406" s="86"/>
      <c r="F406" s="86"/>
      <c r="G406" s="2"/>
      <c r="H406" s="2"/>
      <c r="I406" s="2"/>
      <c r="J406" s="2"/>
      <c r="K406" s="86"/>
      <c r="L406" s="2"/>
      <c r="M406" s="2"/>
      <c r="N406" s="2"/>
      <c r="O406" s="2"/>
      <c r="P406" s="86"/>
      <c r="Q406" s="2"/>
      <c r="R406" s="2"/>
      <c r="S406" s="2"/>
      <c r="T406" s="2"/>
      <c r="U406" s="86"/>
      <c r="V406" s="2"/>
      <c r="W406" s="2"/>
      <c r="X406" s="2"/>
      <c r="Y406" s="2"/>
      <c r="Z406" s="86"/>
      <c r="AA406" s="2"/>
      <c r="AB406" s="2"/>
      <c r="AC406" s="2"/>
      <c r="AD406" s="2"/>
      <c r="AE406" s="86"/>
      <c r="AF406" s="2"/>
      <c r="AG406" s="2"/>
      <c r="AH406" s="2"/>
      <c r="AI406" s="2"/>
      <c r="AJ406" s="86"/>
      <c r="AK406" s="2"/>
      <c r="AL406" s="2"/>
      <c r="AM406" s="2"/>
      <c r="AN406" s="2"/>
      <c r="AO406" s="86"/>
      <c r="AP406" s="2"/>
      <c r="AQ406" s="2"/>
      <c r="AR406" s="2"/>
      <c r="AS406" s="2"/>
      <c r="AT406" s="86"/>
      <c r="AU406" s="2"/>
      <c r="AV406" s="2"/>
      <c r="AW406" s="2"/>
      <c r="AX406" s="2"/>
      <c r="AY406" s="86"/>
      <c r="AZ406" s="2"/>
      <c r="BA406" s="2"/>
      <c r="BB406" s="2"/>
      <c r="BC406" s="2"/>
      <c r="BD406" s="86"/>
      <c r="BE406" s="2"/>
      <c r="BF406" s="2"/>
      <c r="BG406" s="2"/>
      <c r="BH406" s="2"/>
      <c r="BI406" s="90"/>
      <c r="BJ406" s="88">
        <v>0</v>
      </c>
      <c r="BK406" s="88">
        <v>0</v>
      </c>
      <c r="BL406" s="88">
        <v>0</v>
      </c>
      <c r="BM406" s="88">
        <v>0</v>
      </c>
      <c r="BN406" s="86">
        <f t="shared" ref="BN406:BN408" si="898">SUM(BJ406,BK406,BL406,BM406)</f>
        <v>0</v>
      </c>
      <c r="BO406" s="88">
        <v>0</v>
      </c>
      <c r="BP406" s="88">
        <v>0</v>
      </c>
      <c r="BQ406" s="88">
        <v>0</v>
      </c>
      <c r="BR406" s="88">
        <v>0</v>
      </c>
      <c r="BS406" s="86">
        <f t="shared" ref="BS406:BS408" si="899">SUM(BO406,BP406,BQ406,BR406)</f>
        <v>0</v>
      </c>
      <c r="BT406" s="87">
        <v>0</v>
      </c>
      <c r="BU406" s="87">
        <v>0</v>
      </c>
      <c r="BV406" s="87">
        <v>0</v>
      </c>
      <c r="BW406" s="4"/>
    </row>
    <row r="407" spans="1:75" ht="15.75" customHeight="1" x14ac:dyDescent="0.2">
      <c r="A407" s="85" t="s">
        <v>717</v>
      </c>
      <c r="B407" s="85"/>
      <c r="C407" s="86"/>
      <c r="D407" s="86"/>
      <c r="E407" s="86"/>
      <c r="F407" s="86"/>
      <c r="G407" s="2"/>
      <c r="H407" s="2"/>
      <c r="I407" s="2"/>
      <c r="J407" s="2"/>
      <c r="K407" s="86"/>
      <c r="L407" s="2"/>
      <c r="M407" s="2"/>
      <c r="N407" s="2"/>
      <c r="O407" s="2"/>
      <c r="P407" s="86"/>
      <c r="Q407" s="2"/>
      <c r="R407" s="2"/>
      <c r="S407" s="2"/>
      <c r="T407" s="2"/>
      <c r="U407" s="86"/>
      <c r="V407" s="2"/>
      <c r="W407" s="2"/>
      <c r="X407" s="2"/>
      <c r="Y407" s="2"/>
      <c r="Z407" s="86"/>
      <c r="AA407" s="2"/>
      <c r="AB407" s="2"/>
      <c r="AC407" s="2"/>
      <c r="AD407" s="2"/>
      <c r="AE407" s="86"/>
      <c r="AF407" s="2"/>
      <c r="AG407" s="2"/>
      <c r="AH407" s="2"/>
      <c r="AI407" s="2"/>
      <c r="AJ407" s="86"/>
      <c r="AK407" s="2"/>
      <c r="AL407" s="2"/>
      <c r="AM407" s="2"/>
      <c r="AN407" s="2"/>
      <c r="AO407" s="86"/>
      <c r="AP407" s="2"/>
      <c r="AQ407" s="2"/>
      <c r="AR407" s="2"/>
      <c r="AS407" s="2"/>
      <c r="AT407" s="86"/>
      <c r="AU407" s="2"/>
      <c r="AV407" s="2"/>
      <c r="AW407" s="2"/>
      <c r="AX407" s="2"/>
      <c r="AY407" s="86"/>
      <c r="AZ407" s="2"/>
      <c r="BA407" s="2"/>
      <c r="BB407" s="2"/>
      <c r="BC407" s="2"/>
      <c r="BD407" s="86"/>
      <c r="BE407" s="2"/>
      <c r="BF407" s="2"/>
      <c r="BG407" s="2"/>
      <c r="BH407" s="2"/>
      <c r="BI407" s="90"/>
      <c r="BJ407" s="88">
        <v>0</v>
      </c>
      <c r="BK407" s="88">
        <v>0</v>
      </c>
      <c r="BL407" s="88">
        <v>0</v>
      </c>
      <c r="BM407" s="88">
        <v>0</v>
      </c>
      <c r="BN407" s="86">
        <f t="shared" si="898"/>
        <v>0</v>
      </c>
      <c r="BO407" s="88">
        <v>0</v>
      </c>
      <c r="BP407" s="88">
        <v>0</v>
      </c>
      <c r="BQ407" s="88">
        <v>0</v>
      </c>
      <c r="BR407" s="88">
        <v>0</v>
      </c>
      <c r="BS407" s="86">
        <f t="shared" si="899"/>
        <v>0</v>
      </c>
      <c r="BT407" s="87">
        <v>0</v>
      </c>
      <c r="BU407" s="87">
        <v>0</v>
      </c>
      <c r="BV407" s="87">
        <v>0</v>
      </c>
      <c r="BW407" s="4"/>
    </row>
    <row r="408" spans="1:75" ht="15.75" customHeight="1" x14ac:dyDescent="0.2">
      <c r="A408" s="92" t="s">
        <v>718</v>
      </c>
      <c r="B408" s="92"/>
      <c r="C408" s="93">
        <f t="shared" ref="C408:BI408" si="900">-C353-C354-C355</f>
        <v>0</v>
      </c>
      <c r="D408" s="93">
        <f t="shared" si="900"/>
        <v>0</v>
      </c>
      <c r="E408" s="93">
        <f t="shared" si="900"/>
        <v>0</v>
      </c>
      <c r="F408" s="93">
        <f t="shared" si="900"/>
        <v>0</v>
      </c>
      <c r="G408" s="94">
        <f t="shared" si="900"/>
        <v>0</v>
      </c>
      <c r="H408" s="94">
        <f t="shared" si="900"/>
        <v>0</v>
      </c>
      <c r="I408" s="94">
        <f t="shared" si="900"/>
        <v>0</v>
      </c>
      <c r="J408" s="94">
        <f t="shared" si="900"/>
        <v>0</v>
      </c>
      <c r="K408" s="93">
        <f t="shared" si="900"/>
        <v>0</v>
      </c>
      <c r="L408" s="94">
        <f t="shared" si="900"/>
        <v>0</v>
      </c>
      <c r="M408" s="94">
        <f t="shared" si="900"/>
        <v>0</v>
      </c>
      <c r="N408" s="94">
        <f t="shared" si="900"/>
        <v>0</v>
      </c>
      <c r="O408" s="94">
        <f t="shared" si="900"/>
        <v>0</v>
      </c>
      <c r="P408" s="93">
        <f t="shared" si="900"/>
        <v>0</v>
      </c>
      <c r="Q408" s="94">
        <f t="shared" si="900"/>
        <v>0</v>
      </c>
      <c r="R408" s="94">
        <f t="shared" si="900"/>
        <v>0</v>
      </c>
      <c r="S408" s="94">
        <f t="shared" si="900"/>
        <v>0</v>
      </c>
      <c r="T408" s="94">
        <f t="shared" si="900"/>
        <v>0</v>
      </c>
      <c r="U408" s="93">
        <f t="shared" si="900"/>
        <v>0</v>
      </c>
      <c r="V408" s="94">
        <f t="shared" si="900"/>
        <v>0</v>
      </c>
      <c r="W408" s="94">
        <f t="shared" si="900"/>
        <v>0</v>
      </c>
      <c r="X408" s="94">
        <f t="shared" si="900"/>
        <v>0</v>
      </c>
      <c r="Y408" s="94">
        <f t="shared" si="900"/>
        <v>0</v>
      </c>
      <c r="Z408" s="93">
        <f t="shared" si="900"/>
        <v>0</v>
      </c>
      <c r="AA408" s="94">
        <f t="shared" si="900"/>
        <v>0</v>
      </c>
      <c r="AB408" s="94">
        <f t="shared" si="900"/>
        <v>0</v>
      </c>
      <c r="AC408" s="94">
        <f t="shared" si="900"/>
        <v>0</v>
      </c>
      <c r="AD408" s="94">
        <f t="shared" si="900"/>
        <v>0</v>
      </c>
      <c r="AE408" s="93">
        <f t="shared" si="900"/>
        <v>0</v>
      </c>
      <c r="AF408" s="94">
        <f t="shared" si="900"/>
        <v>0</v>
      </c>
      <c r="AG408" s="94">
        <f t="shared" si="900"/>
        <v>0</v>
      </c>
      <c r="AH408" s="94">
        <f t="shared" si="900"/>
        <v>0</v>
      </c>
      <c r="AI408" s="94">
        <f t="shared" si="900"/>
        <v>0</v>
      </c>
      <c r="AJ408" s="93">
        <f t="shared" si="900"/>
        <v>0</v>
      </c>
      <c r="AK408" s="94">
        <f t="shared" si="900"/>
        <v>0</v>
      </c>
      <c r="AL408" s="94">
        <f t="shared" si="900"/>
        <v>0</v>
      </c>
      <c r="AM408" s="94">
        <f t="shared" si="900"/>
        <v>0</v>
      </c>
      <c r="AN408" s="94">
        <f t="shared" si="900"/>
        <v>0</v>
      </c>
      <c r="AO408" s="93">
        <f t="shared" si="900"/>
        <v>0</v>
      </c>
      <c r="AP408" s="94">
        <f t="shared" si="900"/>
        <v>0</v>
      </c>
      <c r="AQ408" s="94">
        <f t="shared" si="900"/>
        <v>13.951000000000001</v>
      </c>
      <c r="AR408" s="94">
        <f t="shared" si="900"/>
        <v>4.8380000000000001</v>
      </c>
      <c r="AS408" s="94">
        <f t="shared" si="900"/>
        <v>4.9530000000000003</v>
      </c>
      <c r="AT408" s="93">
        <f t="shared" si="900"/>
        <v>23.741999999999997</v>
      </c>
      <c r="AU408" s="94">
        <f t="shared" si="900"/>
        <v>5.07</v>
      </c>
      <c r="AV408" s="94">
        <f t="shared" si="900"/>
        <v>16.641999999999999</v>
      </c>
      <c r="AW408" s="94">
        <f t="shared" si="900"/>
        <v>0</v>
      </c>
      <c r="AX408" s="94">
        <f t="shared" si="900"/>
        <v>0</v>
      </c>
      <c r="AY408" s="93">
        <f t="shared" si="900"/>
        <v>23.242000000000001</v>
      </c>
      <c r="AZ408" s="94">
        <f t="shared" si="900"/>
        <v>0</v>
      </c>
      <c r="BA408" s="94">
        <f t="shared" si="900"/>
        <v>0</v>
      </c>
      <c r="BB408" s="94">
        <f t="shared" si="900"/>
        <v>0</v>
      </c>
      <c r="BC408" s="94">
        <f t="shared" si="900"/>
        <v>0</v>
      </c>
      <c r="BD408" s="93">
        <f t="shared" si="900"/>
        <v>0</v>
      </c>
      <c r="BE408" s="94">
        <f t="shared" si="900"/>
        <v>0</v>
      </c>
      <c r="BF408" s="94">
        <f t="shared" si="900"/>
        <v>0</v>
      </c>
      <c r="BG408" s="94">
        <f t="shared" si="900"/>
        <v>0</v>
      </c>
      <c r="BH408" s="94">
        <f t="shared" si="900"/>
        <v>0</v>
      </c>
      <c r="BI408" s="97">
        <f t="shared" si="900"/>
        <v>0</v>
      </c>
      <c r="BJ408" s="94">
        <f>BJ779*0.095*BJ$3/BN$3</f>
        <v>0</v>
      </c>
      <c r="BK408" s="94">
        <f>BK779*0.095*BK$3/BN$3</f>
        <v>0</v>
      </c>
      <c r="BL408" s="94">
        <f>BL779*0.095*BL$3/BN$3</f>
        <v>0</v>
      </c>
      <c r="BM408" s="94">
        <f>BM779*0.095*BM$3/BN$3</f>
        <v>0</v>
      </c>
      <c r="BN408" s="93">
        <f t="shared" si="898"/>
        <v>0</v>
      </c>
      <c r="BO408" s="94">
        <f>BO779*0.095*BO$3/BS$3</f>
        <v>0</v>
      </c>
      <c r="BP408" s="94">
        <f>BP779*0.095*BP$3/BS$3</f>
        <v>0</v>
      </c>
      <c r="BQ408" s="94">
        <f>BQ779*0.095*BQ$3/BS$3</f>
        <v>0</v>
      </c>
      <c r="BR408" s="94">
        <f>BR779*0.095*BR$3/BS$3</f>
        <v>0</v>
      </c>
      <c r="BS408" s="93">
        <f t="shared" si="899"/>
        <v>0</v>
      </c>
      <c r="BT408" s="93">
        <f t="shared" ref="BT408:BV408" si="901">BT779*0.095</f>
        <v>0</v>
      </c>
      <c r="BU408" s="93">
        <f t="shared" si="901"/>
        <v>0</v>
      </c>
      <c r="BV408" s="93">
        <f t="shared" si="901"/>
        <v>0</v>
      </c>
      <c r="BW408" s="4"/>
    </row>
    <row r="409" spans="1:75" ht="15.75" customHeight="1" x14ac:dyDescent="0.2">
      <c r="A409" s="321" t="s">
        <v>235</v>
      </c>
      <c r="B409" s="321"/>
      <c r="C409" s="322">
        <f t="shared" ref="C409:BV409" si="902">C405-SUM(C406:C408)</f>
        <v>42.832999999999956</v>
      </c>
      <c r="D409" s="322">
        <f t="shared" si="902"/>
        <v>81.712999999999795</v>
      </c>
      <c r="E409" s="322">
        <f t="shared" si="902"/>
        <v>95.72</v>
      </c>
      <c r="F409" s="322">
        <f t="shared" si="902"/>
        <v>98.423000000000101</v>
      </c>
      <c r="G409" s="323">
        <f t="shared" si="902"/>
        <v>25.291999999999945</v>
      </c>
      <c r="H409" s="323">
        <f t="shared" si="902"/>
        <v>28.582999999999998</v>
      </c>
      <c r="I409" s="323">
        <f t="shared" si="902"/>
        <v>27.480999999999991</v>
      </c>
      <c r="J409" s="323">
        <f t="shared" si="902"/>
        <v>33.000000000000043</v>
      </c>
      <c r="K409" s="322">
        <f t="shared" si="902"/>
        <v>114.35600000000022</v>
      </c>
      <c r="L409" s="323">
        <f t="shared" si="902"/>
        <v>22.517999999999994</v>
      </c>
      <c r="M409" s="323">
        <f t="shared" si="902"/>
        <v>30.049000000000028</v>
      </c>
      <c r="N409" s="323">
        <f t="shared" si="902"/>
        <v>24.222999999999907</v>
      </c>
      <c r="O409" s="323">
        <f t="shared" si="902"/>
        <v>24.485999999999976</v>
      </c>
      <c r="P409" s="322">
        <f t="shared" si="902"/>
        <v>101.27600000000012</v>
      </c>
      <c r="Q409" s="323">
        <f t="shared" si="902"/>
        <v>28.422999999999934</v>
      </c>
      <c r="R409" s="323">
        <f t="shared" si="902"/>
        <v>34.723999999999918</v>
      </c>
      <c r="S409" s="323">
        <f t="shared" si="902"/>
        <v>26.175999999999952</v>
      </c>
      <c r="T409" s="323">
        <f t="shared" si="902"/>
        <v>27.199999999999989</v>
      </c>
      <c r="U409" s="322">
        <f t="shared" si="902"/>
        <v>116.52299999999974</v>
      </c>
      <c r="V409" s="323">
        <f t="shared" si="902"/>
        <v>33.954000000000057</v>
      </c>
      <c r="W409" s="323">
        <f t="shared" si="902"/>
        <v>38.584999999999958</v>
      </c>
      <c r="X409" s="323">
        <f t="shared" si="902"/>
        <v>34.574000000000012</v>
      </c>
      <c r="Y409" s="323">
        <f t="shared" si="902"/>
        <v>32.380999999999894</v>
      </c>
      <c r="Z409" s="322">
        <f t="shared" si="902"/>
        <v>139.49399999999991</v>
      </c>
      <c r="AA409" s="323">
        <f t="shared" si="902"/>
        <v>35.04300000000007</v>
      </c>
      <c r="AB409" s="323">
        <f t="shared" si="902"/>
        <v>38.165999999999983</v>
      </c>
      <c r="AC409" s="323">
        <f t="shared" si="902"/>
        <v>26.445000000000128</v>
      </c>
      <c r="AD409" s="323">
        <f t="shared" si="902"/>
        <v>57.738000000000056</v>
      </c>
      <c r="AE409" s="322">
        <f t="shared" si="902"/>
        <v>157.39199999999988</v>
      </c>
      <c r="AF409" s="323">
        <f t="shared" si="902"/>
        <v>26.029000000000089</v>
      </c>
      <c r="AG409" s="323">
        <f t="shared" si="902"/>
        <v>28.353000000000044</v>
      </c>
      <c r="AH409" s="323">
        <f t="shared" si="902"/>
        <v>28.474999999999923</v>
      </c>
      <c r="AI409" s="323">
        <f t="shared" si="902"/>
        <v>16.17799999999983</v>
      </c>
      <c r="AJ409" s="322">
        <f t="shared" si="902"/>
        <v>99.034999999999627</v>
      </c>
      <c r="AK409" s="323">
        <f t="shared" si="902"/>
        <v>26.98400000000002</v>
      </c>
      <c r="AL409" s="323">
        <f t="shared" si="902"/>
        <v>35.51</v>
      </c>
      <c r="AM409" s="323">
        <f t="shared" si="902"/>
        <v>16.089999999999989</v>
      </c>
      <c r="AN409" s="323">
        <f t="shared" si="902"/>
        <v>48.709000000000188</v>
      </c>
      <c r="AO409" s="322">
        <f t="shared" si="902"/>
        <v>127.29300000000003</v>
      </c>
      <c r="AP409" s="323">
        <f t="shared" si="902"/>
        <v>-136.16300000000001</v>
      </c>
      <c r="AQ409" s="323">
        <f t="shared" si="902"/>
        <v>-70.489999999999952</v>
      </c>
      <c r="AR409" s="323">
        <f t="shared" si="902"/>
        <v>-33.183999999999948</v>
      </c>
      <c r="AS409" s="323">
        <f t="shared" si="902"/>
        <v>-37.269999999999939</v>
      </c>
      <c r="AT409" s="322">
        <f t="shared" si="902"/>
        <v>-277.10700000000043</v>
      </c>
      <c r="AU409" s="323">
        <f t="shared" si="902"/>
        <v>-1.2019999999999493</v>
      </c>
      <c r="AV409" s="323">
        <f t="shared" si="902"/>
        <v>17.073000000000132</v>
      </c>
      <c r="AW409" s="323">
        <f t="shared" si="902"/>
        <v>32.679999999999993</v>
      </c>
      <c r="AX409" s="323">
        <f t="shared" si="902"/>
        <v>2.1099999999997028</v>
      </c>
      <c r="AY409" s="322">
        <f t="shared" si="902"/>
        <v>49.130999999999887</v>
      </c>
      <c r="AZ409" s="323">
        <f t="shared" si="902"/>
        <v>23.162999999999993</v>
      </c>
      <c r="BA409" s="323">
        <f t="shared" si="902"/>
        <v>25.655999999999985</v>
      </c>
      <c r="BB409" s="323">
        <f t="shared" si="902"/>
        <v>-2.3979999999999109</v>
      </c>
      <c r="BC409" s="323">
        <f t="shared" si="902"/>
        <v>-3.298000000000517</v>
      </c>
      <c r="BD409" s="322">
        <f t="shared" si="902"/>
        <v>43.12299999999977</v>
      </c>
      <c r="BE409" s="323">
        <f t="shared" si="902"/>
        <v>28.050000000000107</v>
      </c>
      <c r="BF409" s="323">
        <f t="shared" si="902"/>
        <v>42.674999999999876</v>
      </c>
      <c r="BG409" s="323">
        <f t="shared" si="902"/>
        <v>17.944999999999922</v>
      </c>
      <c r="BH409" s="323">
        <f t="shared" si="902"/>
        <v>12.681000000000118</v>
      </c>
      <c r="BI409" s="346">
        <f t="shared" si="902"/>
        <v>101.35100000000027</v>
      </c>
      <c r="BJ409" s="323">
        <f t="shared" si="902"/>
        <v>29.457878130426227</v>
      </c>
      <c r="BK409" s="323">
        <f t="shared" ca="1" si="902"/>
        <v>47.687303124189206</v>
      </c>
      <c r="BL409" s="323">
        <f t="shared" ca="1" si="902"/>
        <v>21.569662331982933</v>
      </c>
      <c r="BM409" s="323">
        <f t="shared" ca="1" si="902"/>
        <v>42.522323671754293</v>
      </c>
      <c r="BN409" s="322">
        <f t="shared" ca="1" si="902"/>
        <v>141.2371672583528</v>
      </c>
      <c r="BO409" s="323">
        <f t="shared" ca="1" si="902"/>
        <v>29.624621231695766</v>
      </c>
      <c r="BP409" s="323">
        <f t="shared" ca="1" si="902"/>
        <v>48.864560723439325</v>
      </c>
      <c r="BQ409" s="323">
        <f t="shared" ca="1" si="902"/>
        <v>25.027412629735217</v>
      </c>
      <c r="BR409" s="323">
        <f t="shared" ca="1" si="902"/>
        <v>47.193134855454119</v>
      </c>
      <c r="BS409" s="322">
        <f t="shared" ca="1" si="902"/>
        <v>150.7097294403242</v>
      </c>
      <c r="BT409" s="322">
        <f t="shared" ca="1" si="902"/>
        <v>163.41235846465418</v>
      </c>
      <c r="BU409" s="322">
        <f t="shared" ca="1" si="902"/>
        <v>178.39881642393533</v>
      </c>
      <c r="BV409" s="322">
        <f t="shared" ca="1" si="902"/>
        <v>199.16694734024503</v>
      </c>
      <c r="BW409" s="83"/>
    </row>
    <row r="410" spans="1:75" ht="15.75" customHeight="1" x14ac:dyDescent="0.2">
      <c r="A410" s="347" t="s">
        <v>719</v>
      </c>
      <c r="B410" s="347"/>
      <c r="C410" s="348"/>
      <c r="D410" s="348"/>
      <c r="E410" s="348"/>
      <c r="F410" s="348"/>
      <c r="G410" s="349"/>
      <c r="H410" s="349"/>
      <c r="I410" s="349"/>
      <c r="J410" s="349"/>
      <c r="K410" s="348"/>
      <c r="L410" s="349"/>
      <c r="M410" s="349"/>
      <c r="N410" s="349"/>
      <c r="O410" s="349"/>
      <c r="P410" s="348"/>
      <c r="Q410" s="349"/>
      <c r="R410" s="349"/>
      <c r="S410" s="349"/>
      <c r="T410" s="349"/>
      <c r="U410" s="348"/>
      <c r="V410" s="349"/>
      <c r="W410" s="349"/>
      <c r="X410" s="349"/>
      <c r="Y410" s="349"/>
      <c r="Z410" s="348"/>
      <c r="AA410" s="349"/>
      <c r="AB410" s="349"/>
      <c r="AC410" s="349"/>
      <c r="AD410" s="349"/>
      <c r="AE410" s="348"/>
      <c r="AF410" s="349"/>
      <c r="AG410" s="349"/>
      <c r="AH410" s="349"/>
      <c r="AI410" s="349"/>
      <c r="AJ410" s="348"/>
      <c r="AK410" s="349"/>
      <c r="AL410" s="349"/>
      <c r="AM410" s="349"/>
      <c r="AN410" s="349"/>
      <c r="AO410" s="348"/>
      <c r="AP410" s="349"/>
      <c r="AQ410" s="349"/>
      <c r="AR410" s="349"/>
      <c r="AS410" s="349"/>
      <c r="AT410" s="348"/>
      <c r="AU410" s="349"/>
      <c r="AV410" s="349"/>
      <c r="AW410" s="349"/>
      <c r="AX410" s="349"/>
      <c r="AY410" s="348"/>
      <c r="AZ410" s="349"/>
      <c r="BA410" s="349"/>
      <c r="BB410" s="349"/>
      <c r="BC410" s="349"/>
      <c r="BD410" s="348"/>
      <c r="BE410" s="349"/>
      <c r="BF410" s="349"/>
      <c r="BG410" s="349"/>
      <c r="BH410" s="349"/>
      <c r="BI410" s="350"/>
      <c r="BJ410" s="351">
        <v>0</v>
      </c>
      <c r="BK410" s="351">
        <v>0</v>
      </c>
      <c r="BL410" s="351">
        <v>0</v>
      </c>
      <c r="BM410" s="351">
        <v>0</v>
      </c>
      <c r="BN410" s="348">
        <f>SUM(BJ410,BK410,BL410,BM410)</f>
        <v>0</v>
      </c>
      <c r="BO410" s="351">
        <v>0</v>
      </c>
      <c r="BP410" s="351">
        <v>0</v>
      </c>
      <c r="BQ410" s="351">
        <v>0</v>
      </c>
      <c r="BR410" s="351">
        <v>0</v>
      </c>
      <c r="BS410" s="348">
        <f>SUM(BO410,BP410,BQ410,BR410)</f>
        <v>0</v>
      </c>
      <c r="BT410" s="352">
        <v>0</v>
      </c>
      <c r="BU410" s="352">
        <v>0</v>
      </c>
      <c r="BV410" s="352">
        <v>0</v>
      </c>
      <c r="BW410" s="4"/>
    </row>
    <row r="411" spans="1:75" ht="15.75" customHeight="1" x14ac:dyDescent="0.2">
      <c r="A411" s="321" t="s">
        <v>720</v>
      </c>
      <c r="B411" s="321"/>
      <c r="C411" s="322">
        <f t="shared" ref="C411:BV411" si="903">C409-C410</f>
        <v>42.832999999999956</v>
      </c>
      <c r="D411" s="322">
        <f t="shared" si="903"/>
        <v>81.712999999999795</v>
      </c>
      <c r="E411" s="322">
        <f t="shared" si="903"/>
        <v>95.72</v>
      </c>
      <c r="F411" s="322">
        <f t="shared" si="903"/>
        <v>98.423000000000101</v>
      </c>
      <c r="G411" s="323">
        <f t="shared" si="903"/>
        <v>25.291999999999945</v>
      </c>
      <c r="H411" s="323">
        <f t="shared" si="903"/>
        <v>28.582999999999998</v>
      </c>
      <c r="I411" s="323">
        <f t="shared" si="903"/>
        <v>27.480999999999991</v>
      </c>
      <c r="J411" s="323">
        <f t="shared" si="903"/>
        <v>33.000000000000043</v>
      </c>
      <c r="K411" s="322">
        <f t="shared" si="903"/>
        <v>114.35600000000022</v>
      </c>
      <c r="L411" s="323">
        <f t="shared" si="903"/>
        <v>22.517999999999994</v>
      </c>
      <c r="M411" s="323">
        <f t="shared" si="903"/>
        <v>30.049000000000028</v>
      </c>
      <c r="N411" s="323">
        <f t="shared" si="903"/>
        <v>24.222999999999907</v>
      </c>
      <c r="O411" s="323">
        <f t="shared" si="903"/>
        <v>24.485999999999976</v>
      </c>
      <c r="P411" s="322">
        <f t="shared" si="903"/>
        <v>101.27600000000012</v>
      </c>
      <c r="Q411" s="323">
        <f t="shared" si="903"/>
        <v>28.422999999999934</v>
      </c>
      <c r="R411" s="323">
        <f t="shared" si="903"/>
        <v>34.723999999999918</v>
      </c>
      <c r="S411" s="323">
        <f t="shared" si="903"/>
        <v>26.175999999999952</v>
      </c>
      <c r="T411" s="323">
        <f t="shared" si="903"/>
        <v>27.199999999999989</v>
      </c>
      <c r="U411" s="322">
        <f t="shared" si="903"/>
        <v>116.52299999999974</v>
      </c>
      <c r="V411" s="323">
        <f t="shared" si="903"/>
        <v>33.954000000000057</v>
      </c>
      <c r="W411" s="323">
        <f t="shared" si="903"/>
        <v>38.584999999999958</v>
      </c>
      <c r="X411" s="323">
        <f t="shared" si="903"/>
        <v>34.574000000000012</v>
      </c>
      <c r="Y411" s="323">
        <f t="shared" si="903"/>
        <v>32.380999999999894</v>
      </c>
      <c r="Z411" s="322">
        <f t="shared" si="903"/>
        <v>139.49399999999991</v>
      </c>
      <c r="AA411" s="323">
        <f t="shared" si="903"/>
        <v>35.04300000000007</v>
      </c>
      <c r="AB411" s="323">
        <f t="shared" si="903"/>
        <v>38.165999999999983</v>
      </c>
      <c r="AC411" s="323">
        <f t="shared" si="903"/>
        <v>26.445000000000128</v>
      </c>
      <c r="AD411" s="323">
        <f t="shared" si="903"/>
        <v>57.738000000000056</v>
      </c>
      <c r="AE411" s="322">
        <f t="shared" si="903"/>
        <v>157.39199999999988</v>
      </c>
      <c r="AF411" s="323">
        <f t="shared" si="903"/>
        <v>26.029000000000089</v>
      </c>
      <c r="AG411" s="323">
        <f t="shared" si="903"/>
        <v>28.353000000000044</v>
      </c>
      <c r="AH411" s="323">
        <f t="shared" si="903"/>
        <v>28.474999999999923</v>
      </c>
      <c r="AI411" s="323">
        <f t="shared" si="903"/>
        <v>16.17799999999983</v>
      </c>
      <c r="AJ411" s="322">
        <f t="shared" si="903"/>
        <v>99.034999999999627</v>
      </c>
      <c r="AK411" s="323">
        <f t="shared" si="903"/>
        <v>26.98400000000002</v>
      </c>
      <c r="AL411" s="323">
        <f t="shared" si="903"/>
        <v>35.51</v>
      </c>
      <c r="AM411" s="323">
        <f t="shared" si="903"/>
        <v>16.089999999999989</v>
      </c>
      <c r="AN411" s="323">
        <f t="shared" si="903"/>
        <v>48.709000000000188</v>
      </c>
      <c r="AO411" s="322">
        <f t="shared" si="903"/>
        <v>127.29300000000003</v>
      </c>
      <c r="AP411" s="323">
        <f t="shared" si="903"/>
        <v>-136.16300000000001</v>
      </c>
      <c r="AQ411" s="323">
        <f t="shared" si="903"/>
        <v>-70.489999999999952</v>
      </c>
      <c r="AR411" s="323">
        <f t="shared" si="903"/>
        <v>-33.183999999999948</v>
      </c>
      <c r="AS411" s="323">
        <f t="shared" si="903"/>
        <v>-37.269999999999939</v>
      </c>
      <c r="AT411" s="322">
        <f t="shared" si="903"/>
        <v>-277.10700000000043</v>
      </c>
      <c r="AU411" s="323">
        <f t="shared" si="903"/>
        <v>-1.2019999999999493</v>
      </c>
      <c r="AV411" s="323">
        <f t="shared" si="903"/>
        <v>17.073000000000132</v>
      </c>
      <c r="AW411" s="323">
        <f t="shared" si="903"/>
        <v>32.679999999999993</v>
      </c>
      <c r="AX411" s="323">
        <f t="shared" si="903"/>
        <v>2.1099999999997028</v>
      </c>
      <c r="AY411" s="322">
        <f t="shared" si="903"/>
        <v>49.130999999999887</v>
      </c>
      <c r="AZ411" s="323">
        <f t="shared" si="903"/>
        <v>23.162999999999993</v>
      </c>
      <c r="BA411" s="323">
        <f t="shared" si="903"/>
        <v>25.655999999999985</v>
      </c>
      <c r="BB411" s="323">
        <f t="shared" si="903"/>
        <v>-2.3979999999999109</v>
      </c>
      <c r="BC411" s="323">
        <f t="shared" si="903"/>
        <v>-3.298000000000517</v>
      </c>
      <c r="BD411" s="322">
        <f t="shared" si="903"/>
        <v>43.12299999999977</v>
      </c>
      <c r="BE411" s="323">
        <f t="shared" si="903"/>
        <v>28.050000000000107</v>
      </c>
      <c r="BF411" s="323">
        <f t="shared" si="903"/>
        <v>42.674999999999876</v>
      </c>
      <c r="BG411" s="323">
        <f t="shared" si="903"/>
        <v>17.944999999999922</v>
      </c>
      <c r="BH411" s="323">
        <f t="shared" si="903"/>
        <v>12.681000000000118</v>
      </c>
      <c r="BI411" s="346">
        <f t="shared" si="903"/>
        <v>101.35100000000027</v>
      </c>
      <c r="BJ411" s="323">
        <f t="shared" si="903"/>
        <v>29.457878130426227</v>
      </c>
      <c r="BK411" s="323">
        <f t="shared" ca="1" si="903"/>
        <v>47.687303124189206</v>
      </c>
      <c r="BL411" s="323">
        <f t="shared" ca="1" si="903"/>
        <v>21.569662331982933</v>
      </c>
      <c r="BM411" s="323">
        <f t="shared" ca="1" si="903"/>
        <v>42.522323671754293</v>
      </c>
      <c r="BN411" s="322">
        <f t="shared" ca="1" si="903"/>
        <v>141.2371672583528</v>
      </c>
      <c r="BO411" s="323">
        <f t="shared" ca="1" si="903"/>
        <v>29.624621231695766</v>
      </c>
      <c r="BP411" s="323">
        <f t="shared" ca="1" si="903"/>
        <v>48.864560723439325</v>
      </c>
      <c r="BQ411" s="323">
        <f t="shared" ca="1" si="903"/>
        <v>25.027412629735217</v>
      </c>
      <c r="BR411" s="323">
        <f t="shared" ca="1" si="903"/>
        <v>47.193134855454119</v>
      </c>
      <c r="BS411" s="322">
        <f t="shared" ca="1" si="903"/>
        <v>150.7097294403242</v>
      </c>
      <c r="BT411" s="322">
        <f t="shared" ca="1" si="903"/>
        <v>163.41235846465418</v>
      </c>
      <c r="BU411" s="322">
        <f t="shared" ca="1" si="903"/>
        <v>178.39881642393533</v>
      </c>
      <c r="BV411" s="322">
        <f t="shared" ca="1" si="903"/>
        <v>199.16694734024503</v>
      </c>
      <c r="BW411" s="83"/>
    </row>
    <row r="412" spans="1:75" ht="15.75" customHeight="1" x14ac:dyDescent="0.2">
      <c r="A412" s="353" t="s">
        <v>721</v>
      </c>
      <c r="B412" s="353"/>
      <c r="C412" s="354">
        <f t="shared" ref="C412:BI412" si="904">-SUM(C362:C376)</f>
        <v>-21.239000000000004</v>
      </c>
      <c r="D412" s="354">
        <f t="shared" si="904"/>
        <v>-4.4249999999999998</v>
      </c>
      <c r="E412" s="354">
        <f t="shared" si="904"/>
        <v>0.57799999999999996</v>
      </c>
      <c r="F412" s="354">
        <f t="shared" si="904"/>
        <v>-5.3030000000000008</v>
      </c>
      <c r="G412" s="355">
        <f t="shared" si="904"/>
        <v>0</v>
      </c>
      <c r="H412" s="355">
        <f t="shared" si="904"/>
        <v>0</v>
      </c>
      <c r="I412" s="355">
        <f t="shared" si="904"/>
        <v>0</v>
      </c>
      <c r="J412" s="355">
        <f t="shared" si="904"/>
        <v>0</v>
      </c>
      <c r="K412" s="354">
        <f t="shared" si="904"/>
        <v>0.33700000000000002</v>
      </c>
      <c r="L412" s="355">
        <f t="shared" si="904"/>
        <v>0</v>
      </c>
      <c r="M412" s="355">
        <f t="shared" si="904"/>
        <v>0</v>
      </c>
      <c r="N412" s="355">
        <f t="shared" si="904"/>
        <v>0</v>
      </c>
      <c r="O412" s="355">
        <f t="shared" si="904"/>
        <v>0</v>
      </c>
      <c r="P412" s="354">
        <f t="shared" si="904"/>
        <v>-0.41799999999999998</v>
      </c>
      <c r="Q412" s="355">
        <f t="shared" si="904"/>
        <v>0</v>
      </c>
      <c r="R412" s="355">
        <f t="shared" si="904"/>
        <v>0</v>
      </c>
      <c r="S412" s="355">
        <f t="shared" si="904"/>
        <v>0</v>
      </c>
      <c r="T412" s="355">
        <f t="shared" si="904"/>
        <v>0</v>
      </c>
      <c r="U412" s="354">
        <f t="shared" si="904"/>
        <v>-3.6070000000000002</v>
      </c>
      <c r="V412" s="355">
        <f t="shared" si="904"/>
        <v>0</v>
      </c>
      <c r="W412" s="355">
        <f t="shared" si="904"/>
        <v>0</v>
      </c>
      <c r="X412" s="355">
        <f t="shared" si="904"/>
        <v>0</v>
      </c>
      <c r="Y412" s="355">
        <f t="shared" si="904"/>
        <v>-6.8000000000000005E-2</v>
      </c>
      <c r="Z412" s="354">
        <f t="shared" si="904"/>
        <v>-6.8000000000000005E-2</v>
      </c>
      <c r="AA412" s="355">
        <f t="shared" si="904"/>
        <v>-0.47199999999999998</v>
      </c>
      <c r="AB412" s="355">
        <f t="shared" si="904"/>
        <v>-0.26700000000000002</v>
      </c>
      <c r="AC412" s="355">
        <f t="shared" si="904"/>
        <v>0</v>
      </c>
      <c r="AD412" s="355">
        <f t="shared" si="904"/>
        <v>33.058</v>
      </c>
      <c r="AE412" s="354">
        <f t="shared" si="904"/>
        <v>32.318999999999996</v>
      </c>
      <c r="AF412" s="355">
        <f t="shared" si="904"/>
        <v>0</v>
      </c>
      <c r="AG412" s="355">
        <f t="shared" si="904"/>
        <v>-1.911</v>
      </c>
      <c r="AH412" s="355">
        <f t="shared" si="904"/>
        <v>-0.19500000000000001</v>
      </c>
      <c r="AI412" s="355">
        <f t="shared" si="904"/>
        <v>-11.111000000000001</v>
      </c>
      <c r="AJ412" s="354">
        <f t="shared" si="904"/>
        <v>-13.217000000000001</v>
      </c>
      <c r="AK412" s="355">
        <f t="shared" si="904"/>
        <v>-1.073</v>
      </c>
      <c r="AL412" s="355">
        <f t="shared" si="904"/>
        <v>-1.2170000000000001</v>
      </c>
      <c r="AM412" s="355">
        <f t="shared" si="904"/>
        <v>-10.016</v>
      </c>
      <c r="AN412" s="355">
        <f t="shared" si="904"/>
        <v>23.170999999999999</v>
      </c>
      <c r="AO412" s="354">
        <f t="shared" si="904"/>
        <v>10.864999999999997</v>
      </c>
      <c r="AP412" s="355">
        <f t="shared" si="904"/>
        <v>-142.04799999999994</v>
      </c>
      <c r="AQ412" s="355">
        <f t="shared" si="904"/>
        <v>-10.556000000000001</v>
      </c>
      <c r="AR412" s="355">
        <f t="shared" si="904"/>
        <v>-10.683999999999999</v>
      </c>
      <c r="AS412" s="355">
        <f t="shared" si="904"/>
        <v>-15.143000000000002</v>
      </c>
      <c r="AT412" s="354">
        <f t="shared" si="904"/>
        <v>-178.43099999999998</v>
      </c>
      <c r="AU412" s="355">
        <f t="shared" si="904"/>
        <v>-6.9559999999999995</v>
      </c>
      <c r="AV412" s="355">
        <f t="shared" si="904"/>
        <v>-10.145999999999999</v>
      </c>
      <c r="AW412" s="355">
        <f t="shared" si="904"/>
        <v>-0.50700000000000012</v>
      </c>
      <c r="AX412" s="355">
        <f t="shared" si="904"/>
        <v>-22.769000000000002</v>
      </c>
      <c r="AY412" s="354">
        <f t="shared" si="904"/>
        <v>-40.380000000000003</v>
      </c>
      <c r="AZ412" s="355">
        <f t="shared" si="904"/>
        <v>-0.81200000000000006</v>
      </c>
      <c r="BA412" s="355">
        <f t="shared" si="904"/>
        <v>-0.77900000000000003</v>
      </c>
      <c r="BB412" s="355">
        <f t="shared" si="904"/>
        <v>-0.79999999999999993</v>
      </c>
      <c r="BC412" s="355">
        <f t="shared" si="904"/>
        <v>-30.727000000000004</v>
      </c>
      <c r="BD412" s="354">
        <f t="shared" si="904"/>
        <v>-33.118000000000002</v>
      </c>
      <c r="BE412" s="355">
        <f t="shared" si="904"/>
        <v>-2.5390000000000001</v>
      </c>
      <c r="BF412" s="355">
        <f t="shared" si="904"/>
        <v>-0.46899999999999986</v>
      </c>
      <c r="BG412" s="355">
        <f t="shared" si="904"/>
        <v>-1.0819999999999999</v>
      </c>
      <c r="BH412" s="355">
        <f t="shared" si="904"/>
        <v>-26.361000000000004</v>
      </c>
      <c r="BI412" s="356">
        <f t="shared" si="904"/>
        <v>-30.451000000000001</v>
      </c>
      <c r="BJ412" s="357">
        <v>-2</v>
      </c>
      <c r="BK412" s="357">
        <v>-2</v>
      </c>
      <c r="BL412" s="357">
        <v>-2</v>
      </c>
      <c r="BM412" s="357">
        <v>-2</v>
      </c>
      <c r="BN412" s="354">
        <f>SUM(BJ412,BK412,BL412,BM412)</f>
        <v>-8</v>
      </c>
      <c r="BO412" s="357">
        <v>-2</v>
      </c>
      <c r="BP412" s="357">
        <v>-2</v>
      </c>
      <c r="BQ412" s="357">
        <v>-2</v>
      </c>
      <c r="BR412" s="357">
        <v>-2</v>
      </c>
      <c r="BS412" s="354">
        <f>SUM(BO412,BP412,BQ412,BR412)</f>
        <v>-8</v>
      </c>
      <c r="BT412" s="358">
        <v>-8</v>
      </c>
      <c r="BU412" s="358">
        <v>-8</v>
      </c>
      <c r="BV412" s="358">
        <v>-8</v>
      </c>
      <c r="BW412" s="4"/>
    </row>
    <row r="413" spans="1:75" ht="15.75" customHeight="1" x14ac:dyDescent="0.2">
      <c r="A413" s="92" t="s">
        <v>722</v>
      </c>
      <c r="B413" s="92"/>
      <c r="C413" s="93"/>
      <c r="D413" s="93"/>
      <c r="E413" s="93"/>
      <c r="F413" s="93"/>
      <c r="G413" s="94"/>
      <c r="H413" s="94"/>
      <c r="I413" s="94"/>
      <c r="J413" s="94"/>
      <c r="K413" s="93"/>
      <c r="L413" s="94"/>
      <c r="M413" s="94"/>
      <c r="N413" s="94"/>
      <c r="O413" s="94"/>
      <c r="P413" s="93"/>
      <c r="Q413" s="94"/>
      <c r="R413" s="94"/>
      <c r="S413" s="94"/>
      <c r="T413" s="94"/>
      <c r="U413" s="93"/>
      <c r="V413" s="94"/>
      <c r="W413" s="94"/>
      <c r="X413" s="94"/>
      <c r="Y413" s="94"/>
      <c r="Z413" s="93"/>
      <c r="AA413" s="94"/>
      <c r="AB413" s="94"/>
      <c r="AC413" s="94"/>
      <c r="AD413" s="94"/>
      <c r="AE413" s="93"/>
      <c r="AF413" s="94"/>
      <c r="AG413" s="94"/>
      <c r="AH413" s="94"/>
      <c r="AI413" s="94"/>
      <c r="AJ413" s="93"/>
      <c r="AK413" s="94"/>
      <c r="AL413" s="94"/>
      <c r="AM413" s="94"/>
      <c r="AN413" s="94"/>
      <c r="AO413" s="93"/>
      <c r="AP413" s="94"/>
      <c r="AQ413" s="94"/>
      <c r="AR413" s="94"/>
      <c r="AS413" s="94"/>
      <c r="AT413" s="93"/>
      <c r="AU413" s="94"/>
      <c r="AV413" s="94"/>
      <c r="AW413" s="94"/>
      <c r="AX413" s="94"/>
      <c r="AY413" s="93"/>
      <c r="AZ413" s="94"/>
      <c r="BA413" s="94"/>
      <c r="BB413" s="94"/>
      <c r="BC413" s="94"/>
      <c r="BD413" s="93"/>
      <c r="BE413" s="94"/>
      <c r="BF413" s="94"/>
      <c r="BG413" s="94"/>
      <c r="BH413" s="94"/>
      <c r="BI413" s="97"/>
      <c r="BJ413" s="94"/>
      <c r="BK413" s="94"/>
      <c r="BL413" s="94"/>
      <c r="BM413" s="94"/>
      <c r="BN413" s="93"/>
      <c r="BO413" s="94"/>
      <c r="BP413" s="94"/>
      <c r="BQ413" s="94"/>
      <c r="BR413" s="94"/>
      <c r="BS413" s="93"/>
      <c r="BT413" s="93"/>
      <c r="BU413" s="93"/>
      <c r="BV413" s="93"/>
      <c r="BW413" s="4"/>
    </row>
    <row r="414" spans="1:75" ht="15.75" customHeight="1" x14ac:dyDescent="0.2">
      <c r="A414" s="321" t="s">
        <v>723</v>
      </c>
      <c r="B414" s="321"/>
      <c r="C414" s="322">
        <f t="shared" ref="C414:BV414" si="905">C409-SUM(C412:C413)+C408</f>
        <v>64.07199999999996</v>
      </c>
      <c r="D414" s="322">
        <f t="shared" si="905"/>
        <v>86.137999999999792</v>
      </c>
      <c r="E414" s="322">
        <f t="shared" si="905"/>
        <v>95.141999999999996</v>
      </c>
      <c r="F414" s="322">
        <f t="shared" si="905"/>
        <v>103.7260000000001</v>
      </c>
      <c r="G414" s="323">
        <f t="shared" si="905"/>
        <v>25.291999999999945</v>
      </c>
      <c r="H414" s="323">
        <f t="shared" si="905"/>
        <v>28.582999999999998</v>
      </c>
      <c r="I414" s="323">
        <f t="shared" si="905"/>
        <v>27.480999999999991</v>
      </c>
      <c r="J414" s="323">
        <f t="shared" si="905"/>
        <v>33.000000000000043</v>
      </c>
      <c r="K414" s="322">
        <f t="shared" si="905"/>
        <v>114.01900000000022</v>
      </c>
      <c r="L414" s="323">
        <f t="shared" si="905"/>
        <v>22.517999999999994</v>
      </c>
      <c r="M414" s="323">
        <f t="shared" si="905"/>
        <v>30.049000000000028</v>
      </c>
      <c r="N414" s="323">
        <f t="shared" si="905"/>
        <v>24.222999999999907</v>
      </c>
      <c r="O414" s="323">
        <f t="shared" si="905"/>
        <v>24.485999999999976</v>
      </c>
      <c r="P414" s="322">
        <f t="shared" si="905"/>
        <v>101.69400000000013</v>
      </c>
      <c r="Q414" s="323">
        <f t="shared" si="905"/>
        <v>28.422999999999934</v>
      </c>
      <c r="R414" s="323">
        <f t="shared" si="905"/>
        <v>34.723999999999918</v>
      </c>
      <c r="S414" s="323">
        <f t="shared" si="905"/>
        <v>26.175999999999952</v>
      </c>
      <c r="T414" s="323">
        <f t="shared" si="905"/>
        <v>27.199999999999989</v>
      </c>
      <c r="U414" s="322">
        <f t="shared" si="905"/>
        <v>120.12999999999974</v>
      </c>
      <c r="V414" s="323">
        <f t="shared" si="905"/>
        <v>33.954000000000057</v>
      </c>
      <c r="W414" s="323">
        <f t="shared" si="905"/>
        <v>38.584999999999958</v>
      </c>
      <c r="X414" s="323">
        <f t="shared" si="905"/>
        <v>34.574000000000012</v>
      </c>
      <c r="Y414" s="323">
        <f t="shared" si="905"/>
        <v>32.448999999999891</v>
      </c>
      <c r="Z414" s="322">
        <f t="shared" si="905"/>
        <v>139.56199999999993</v>
      </c>
      <c r="AA414" s="323">
        <f t="shared" si="905"/>
        <v>35.515000000000072</v>
      </c>
      <c r="AB414" s="323">
        <f t="shared" si="905"/>
        <v>38.432999999999986</v>
      </c>
      <c r="AC414" s="323">
        <f t="shared" si="905"/>
        <v>26.445000000000128</v>
      </c>
      <c r="AD414" s="323">
        <f t="shared" si="905"/>
        <v>24.680000000000057</v>
      </c>
      <c r="AE414" s="322">
        <f t="shared" si="905"/>
        <v>125.07299999999989</v>
      </c>
      <c r="AF414" s="323">
        <f t="shared" si="905"/>
        <v>26.029000000000089</v>
      </c>
      <c r="AG414" s="323">
        <f t="shared" si="905"/>
        <v>30.264000000000046</v>
      </c>
      <c r="AH414" s="323">
        <f t="shared" si="905"/>
        <v>28.669999999999924</v>
      </c>
      <c r="AI414" s="323">
        <f t="shared" si="905"/>
        <v>27.288999999999831</v>
      </c>
      <c r="AJ414" s="322">
        <f t="shared" si="905"/>
        <v>112.25199999999963</v>
      </c>
      <c r="AK414" s="323">
        <f t="shared" si="905"/>
        <v>28.05700000000002</v>
      </c>
      <c r="AL414" s="323">
        <f t="shared" si="905"/>
        <v>36.726999999999997</v>
      </c>
      <c r="AM414" s="323">
        <f t="shared" si="905"/>
        <v>26.105999999999987</v>
      </c>
      <c r="AN414" s="323">
        <f t="shared" si="905"/>
        <v>25.538000000000189</v>
      </c>
      <c r="AO414" s="322">
        <f t="shared" si="905"/>
        <v>116.42800000000004</v>
      </c>
      <c r="AP414" s="323">
        <f t="shared" si="905"/>
        <v>5.8849999999999341</v>
      </c>
      <c r="AQ414" s="323">
        <f t="shared" si="905"/>
        <v>-45.982999999999954</v>
      </c>
      <c r="AR414" s="323">
        <f t="shared" si="905"/>
        <v>-17.661999999999949</v>
      </c>
      <c r="AS414" s="323">
        <f t="shared" si="905"/>
        <v>-17.173999999999939</v>
      </c>
      <c r="AT414" s="322">
        <f t="shared" si="905"/>
        <v>-74.934000000000452</v>
      </c>
      <c r="AU414" s="323">
        <f t="shared" si="905"/>
        <v>10.824000000000051</v>
      </c>
      <c r="AV414" s="323">
        <f t="shared" si="905"/>
        <v>43.861000000000132</v>
      </c>
      <c r="AW414" s="323">
        <f t="shared" si="905"/>
        <v>33.186999999999991</v>
      </c>
      <c r="AX414" s="323">
        <f t="shared" si="905"/>
        <v>24.878999999999706</v>
      </c>
      <c r="AY414" s="322">
        <f t="shared" si="905"/>
        <v>112.75299999999989</v>
      </c>
      <c r="AZ414" s="323">
        <f t="shared" si="905"/>
        <v>23.974999999999994</v>
      </c>
      <c r="BA414" s="323">
        <f t="shared" si="905"/>
        <v>26.434999999999985</v>
      </c>
      <c r="BB414" s="323">
        <f t="shared" si="905"/>
        <v>-1.597999999999911</v>
      </c>
      <c r="BC414" s="323">
        <f t="shared" si="905"/>
        <v>27.428999999999487</v>
      </c>
      <c r="BD414" s="322">
        <f t="shared" si="905"/>
        <v>76.240999999999772</v>
      </c>
      <c r="BE414" s="323">
        <f t="shared" si="905"/>
        <v>30.589000000000109</v>
      </c>
      <c r="BF414" s="323">
        <f t="shared" si="905"/>
        <v>43.143999999999878</v>
      </c>
      <c r="BG414" s="323">
        <f t="shared" si="905"/>
        <v>19.026999999999923</v>
      </c>
      <c r="BH414" s="323">
        <f t="shared" si="905"/>
        <v>39.042000000000122</v>
      </c>
      <c r="BI414" s="346">
        <f t="shared" si="905"/>
        <v>131.80200000000028</v>
      </c>
      <c r="BJ414" s="323">
        <f t="shared" si="905"/>
        <v>31.457878130426227</v>
      </c>
      <c r="BK414" s="323">
        <f t="shared" ca="1" si="905"/>
        <v>49.687303124189206</v>
      </c>
      <c r="BL414" s="323">
        <f t="shared" ca="1" si="905"/>
        <v>23.569662331982933</v>
      </c>
      <c r="BM414" s="323">
        <f t="shared" ca="1" si="905"/>
        <v>44.522323671754293</v>
      </c>
      <c r="BN414" s="322">
        <f t="shared" ca="1" si="905"/>
        <v>149.2371672583528</v>
      </c>
      <c r="BO414" s="323">
        <f t="shared" ca="1" si="905"/>
        <v>31.624621231695766</v>
      </c>
      <c r="BP414" s="323">
        <f t="shared" ca="1" si="905"/>
        <v>50.864560723439325</v>
      </c>
      <c r="BQ414" s="323">
        <f t="shared" ca="1" si="905"/>
        <v>27.027412629735217</v>
      </c>
      <c r="BR414" s="323">
        <f t="shared" ca="1" si="905"/>
        <v>49.193134855454119</v>
      </c>
      <c r="BS414" s="322">
        <f t="shared" ca="1" si="905"/>
        <v>158.7097294403242</v>
      </c>
      <c r="BT414" s="322">
        <f t="shared" ca="1" si="905"/>
        <v>171.41235846465418</v>
      </c>
      <c r="BU414" s="322">
        <f t="shared" ca="1" si="905"/>
        <v>186.39881642393533</v>
      </c>
      <c r="BV414" s="322">
        <f t="shared" ca="1" si="905"/>
        <v>207.16694734024503</v>
      </c>
      <c r="BW414" s="83"/>
    </row>
    <row r="415" spans="1:75" ht="15.75" customHeight="1" x14ac:dyDescent="0.2">
      <c r="A415" s="359"/>
      <c r="B415" s="359"/>
      <c r="C415" s="360"/>
      <c r="D415" s="360"/>
      <c r="E415" s="360"/>
      <c r="F415" s="360"/>
      <c r="G415" s="361"/>
      <c r="H415" s="361"/>
      <c r="I415" s="361"/>
      <c r="J415" s="361"/>
      <c r="K415" s="360"/>
      <c r="L415" s="361"/>
      <c r="M415" s="361"/>
      <c r="N415" s="361"/>
      <c r="O415" s="361"/>
      <c r="P415" s="360"/>
      <c r="Q415" s="361"/>
      <c r="R415" s="361"/>
      <c r="S415" s="361"/>
      <c r="T415" s="361"/>
      <c r="U415" s="360"/>
      <c r="V415" s="361"/>
      <c r="W415" s="361"/>
      <c r="X415" s="361"/>
      <c r="Y415" s="361"/>
      <c r="Z415" s="360"/>
      <c r="AA415" s="361"/>
      <c r="AB415" s="361"/>
      <c r="AC415" s="361"/>
      <c r="AD415" s="361"/>
      <c r="AE415" s="360"/>
      <c r="AF415" s="361"/>
      <c r="AG415" s="361"/>
      <c r="AH415" s="361"/>
      <c r="AI415" s="361"/>
      <c r="AJ415" s="360"/>
      <c r="AK415" s="361"/>
      <c r="AL415" s="361"/>
      <c r="AM415" s="361"/>
      <c r="AN415" s="361"/>
      <c r="AO415" s="360"/>
      <c r="AP415" s="361"/>
      <c r="AQ415" s="361"/>
      <c r="AR415" s="361"/>
      <c r="AS415" s="361"/>
      <c r="AT415" s="360"/>
      <c r="AU415" s="361"/>
      <c r="AV415" s="361"/>
      <c r="AW415" s="361"/>
      <c r="AX415" s="361"/>
      <c r="AY415" s="360"/>
      <c r="AZ415" s="361"/>
      <c r="BA415" s="361"/>
      <c r="BB415" s="361"/>
      <c r="BC415" s="361"/>
      <c r="BD415" s="360"/>
      <c r="BE415" s="361"/>
      <c r="BF415" s="361"/>
      <c r="BG415" s="361"/>
      <c r="BH415" s="361"/>
      <c r="BI415" s="362"/>
      <c r="BJ415" s="361"/>
      <c r="BK415" s="361"/>
      <c r="BL415" s="361"/>
      <c r="BM415" s="361"/>
      <c r="BN415" s="360"/>
      <c r="BO415" s="361"/>
      <c r="BP415" s="361"/>
      <c r="BQ415" s="361"/>
      <c r="BR415" s="361"/>
      <c r="BS415" s="360"/>
      <c r="BT415" s="360"/>
      <c r="BU415" s="360"/>
      <c r="BV415" s="360"/>
      <c r="BW415" s="345"/>
    </row>
    <row r="416" spans="1:75" ht="15.75" customHeight="1" x14ac:dyDescent="0.2">
      <c r="A416" s="67" t="s">
        <v>724</v>
      </c>
      <c r="B416" s="66"/>
      <c r="C416" s="363">
        <f t="shared" ref="C416:BI416" si="906">C403/C401</f>
        <v>0.25867815307852748</v>
      </c>
      <c r="D416" s="363">
        <f t="shared" si="906"/>
        <v>0.30122694416188878</v>
      </c>
      <c r="E416" s="363">
        <f t="shared" si="906"/>
        <v>0.19757942745638557</v>
      </c>
      <c r="F416" s="363">
        <f t="shared" si="906"/>
        <v>0.36058488960544555</v>
      </c>
      <c r="G416" s="67">
        <f t="shared" si="906"/>
        <v>0.22287679341545261</v>
      </c>
      <c r="H416" s="67">
        <f t="shared" si="906"/>
        <v>0.22246171583247704</v>
      </c>
      <c r="I416" s="67">
        <f t="shared" si="906"/>
        <v>0.23459265512874636</v>
      </c>
      <c r="J416" s="67">
        <f t="shared" si="906"/>
        <v>0.27301366689830869</v>
      </c>
      <c r="K416" s="363">
        <f t="shared" si="906"/>
        <v>0.23944391179290475</v>
      </c>
      <c r="L416" s="67">
        <f t="shared" si="906"/>
        <v>0.2636512846411212</v>
      </c>
      <c r="M416" s="67">
        <f t="shared" si="906"/>
        <v>0.29404330813911078</v>
      </c>
      <c r="N416" s="67">
        <f t="shared" si="906"/>
        <v>0.29139476733548902</v>
      </c>
      <c r="O416" s="67">
        <f t="shared" si="906"/>
        <v>0.21433127790771864</v>
      </c>
      <c r="P416" s="363">
        <f t="shared" si="906"/>
        <v>0.26752511837394594</v>
      </c>
      <c r="Q416" s="67">
        <f t="shared" si="906"/>
        <v>0.24313695446768346</v>
      </c>
      <c r="R416" s="67">
        <f t="shared" si="906"/>
        <v>0.28281699468140192</v>
      </c>
      <c r="S416" s="67">
        <f t="shared" si="906"/>
        <v>0.26393104633182557</v>
      </c>
      <c r="T416" s="67">
        <f t="shared" si="906"/>
        <v>0.25009472259810561</v>
      </c>
      <c r="U416" s="363">
        <f t="shared" si="906"/>
        <v>0.26133967568653088</v>
      </c>
      <c r="V416" s="67">
        <f t="shared" si="906"/>
        <v>0.19820695614603565</v>
      </c>
      <c r="W416" s="67">
        <f t="shared" si="906"/>
        <v>0.3088532136052371</v>
      </c>
      <c r="X416" s="67">
        <f t="shared" si="906"/>
        <v>0.28708023368217539</v>
      </c>
      <c r="Y416" s="67">
        <f t="shared" si="906"/>
        <v>0.31350399928703593</v>
      </c>
      <c r="Z416" s="363">
        <f t="shared" si="906"/>
        <v>0.27783050352509298</v>
      </c>
      <c r="AA416" s="67">
        <f t="shared" si="906"/>
        <v>9.6390668210934199E-2</v>
      </c>
      <c r="AB416" s="67">
        <f t="shared" si="906"/>
        <v>0.23441868113797082</v>
      </c>
      <c r="AC416" s="67">
        <f t="shared" si="906"/>
        <v>0.22609041171256447</v>
      </c>
      <c r="AD416" s="67">
        <f t="shared" si="906"/>
        <v>-0.37838904974993337</v>
      </c>
      <c r="AE416" s="363">
        <f t="shared" si="906"/>
        <v>9.7319514426556397E-2</v>
      </c>
      <c r="AF416" s="67">
        <f t="shared" si="906"/>
        <v>9.5157264103843953E-2</v>
      </c>
      <c r="AG416" s="67">
        <f t="shared" si="906"/>
        <v>0.11487276750434629</v>
      </c>
      <c r="AH416" s="67">
        <f t="shared" si="906"/>
        <v>5.3600397285217816E-2</v>
      </c>
      <c r="AI416" s="67">
        <f t="shared" si="906"/>
        <v>0.37189230967409914</v>
      </c>
      <c r="AJ416" s="363">
        <f t="shared" si="906"/>
        <v>0.129279124112056</v>
      </c>
      <c r="AK416" s="67">
        <f t="shared" si="906"/>
        <v>-2.6480836236933802E-3</v>
      </c>
      <c r="AL416" s="67">
        <f t="shared" si="906"/>
        <v>0.18217538381472809</v>
      </c>
      <c r="AM416" s="67">
        <f t="shared" si="906"/>
        <v>5.3293233082706802E-2</v>
      </c>
      <c r="AN416" s="67">
        <f t="shared" si="906"/>
        <v>0.13126778486717644</v>
      </c>
      <c r="AO416" s="363">
        <f t="shared" si="906"/>
        <v>0.10858380720281612</v>
      </c>
      <c r="AP416" s="67">
        <f t="shared" si="906"/>
        <v>0.23062387772998705</v>
      </c>
      <c r="AQ416" s="67">
        <f t="shared" si="906"/>
        <v>0.3453451713106776</v>
      </c>
      <c r="AR416" s="67">
        <f t="shared" si="906"/>
        <v>-0.85621675971740896</v>
      </c>
      <c r="AS416" s="67">
        <f t="shared" si="906"/>
        <v>-0.15288059221113592</v>
      </c>
      <c r="AT416" s="363">
        <f t="shared" si="906"/>
        <v>9.9548922019121577E-2</v>
      </c>
      <c r="AU416" s="67">
        <f t="shared" si="906"/>
        <v>0.61626016260162086</v>
      </c>
      <c r="AV416" s="67">
        <f t="shared" si="906"/>
        <v>0.11216082610128486</v>
      </c>
      <c r="AW416" s="67">
        <f t="shared" si="906"/>
        <v>-2.5859446303620318E-2</v>
      </c>
      <c r="AX416" s="67">
        <f t="shared" si="906"/>
        <v>-24.737142857128863</v>
      </c>
      <c r="AY416" s="363">
        <f t="shared" si="906"/>
        <v>0.28059201340407752</v>
      </c>
      <c r="AZ416" s="67">
        <f t="shared" si="906"/>
        <v>-6.4035740878630011E-3</v>
      </c>
      <c r="BA416" s="67">
        <f t="shared" si="906"/>
        <v>0.17701029389825465</v>
      </c>
      <c r="BB416" s="67">
        <f t="shared" si="906"/>
        <v>-0.50852272727274006</v>
      </c>
      <c r="BC416" s="67">
        <f t="shared" si="906"/>
        <v>-0.1188296639629166</v>
      </c>
      <c r="BD416" s="363">
        <f t="shared" si="906"/>
        <v>0.2558372856621689</v>
      </c>
      <c r="BE416" s="67">
        <f t="shared" si="906"/>
        <v>2.5088934656431292E-2</v>
      </c>
      <c r="BF416" s="67">
        <f t="shared" si="906"/>
        <v>7.4091240150963592E-2</v>
      </c>
      <c r="BG416" s="67">
        <f t="shared" si="906"/>
        <v>-5.0579309533611994E-3</v>
      </c>
      <c r="BH416" s="67">
        <f t="shared" si="906"/>
        <v>1.8216053748231582</v>
      </c>
      <c r="BI416" s="364">
        <f t="shared" si="906"/>
        <v>0.14375987361769313</v>
      </c>
      <c r="BJ416" s="365">
        <v>0.15</v>
      </c>
      <c r="BK416" s="365">
        <v>0.15</v>
      </c>
      <c r="BL416" s="365">
        <v>0.15</v>
      </c>
      <c r="BM416" s="365">
        <v>0.15</v>
      </c>
      <c r="BN416" s="363">
        <f ca="1">BN403/BN401</f>
        <v>0.14999999999999988</v>
      </c>
      <c r="BO416" s="365">
        <v>0.15</v>
      </c>
      <c r="BP416" s="365">
        <v>0.15</v>
      </c>
      <c r="BQ416" s="365">
        <v>0.15</v>
      </c>
      <c r="BR416" s="365">
        <v>0.15</v>
      </c>
      <c r="BS416" s="363">
        <f ca="1">BS403/BS401</f>
        <v>0.15000000000000016</v>
      </c>
      <c r="BT416" s="366">
        <v>0.15</v>
      </c>
      <c r="BU416" s="366">
        <v>0.15</v>
      </c>
      <c r="BV416" s="366">
        <v>0.15</v>
      </c>
      <c r="BW416" s="37"/>
    </row>
    <row r="417" spans="1:75" ht="15.75" customHeight="1" x14ac:dyDescent="0.2">
      <c r="A417" s="67" t="s">
        <v>725</v>
      </c>
      <c r="B417" s="66"/>
      <c r="C417" s="363">
        <f t="shared" ref="C417:BI417" si="907">C404/C401</f>
        <v>-9.3515504706960143E-2</v>
      </c>
      <c r="D417" s="363">
        <f t="shared" si="907"/>
        <v>-3.6790321273933578E-2</v>
      </c>
      <c r="E417" s="363">
        <f t="shared" si="907"/>
        <v>6.1226702182851568E-2</v>
      </c>
      <c r="F417" s="363">
        <f t="shared" si="907"/>
        <v>-9.5227432188334973E-2</v>
      </c>
      <c r="G417" s="67">
        <f t="shared" si="907"/>
        <v>6.4210615328240933E-2</v>
      </c>
      <c r="H417" s="67">
        <f t="shared" si="907"/>
        <v>6.1154414897616478E-2</v>
      </c>
      <c r="I417" s="67">
        <f t="shared" si="907"/>
        <v>4.0391515407344876E-2</v>
      </c>
      <c r="J417" s="67">
        <f t="shared" si="907"/>
        <v>-3.7433402826036556E-2</v>
      </c>
      <c r="K417" s="363">
        <f t="shared" si="907"/>
        <v>2.9613294982422458E-2</v>
      </c>
      <c r="L417" s="67">
        <f t="shared" si="907"/>
        <v>2.5598131431096526E-2</v>
      </c>
      <c r="M417" s="67">
        <f t="shared" si="907"/>
        <v>-2.4327411475927759E-2</v>
      </c>
      <c r="N417" s="67">
        <f t="shared" si="907"/>
        <v>-3.0035982191864454E-2</v>
      </c>
      <c r="O417" s="67">
        <f t="shared" si="907"/>
        <v>4.1888156495853736E-2</v>
      </c>
      <c r="P417" s="363">
        <f t="shared" si="907"/>
        <v>1.4724564037417701E-3</v>
      </c>
      <c r="Q417" s="67">
        <f t="shared" si="907"/>
        <v>3.1027350034474887E-2</v>
      </c>
      <c r="R417" s="67">
        <f t="shared" si="907"/>
        <v>-1.4279505804929594E-3</v>
      </c>
      <c r="S417" s="67">
        <f t="shared" si="907"/>
        <v>-1.3487200045816404E-2</v>
      </c>
      <c r="T417" s="67">
        <f t="shared" si="907"/>
        <v>1.377537212449256E-2</v>
      </c>
      <c r="U417" s="363">
        <f t="shared" si="907"/>
        <v>7.4300918720819429E-3</v>
      </c>
      <c r="V417" s="67">
        <f t="shared" si="907"/>
        <v>6.8286887016634185E-2</v>
      </c>
      <c r="W417" s="67">
        <f t="shared" si="907"/>
        <v>-3.6748476673772408E-2</v>
      </c>
      <c r="X417" s="67">
        <f t="shared" si="907"/>
        <v>-1.3638465094775773E-2</v>
      </c>
      <c r="Y417" s="67">
        <f t="shared" si="907"/>
        <v>-3.4957556313080757E-2</v>
      </c>
      <c r="Z417" s="363">
        <f t="shared" si="907"/>
        <v>-5.2407075215885881E-3</v>
      </c>
      <c r="AA417" s="67">
        <f t="shared" si="907"/>
        <v>7.5306686836693559E-2</v>
      </c>
      <c r="AB417" s="67">
        <f t="shared" si="907"/>
        <v>-1.8952474921887858E-2</v>
      </c>
      <c r="AC417" s="67">
        <f t="shared" si="907"/>
        <v>-3.4385793318458154E-2</v>
      </c>
      <c r="AD417" s="67">
        <f t="shared" si="907"/>
        <v>-1.1546459594630136</v>
      </c>
      <c r="AE417" s="363">
        <f t="shared" si="907"/>
        <v>-0.17191703193915323</v>
      </c>
      <c r="AF417" s="67">
        <f t="shared" si="907"/>
        <v>3.8508903311699004E-2</v>
      </c>
      <c r="AG417" s="67">
        <f t="shared" si="907"/>
        <v>-1.1126916390074269E-2</v>
      </c>
      <c r="AH417" s="67">
        <f t="shared" si="907"/>
        <v>3.6748882635325368E-3</v>
      </c>
      <c r="AI417" s="67">
        <f t="shared" si="907"/>
        <v>-0.41388638412985129</v>
      </c>
      <c r="AJ417" s="363">
        <f t="shared" si="907"/>
        <v>-5.1298284160840313E-2</v>
      </c>
      <c r="AK417" s="67">
        <f t="shared" si="907"/>
        <v>6.2439024390243861E-2</v>
      </c>
      <c r="AL417" s="67">
        <f t="shared" si="907"/>
        <v>-0.10619307832422588</v>
      </c>
      <c r="AM417" s="67">
        <f t="shared" si="907"/>
        <v>-2.1112781954887229E-2</v>
      </c>
      <c r="AN417" s="67">
        <f t="shared" si="907"/>
        <v>7.829760158362618E-3</v>
      </c>
      <c r="AO417" s="363">
        <f t="shared" si="907"/>
        <v>-1.5655507574785864E-2</v>
      </c>
      <c r="AP417" s="67">
        <f t="shared" si="907"/>
        <v>5.8624253559944876E-2</v>
      </c>
      <c r="AQ417" s="67">
        <f t="shared" si="907"/>
        <v>-6.7226111548982187E-4</v>
      </c>
      <c r="AR417" s="67">
        <f t="shared" si="907"/>
        <v>1.1061836848093576</v>
      </c>
      <c r="AS417" s="67">
        <f t="shared" si="907"/>
        <v>0.35277660865044225</v>
      </c>
      <c r="AT417" s="363">
        <f t="shared" si="907"/>
        <v>0.18882360210765181</v>
      </c>
      <c r="AU417" s="67">
        <f t="shared" si="907"/>
        <v>-0.2452032520325183</v>
      </c>
      <c r="AV417" s="67">
        <f t="shared" si="907"/>
        <v>-3.8091837855651844E-2</v>
      </c>
      <c r="AW417" s="67">
        <f t="shared" si="907"/>
        <v>-7.8829057228813865E-2</v>
      </c>
      <c r="AX417" s="67">
        <f t="shared" si="907"/>
        <v>29.756190476173643</v>
      </c>
      <c r="AY417" s="363">
        <f t="shared" si="907"/>
        <v>-0.29110583635855952</v>
      </c>
      <c r="AZ417" s="67">
        <f t="shared" si="907"/>
        <v>0.14404318689501122</v>
      </c>
      <c r="BA417" s="67">
        <f t="shared" si="907"/>
        <v>-0.13389527077428026</v>
      </c>
      <c r="BB417" s="67">
        <f t="shared" si="907"/>
        <v>0.82727272727274825</v>
      </c>
      <c r="BC417" s="67">
        <f t="shared" si="907"/>
        <v>0.9277520278099376</v>
      </c>
      <c r="BD417" s="363">
        <f t="shared" si="907"/>
        <v>-0.56688556487900199</v>
      </c>
      <c r="BE417" s="67">
        <f t="shared" si="907"/>
        <v>9.9606815203145155E-2</v>
      </c>
      <c r="BF417" s="67">
        <f t="shared" si="907"/>
        <v>-1.5957094616963569E-2</v>
      </c>
      <c r="BG417" s="67">
        <f t="shared" si="907"/>
        <v>-5.0344056931130025E-2</v>
      </c>
      <c r="BH417" s="67">
        <f t="shared" si="907"/>
        <v>-3.0636492220649987</v>
      </c>
      <c r="BI417" s="364">
        <f t="shared" si="907"/>
        <v>-0.15712800207970842</v>
      </c>
      <c r="BJ417" s="365">
        <v>0.01</v>
      </c>
      <c r="BK417" s="365">
        <v>0.03</v>
      </c>
      <c r="BL417" s="365">
        <v>0.02</v>
      </c>
      <c r="BM417" s="365">
        <v>0.03</v>
      </c>
      <c r="BN417" s="363">
        <f ca="1">BN404/BN401</f>
        <v>2.4380875167373812E-2</v>
      </c>
      <c r="BO417" s="365">
        <v>0.01</v>
      </c>
      <c r="BP417" s="365">
        <v>0.03</v>
      </c>
      <c r="BQ417" s="365">
        <v>0.02</v>
      </c>
      <c r="BR417" s="365">
        <v>0.03</v>
      </c>
      <c r="BS417" s="363">
        <f ca="1">BS404/BS401</f>
        <v>2.4484779292130287E-2</v>
      </c>
      <c r="BT417" s="366">
        <v>0.03</v>
      </c>
      <c r="BU417" s="366">
        <v>0.03</v>
      </c>
      <c r="BV417" s="366">
        <v>0.03</v>
      </c>
      <c r="BW417" s="37"/>
    </row>
    <row r="418" spans="1:75" ht="15.75" customHeight="1" x14ac:dyDescent="0.2">
      <c r="A418" s="2"/>
      <c r="B418" s="85"/>
      <c r="C418" s="86"/>
      <c r="D418" s="86"/>
      <c r="E418" s="86"/>
      <c r="F418" s="86"/>
      <c r="G418" s="2"/>
      <c r="H418" s="2"/>
      <c r="I418" s="2"/>
      <c r="J418" s="2"/>
      <c r="K418" s="86"/>
      <c r="L418" s="2"/>
      <c r="M418" s="2"/>
      <c r="N418" s="2"/>
      <c r="O418" s="2"/>
      <c r="P418" s="86"/>
      <c r="Q418" s="2"/>
      <c r="R418" s="2"/>
      <c r="S418" s="2"/>
      <c r="T418" s="2"/>
      <c r="U418" s="86"/>
      <c r="V418" s="2"/>
      <c r="W418" s="2"/>
      <c r="X418" s="2"/>
      <c r="Y418" s="2"/>
      <c r="Z418" s="86"/>
      <c r="AA418" s="2"/>
      <c r="AB418" s="2"/>
      <c r="AC418" s="2"/>
      <c r="AD418" s="2"/>
      <c r="AE418" s="86"/>
      <c r="AF418" s="2"/>
      <c r="AG418" s="2"/>
      <c r="AH418" s="2"/>
      <c r="AI418" s="2"/>
      <c r="AJ418" s="86"/>
      <c r="AK418" s="2"/>
      <c r="AL418" s="2"/>
      <c r="AM418" s="2"/>
      <c r="AN418" s="2"/>
      <c r="AO418" s="86"/>
      <c r="AP418" s="2"/>
      <c r="AQ418" s="2"/>
      <c r="AR418" s="2"/>
      <c r="AS418" s="2"/>
      <c r="AT418" s="86"/>
      <c r="AU418" s="2"/>
      <c r="AV418" s="2"/>
      <c r="AW418" s="2"/>
      <c r="AX418" s="2"/>
      <c r="AY418" s="86"/>
      <c r="AZ418" s="2"/>
      <c r="BA418" s="2"/>
      <c r="BB418" s="2"/>
      <c r="BC418" s="2"/>
      <c r="BD418" s="86"/>
      <c r="BE418" s="2"/>
      <c r="BF418" s="2"/>
      <c r="BG418" s="2"/>
      <c r="BH418" s="2"/>
      <c r="BI418" s="90"/>
      <c r="BJ418" s="2"/>
      <c r="BK418" s="2"/>
      <c r="BL418" s="2"/>
      <c r="BM418" s="2"/>
      <c r="BN418" s="86"/>
      <c r="BO418" s="2"/>
      <c r="BP418" s="2"/>
      <c r="BQ418" s="2"/>
      <c r="BR418" s="2"/>
      <c r="BS418" s="86"/>
      <c r="BT418" s="86"/>
      <c r="BU418" s="86"/>
      <c r="BV418" s="86"/>
      <c r="BW418" s="4"/>
    </row>
    <row r="419" spans="1:75" ht="15.75" customHeight="1" x14ac:dyDescent="0.2">
      <c r="A419" s="367" t="s">
        <v>726</v>
      </c>
      <c r="B419" s="368"/>
      <c r="C419" s="369">
        <f t="shared" ref="C419:BV419" si="908">C409/C424</f>
        <v>0.72155587749738814</v>
      </c>
      <c r="D419" s="369">
        <f t="shared" si="908"/>
        <v>1.3871997283761954</v>
      </c>
      <c r="E419" s="369">
        <f t="shared" si="908"/>
        <v>1.697825392883749</v>
      </c>
      <c r="F419" s="369">
        <f t="shared" si="908"/>
        <v>1.8505781705368074</v>
      </c>
      <c r="G419" s="367">
        <f t="shared" si="908"/>
        <v>0.4840110994163227</v>
      </c>
      <c r="H419" s="367">
        <f t="shared" si="908"/>
        <v>0.54040308553278371</v>
      </c>
      <c r="I419" s="367">
        <f t="shared" si="908"/>
        <v>0.52428647741147727</v>
      </c>
      <c r="J419" s="367">
        <f t="shared" si="908"/>
        <v>0.64262346159838069</v>
      </c>
      <c r="K419" s="369">
        <f t="shared" si="908"/>
        <v>2.1895115740297579</v>
      </c>
      <c r="L419" s="367">
        <f t="shared" si="908"/>
        <v>0.44374815252734251</v>
      </c>
      <c r="M419" s="367">
        <f t="shared" si="908"/>
        <v>0.60890798192465967</v>
      </c>
      <c r="N419" s="367">
        <f t="shared" si="908"/>
        <v>0.49453869867907774</v>
      </c>
      <c r="O419" s="367">
        <f t="shared" si="908"/>
        <v>0.49770315866498588</v>
      </c>
      <c r="P419" s="369">
        <f t="shared" si="908"/>
        <v>2.0432142352775058</v>
      </c>
      <c r="Q419" s="367">
        <f t="shared" si="908"/>
        <v>0.57740985271711398</v>
      </c>
      <c r="R419" s="367">
        <f t="shared" si="908"/>
        <v>0.71668283420362677</v>
      </c>
      <c r="S419" s="367">
        <f t="shared" si="908"/>
        <v>0.53586636095643536</v>
      </c>
      <c r="T419" s="367">
        <f t="shared" si="908"/>
        <v>0.55728569087034885</v>
      </c>
      <c r="U419" s="369">
        <f t="shared" si="908"/>
        <v>2.3861528065037936</v>
      </c>
      <c r="V419" s="367">
        <f t="shared" si="908"/>
        <v>0.69982274619728879</v>
      </c>
      <c r="W419" s="367">
        <f t="shared" si="908"/>
        <v>0.79998756012605654</v>
      </c>
      <c r="X419" s="367">
        <f t="shared" si="908"/>
        <v>0.72307853184147264</v>
      </c>
      <c r="Y419" s="367">
        <f t="shared" si="908"/>
        <v>0.68310022572410811</v>
      </c>
      <c r="Z419" s="369">
        <f t="shared" si="908"/>
        <v>2.9072757966695133</v>
      </c>
      <c r="AA419" s="367">
        <f t="shared" si="908"/>
        <v>0.73567199899231783</v>
      </c>
      <c r="AB419" s="367">
        <f t="shared" si="908"/>
        <v>0.79958937400486008</v>
      </c>
      <c r="AC419" s="367">
        <f t="shared" si="908"/>
        <v>0.56746491566885815</v>
      </c>
      <c r="AD419" s="367">
        <f t="shared" si="908"/>
        <v>1.2620052020720871</v>
      </c>
      <c r="AE419" s="369">
        <f t="shared" si="908"/>
        <v>3.3537609205199206</v>
      </c>
      <c r="AF419" s="367">
        <f t="shared" si="908"/>
        <v>0.5714128907622078</v>
      </c>
      <c r="AG419" s="367">
        <f t="shared" si="908"/>
        <v>0.62474935548553512</v>
      </c>
      <c r="AH419" s="367">
        <f t="shared" si="908"/>
        <v>0.62829593345248169</v>
      </c>
      <c r="AI419" s="367">
        <f t="shared" si="908"/>
        <v>0.36114831681399745</v>
      </c>
      <c r="AJ419" s="369">
        <f t="shared" si="908"/>
        <v>2.1879901906634478</v>
      </c>
      <c r="AK419" s="367">
        <f t="shared" si="908"/>
        <v>0.60973901254095619</v>
      </c>
      <c r="AL419" s="367">
        <f t="shared" si="908"/>
        <v>0.80403034076757607</v>
      </c>
      <c r="AM419" s="367">
        <f t="shared" si="908"/>
        <v>0.36834394029577372</v>
      </c>
      <c r="AN419" s="367">
        <f t="shared" si="908"/>
        <v>1.1147754840481574</v>
      </c>
      <c r="AO419" s="369">
        <f t="shared" si="908"/>
        <v>2.8963798948781552</v>
      </c>
      <c r="AP419" s="367">
        <f t="shared" si="908"/>
        <v>-3.1106618234985035</v>
      </c>
      <c r="AQ419" s="367">
        <f t="shared" si="908"/>
        <v>-1.6066463053288953</v>
      </c>
      <c r="AR419" s="367">
        <f t="shared" si="908"/>
        <v>-0.75589977220956606</v>
      </c>
      <c r="AS419" s="367">
        <f t="shared" si="908"/>
        <v>-0.84843380076488661</v>
      </c>
      <c r="AT419" s="369">
        <f t="shared" si="908"/>
        <v>-6.3166928810777643</v>
      </c>
      <c r="AU419" s="367">
        <f t="shared" si="908"/>
        <v>-2.7201339699924176E-2</v>
      </c>
      <c r="AV419" s="367">
        <f t="shared" si="908"/>
        <v>0.37547007983110409</v>
      </c>
      <c r="AW419" s="367">
        <f t="shared" si="908"/>
        <v>0.6508404365490319</v>
      </c>
      <c r="AX419" s="367">
        <f t="shared" si="908"/>
        <v>4.1995899926351984E-2</v>
      </c>
      <c r="AY419" s="369">
        <f t="shared" si="908"/>
        <v>1.0337057375497041</v>
      </c>
      <c r="AZ419" s="188">
        <f t="shared" si="908"/>
        <v>0.4601951006298054</v>
      </c>
      <c r="BA419" s="367">
        <f t="shared" si="908"/>
        <v>0.50917895488915765</v>
      </c>
      <c r="BB419" s="367">
        <f t="shared" si="908"/>
        <v>-4.8295168469174289E-2</v>
      </c>
      <c r="BC419" s="367">
        <f t="shared" si="908"/>
        <v>-6.737349594493508E-2</v>
      </c>
      <c r="BD419" s="369">
        <f t="shared" si="908"/>
        <v>0.86566295292582096</v>
      </c>
      <c r="BE419" s="188">
        <f t="shared" si="908"/>
        <v>0.57604633014334627</v>
      </c>
      <c r="BF419" s="367">
        <f t="shared" si="908"/>
        <v>0.88004206879485025</v>
      </c>
      <c r="BG419" s="367">
        <f t="shared" si="908"/>
        <v>0.37167829995236062</v>
      </c>
      <c r="BH419" s="367">
        <f t="shared" si="908"/>
        <v>0.26513757631513168</v>
      </c>
      <c r="BI419" s="370">
        <f t="shared" si="908"/>
        <v>2.0973222415363022</v>
      </c>
      <c r="BJ419" s="367">
        <f t="shared" ca="1" si="908"/>
        <v>0.61667976716641038</v>
      </c>
      <c r="BK419" s="367">
        <f t="shared" ca="1" si="908"/>
        <v>0.99820001874464193</v>
      </c>
      <c r="BL419" s="367">
        <f t="shared" ca="1" si="908"/>
        <v>0.4514552735261107</v>
      </c>
      <c r="BM419" s="367">
        <f t="shared" ca="1" si="908"/>
        <v>0.88990766141755728</v>
      </c>
      <c r="BN419" s="369">
        <f t="shared" ca="1" si="908"/>
        <v>2.956256367403987</v>
      </c>
      <c r="BO419" s="367">
        <f t="shared" ca="1" si="908"/>
        <v>0.61992240946265098</v>
      </c>
      <c r="BP419" s="367">
        <f t="shared" ca="1" si="908"/>
        <v>1.0224335718382682</v>
      </c>
      <c r="BQ419" s="367">
        <f t="shared" ca="1" si="908"/>
        <v>0.52361686832460019</v>
      </c>
      <c r="BR419" s="367">
        <f t="shared" ca="1" si="908"/>
        <v>0.98726348504021899</v>
      </c>
      <c r="BS419" s="369">
        <f t="shared" ca="1" si="908"/>
        <v>3.1532664937896331</v>
      </c>
      <c r="BT419" s="369">
        <f t="shared" ca="1" si="908"/>
        <v>3.4176735899869883</v>
      </c>
      <c r="BU419" s="369">
        <f t="shared" ca="1" si="908"/>
        <v>3.7296147185460167</v>
      </c>
      <c r="BV419" s="369">
        <f t="shared" ca="1" si="908"/>
        <v>4.1621294666850233</v>
      </c>
      <c r="BW419" s="188"/>
    </row>
    <row r="420" spans="1:75" ht="15.75" customHeight="1" x14ac:dyDescent="0.2">
      <c r="A420" s="367" t="s">
        <v>727</v>
      </c>
      <c r="B420" s="368"/>
      <c r="C420" s="369">
        <f t="shared" ref="C420:BV420" si="909">C411/C425</f>
        <v>0.7129090243334103</v>
      </c>
      <c r="D420" s="369">
        <f t="shared" si="909"/>
        <v>1.3518346954306291</v>
      </c>
      <c r="E420" s="369">
        <f t="shared" si="909"/>
        <v>1.6449561780374635</v>
      </c>
      <c r="F420" s="369">
        <f t="shared" si="909"/>
        <v>1.7826701200847677</v>
      </c>
      <c r="G420" s="367">
        <f t="shared" si="909"/>
        <v>0.46573980296473522</v>
      </c>
      <c r="H420" s="367">
        <f t="shared" si="909"/>
        <v>0.519002051822127</v>
      </c>
      <c r="I420" s="367">
        <f t="shared" si="909"/>
        <v>0.50320442393613107</v>
      </c>
      <c r="J420" s="367">
        <f t="shared" si="909"/>
        <v>0.6156256995746594</v>
      </c>
      <c r="K420" s="369">
        <f t="shared" si="909"/>
        <v>2.1030214980598454</v>
      </c>
      <c r="L420" s="367">
        <f t="shared" si="909"/>
        <v>0.42612217091817411</v>
      </c>
      <c r="M420" s="367">
        <f t="shared" si="909"/>
        <v>0.58508898321585789</v>
      </c>
      <c r="N420" s="367">
        <f t="shared" si="909"/>
        <v>0.47530561387673226</v>
      </c>
      <c r="O420" s="367">
        <f t="shared" si="909"/>
        <v>0.47817681176401616</v>
      </c>
      <c r="P420" s="369">
        <f t="shared" si="909"/>
        <v>1.963321960297769</v>
      </c>
      <c r="Q420" s="367">
        <f t="shared" si="909"/>
        <v>0.55620132284450585</v>
      </c>
      <c r="R420" s="367">
        <f t="shared" si="909"/>
        <v>0.69085989415462812</v>
      </c>
      <c r="S420" s="367">
        <f t="shared" si="909"/>
        <v>0.51693425755870115</v>
      </c>
      <c r="T420" s="367">
        <f t="shared" si="909"/>
        <v>0.53893402021002557</v>
      </c>
      <c r="U420" s="369">
        <f t="shared" si="909"/>
        <v>2.3025985574547918</v>
      </c>
      <c r="V420" s="367">
        <f t="shared" si="909"/>
        <v>0.67857785238923318</v>
      </c>
      <c r="W420" s="367">
        <f t="shared" si="909"/>
        <v>0.77795475624017019</v>
      </c>
      <c r="X420" s="367">
        <f t="shared" si="909"/>
        <v>0.70255222303503229</v>
      </c>
      <c r="Y420" s="367">
        <f t="shared" si="909"/>
        <v>0.66361307511015255</v>
      </c>
      <c r="Z420" s="369">
        <f t="shared" si="909"/>
        <v>2.8253666045531864</v>
      </c>
      <c r="AA420" s="367">
        <f t="shared" si="909"/>
        <v>0.71211135947978199</v>
      </c>
      <c r="AB420" s="367">
        <f t="shared" si="909"/>
        <v>0.77815156890329651</v>
      </c>
      <c r="AC420" s="367">
        <f t="shared" si="909"/>
        <v>0.55651423641070163</v>
      </c>
      <c r="AD420" s="367">
        <f t="shared" si="909"/>
        <v>1.2355660175476153</v>
      </c>
      <c r="AE420" s="369">
        <f t="shared" si="909"/>
        <v>3.2686492772885836</v>
      </c>
      <c r="AF420" s="367">
        <f t="shared" si="909"/>
        <v>0.55887404989908729</v>
      </c>
      <c r="AG420" s="367">
        <f t="shared" si="909"/>
        <v>0.60882542409276452</v>
      </c>
      <c r="AH420" s="367">
        <f t="shared" si="909"/>
        <v>0.61410886818495347</v>
      </c>
      <c r="AI420" s="367">
        <f t="shared" si="909"/>
        <v>0.35424467362981082</v>
      </c>
      <c r="AJ420" s="369">
        <f t="shared" si="909"/>
        <v>2.1429189657037675</v>
      </c>
      <c r="AK420" s="367">
        <f t="shared" si="909"/>
        <v>0.5998577271918909</v>
      </c>
      <c r="AL420" s="367">
        <f t="shared" si="909"/>
        <v>0.79288170410396097</v>
      </c>
      <c r="AM420" s="367">
        <f t="shared" si="909"/>
        <v>0.36414248857104037</v>
      </c>
      <c r="AN420" s="367">
        <f t="shared" si="909"/>
        <v>1.1007932382652756</v>
      </c>
      <c r="AO420" s="369">
        <f t="shared" si="909"/>
        <v>2.8576271186440683</v>
      </c>
      <c r="AP420" s="367">
        <f t="shared" si="909"/>
        <v>-3.0850080431384104</v>
      </c>
      <c r="AQ420" s="367">
        <f t="shared" si="909"/>
        <v>-1.6066463053288953</v>
      </c>
      <c r="AR420" s="367">
        <f t="shared" si="909"/>
        <v>-0.75589977220956606</v>
      </c>
      <c r="AS420" s="367">
        <f t="shared" si="909"/>
        <v>-0.84843380076488661</v>
      </c>
      <c r="AT420" s="369">
        <f t="shared" si="909"/>
        <v>-6.3166928810777643</v>
      </c>
      <c r="AU420" s="367">
        <f t="shared" si="909"/>
        <v>-2.7201339699924176E-2</v>
      </c>
      <c r="AV420" s="367">
        <f t="shared" si="909"/>
        <v>0.3649870662932666</v>
      </c>
      <c r="AW420" s="367">
        <f t="shared" si="909"/>
        <v>0.63937205368925287</v>
      </c>
      <c r="AX420" s="367">
        <f t="shared" si="909"/>
        <v>4.1329598652375038E-2</v>
      </c>
      <c r="AY420" s="369">
        <f t="shared" si="909"/>
        <v>1.0128014842300535</v>
      </c>
      <c r="AZ420" s="188">
        <f t="shared" si="909"/>
        <v>0.45406072961794042</v>
      </c>
      <c r="BA420" s="367">
        <f t="shared" si="909"/>
        <v>0.5037601366608413</v>
      </c>
      <c r="BB420" s="367">
        <f t="shared" si="909"/>
        <v>-4.8295168469174289E-2</v>
      </c>
      <c r="BC420" s="367">
        <f t="shared" si="909"/>
        <v>-6.737349594493508E-2</v>
      </c>
      <c r="BD420" s="369">
        <f t="shared" si="909"/>
        <v>0.85537747451104396</v>
      </c>
      <c r="BE420" s="188">
        <f t="shared" si="909"/>
        <v>0.56350194865201708</v>
      </c>
      <c r="BF420" s="367">
        <f t="shared" si="909"/>
        <v>0.86941020678414738</v>
      </c>
      <c r="BG420" s="367">
        <f t="shared" si="909"/>
        <v>0.36633663366336477</v>
      </c>
      <c r="BH420" s="367">
        <f t="shared" si="909"/>
        <v>0.26087761525643643</v>
      </c>
      <c r="BI420" s="370">
        <f t="shared" si="909"/>
        <v>2.0662793068297711</v>
      </c>
      <c r="BJ420" s="367">
        <f t="shared" ca="1" si="909"/>
        <v>0.60726591811002861</v>
      </c>
      <c r="BK420" s="367">
        <f t="shared" ca="1" si="909"/>
        <v>0.98378401289636519</v>
      </c>
      <c r="BL420" s="367">
        <f t="shared" ca="1" si="909"/>
        <v>0.44493535593326944</v>
      </c>
      <c r="BM420" s="367">
        <f t="shared" ca="1" si="909"/>
        <v>0.87705561392154974</v>
      </c>
      <c r="BN420" s="369">
        <f t="shared" ca="1" si="909"/>
        <v>2.9129532918276491</v>
      </c>
      <c r="BO420" s="367">
        <f t="shared" ca="1" si="909"/>
        <v>0.61096948929387507</v>
      </c>
      <c r="BP420" s="367">
        <f t="shared" ca="1" si="909"/>
        <v>1.0076675849876253</v>
      </c>
      <c r="BQ420" s="367">
        <f t="shared" ca="1" si="909"/>
        <v>0.5160547928945507</v>
      </c>
      <c r="BR420" s="367">
        <f t="shared" ca="1" si="909"/>
        <v>0.97300542462460338</v>
      </c>
      <c r="BS420" s="369">
        <f t="shared" ca="1" si="909"/>
        <v>3.107727015366446</v>
      </c>
      <c r="BT420" s="369">
        <f t="shared" ca="1" si="909"/>
        <v>3.3683155439686012</v>
      </c>
      <c r="BU420" s="369">
        <f t="shared" ca="1" si="909"/>
        <v>3.6757516183809864</v>
      </c>
      <c r="BV420" s="369">
        <f t="shared" ca="1" si="909"/>
        <v>4.1020199880171369</v>
      </c>
      <c r="BW420" s="188"/>
    </row>
    <row r="421" spans="1:75" ht="15.75" customHeight="1" x14ac:dyDescent="0.2">
      <c r="A421" s="367" t="s">
        <v>728</v>
      </c>
      <c r="B421" s="368"/>
      <c r="C421" s="369">
        <f t="shared" ref="C421:BV421" si="910">C414/C426</f>
        <v>1.0664092407043699</v>
      </c>
      <c r="D421" s="369">
        <f t="shared" si="910"/>
        <v>1.4250405320451278</v>
      </c>
      <c r="E421" s="369">
        <f t="shared" si="910"/>
        <v>1.6350231998625193</v>
      </c>
      <c r="F421" s="369">
        <f t="shared" si="910"/>
        <v>1.8787198203256616</v>
      </c>
      <c r="G421" s="367">
        <f t="shared" si="910"/>
        <v>0.46573980296473522</v>
      </c>
      <c r="H421" s="367">
        <f t="shared" si="910"/>
        <v>0.519002051822127</v>
      </c>
      <c r="I421" s="367">
        <f t="shared" si="910"/>
        <v>0.50320442393613107</v>
      </c>
      <c r="J421" s="367">
        <f t="shared" si="910"/>
        <v>0.6156256995746594</v>
      </c>
      <c r="K421" s="369">
        <f t="shared" si="910"/>
        <v>2.0968240248634573</v>
      </c>
      <c r="L421" s="367">
        <f t="shared" si="910"/>
        <v>0.42612217091817411</v>
      </c>
      <c r="M421" s="367">
        <f t="shared" si="910"/>
        <v>0.58508898321585789</v>
      </c>
      <c r="N421" s="367">
        <f t="shared" si="910"/>
        <v>0.47530561387673226</v>
      </c>
      <c r="O421" s="367">
        <f t="shared" si="910"/>
        <v>0.47817681176401616</v>
      </c>
      <c r="P421" s="369">
        <f t="shared" si="910"/>
        <v>1.9714252481389603</v>
      </c>
      <c r="Q421" s="367">
        <f t="shared" si="910"/>
        <v>0.55620132284450585</v>
      </c>
      <c r="R421" s="367">
        <f t="shared" si="910"/>
        <v>0.69085989415462812</v>
      </c>
      <c r="S421" s="367">
        <f t="shared" si="910"/>
        <v>0.51693425755870115</v>
      </c>
      <c r="T421" s="367">
        <f t="shared" si="910"/>
        <v>0.53893402021002557</v>
      </c>
      <c r="U421" s="369">
        <f t="shared" si="910"/>
        <v>2.3738760991996788</v>
      </c>
      <c r="V421" s="367">
        <f t="shared" si="910"/>
        <v>0.67857785238923318</v>
      </c>
      <c r="W421" s="367">
        <f t="shared" si="910"/>
        <v>0.77795475624017019</v>
      </c>
      <c r="X421" s="367">
        <f t="shared" si="910"/>
        <v>0.70255222303503229</v>
      </c>
      <c r="Y421" s="367">
        <f t="shared" si="910"/>
        <v>0.66500666051849355</v>
      </c>
      <c r="Z421" s="369">
        <f t="shared" si="910"/>
        <v>2.8267439034270421</v>
      </c>
      <c r="AA421" s="367">
        <f t="shared" si="910"/>
        <v>0.72170290591343367</v>
      </c>
      <c r="AB421" s="367">
        <f t="shared" si="910"/>
        <v>0.78359532693131051</v>
      </c>
      <c r="AC421" s="367">
        <f t="shared" si="910"/>
        <v>0.55651423641070163</v>
      </c>
      <c r="AD421" s="367">
        <f t="shared" si="910"/>
        <v>0.52814038091162119</v>
      </c>
      <c r="AE421" s="369">
        <f t="shared" si="910"/>
        <v>2.5974622030237557</v>
      </c>
      <c r="AF421" s="367">
        <f t="shared" si="910"/>
        <v>0.55887404989908729</v>
      </c>
      <c r="AG421" s="367">
        <f t="shared" si="910"/>
        <v>0.64986042516641707</v>
      </c>
      <c r="AH421" s="367">
        <f t="shared" si="910"/>
        <v>0.61831435472739649</v>
      </c>
      <c r="AI421" s="367">
        <f t="shared" si="910"/>
        <v>0.59753881188552038</v>
      </c>
      <c r="AJ421" s="369">
        <f t="shared" si="910"/>
        <v>2.4289083630855699</v>
      </c>
      <c r="AK421" s="367">
        <f t="shared" si="910"/>
        <v>0.6237106526765076</v>
      </c>
      <c r="AL421" s="367">
        <f t="shared" si="910"/>
        <v>0.82005537444737187</v>
      </c>
      <c r="AM421" s="367">
        <f t="shared" si="910"/>
        <v>0.5908206219164438</v>
      </c>
      <c r="AN421" s="367">
        <f t="shared" si="910"/>
        <v>0.57714298628218008</v>
      </c>
      <c r="AO421" s="369">
        <f t="shared" si="910"/>
        <v>2.6137164664945569</v>
      </c>
      <c r="AP421" s="367">
        <f t="shared" si="910"/>
        <v>0.13333484378185953</v>
      </c>
      <c r="AQ421" s="367">
        <f t="shared" si="910"/>
        <v>-0.86971575522348077</v>
      </c>
      <c r="AR421" s="367">
        <f t="shared" si="910"/>
        <v>-0.33284997657027798</v>
      </c>
      <c r="AS421" s="367">
        <f t="shared" si="910"/>
        <v>-0.32217342159691875</v>
      </c>
      <c r="AT421" s="369">
        <f t="shared" si="910"/>
        <v>-1.4909623316825209</v>
      </c>
      <c r="AU421" s="367">
        <f t="shared" si="910"/>
        <v>0.20123704262309977</v>
      </c>
      <c r="AV421" s="367">
        <f t="shared" si="910"/>
        <v>0.79888501071986229</v>
      </c>
      <c r="AW421" s="367">
        <f t="shared" si="910"/>
        <v>0.64929132025046621</v>
      </c>
      <c r="AX421" s="367">
        <f t="shared" si="910"/>
        <v>0.4873170731993906</v>
      </c>
      <c r="AY421" s="369">
        <f t="shared" si="910"/>
        <v>2.1297908559470629</v>
      </c>
      <c r="AZ421" s="188">
        <f t="shared" si="910"/>
        <v>0.46997824084056994</v>
      </c>
      <c r="BA421" s="367">
        <f t="shared" si="910"/>
        <v>0.51905594062322025</v>
      </c>
      <c r="BB421" s="367">
        <f t="shared" si="910"/>
        <v>-3.2183352466113049E-2</v>
      </c>
      <c r="BC421" s="367">
        <f t="shared" si="910"/>
        <v>0.56033584605012132</v>
      </c>
      <c r="BD421" s="369">
        <f t="shared" si="910"/>
        <v>1.512298171142932</v>
      </c>
      <c r="BE421" s="188">
        <f t="shared" si="910"/>
        <v>0.61450841737313888</v>
      </c>
      <c r="BF421" s="367">
        <f t="shared" si="910"/>
        <v>0.87896506060914492</v>
      </c>
      <c r="BG421" s="367">
        <f t="shared" si="910"/>
        <v>0.38842502806981571</v>
      </c>
      <c r="BH421" s="367">
        <f t="shared" si="910"/>
        <v>0.80318459544529042</v>
      </c>
      <c r="BI421" s="370">
        <f t="shared" si="910"/>
        <v>2.6870948012232474</v>
      </c>
      <c r="BJ421" s="367">
        <f t="shared" ca="1" si="910"/>
        <v>0.64849535869779451</v>
      </c>
      <c r="BK421" s="367">
        <f t="shared" ca="1" si="910"/>
        <v>1.0250438010766427</v>
      </c>
      <c r="BL421" s="367">
        <f t="shared" ca="1" si="910"/>
        <v>0.48619101854728547</v>
      </c>
      <c r="BM421" s="367">
        <f t="shared" ca="1" si="910"/>
        <v>0.91830715138181984</v>
      </c>
      <c r="BN421" s="369">
        <f t="shared" ca="1" si="910"/>
        <v>3.0779497073391124</v>
      </c>
      <c r="BO421" s="367">
        <f t="shared" ca="1" si="910"/>
        <v>0.65221690201287319</v>
      </c>
      <c r="BP421" s="367">
        <f t="shared" ca="1" si="910"/>
        <v>1.0489108733777845</v>
      </c>
      <c r="BQ421" s="367">
        <f t="shared" ca="1" si="910"/>
        <v>0.55729395736826248</v>
      </c>
      <c r="BR421" s="367">
        <f t="shared" ca="1" si="910"/>
        <v>1.0142404655942181</v>
      </c>
      <c r="BS421" s="369">
        <f t="shared" ca="1" si="910"/>
        <v>3.2726919198570745</v>
      </c>
      <c r="BT421" s="369">
        <f t="shared" ca="1" si="910"/>
        <v>3.5332144818759033</v>
      </c>
      <c r="BU421" s="369">
        <f t="shared" ca="1" si="910"/>
        <v>3.8405846230864062</v>
      </c>
      <c r="BV421" s="369">
        <f t="shared" ca="1" si="910"/>
        <v>4.2667870858834096</v>
      </c>
      <c r="BW421" s="188"/>
    </row>
    <row r="422" spans="1:75" ht="15.75" customHeight="1" x14ac:dyDescent="0.2">
      <c r="A422" s="340" t="str">
        <f>CONCATENATE("Consensus Estimates - ",IFERROR(LEFT(A421,FIND("(",A421)-1),A421))</f>
        <v>Consensus Estimates - Adjusted Earnings Per Share - WAD</v>
      </c>
      <c r="B422" s="340"/>
      <c r="C422" s="341"/>
      <c r="D422" s="341"/>
      <c r="E422" s="341"/>
      <c r="F422" s="341"/>
      <c r="G422" s="342"/>
      <c r="H422" s="342"/>
      <c r="I422" s="342"/>
      <c r="J422" s="342"/>
      <c r="K422" s="341"/>
      <c r="L422" s="342"/>
      <c r="M422" s="342"/>
      <c r="N422" s="342"/>
      <c r="O422" s="342"/>
      <c r="P422" s="341"/>
      <c r="Q422" s="342"/>
      <c r="R422" s="342"/>
      <c r="S422" s="342"/>
      <c r="T422" s="342"/>
      <c r="U422" s="341"/>
      <c r="V422" s="342"/>
      <c r="W422" s="342"/>
      <c r="X422" s="342"/>
      <c r="Y422" s="342"/>
      <c r="Z422" s="371"/>
      <c r="AA422" s="342"/>
      <c r="AB422" s="342"/>
      <c r="AC422" s="342"/>
      <c r="AD422" s="342"/>
      <c r="AE422" s="371"/>
      <c r="AF422" s="342"/>
      <c r="AG422" s="342"/>
      <c r="AH422" s="342"/>
      <c r="AI422" s="342"/>
      <c r="AJ422" s="371"/>
      <c r="AK422" s="342"/>
      <c r="AL422" s="342"/>
      <c r="AM422" s="342"/>
      <c r="AN422" s="342"/>
      <c r="AO422" s="371"/>
      <c r="AP422" s="342"/>
      <c r="AQ422" s="342"/>
      <c r="AR422" s="342"/>
      <c r="AS422" s="342"/>
      <c r="AT422" s="371"/>
      <c r="AU422" s="342"/>
      <c r="AV422" s="342"/>
      <c r="AW422" s="342"/>
      <c r="AX422" s="342"/>
      <c r="AY422" s="371"/>
      <c r="AZ422" s="342"/>
      <c r="BA422" s="342"/>
      <c r="BB422" s="342"/>
      <c r="BC422" s="342"/>
      <c r="BD422" s="371"/>
      <c r="BE422" s="342"/>
      <c r="BF422" s="342"/>
      <c r="BG422" s="342"/>
      <c r="BH422" s="342"/>
      <c r="BI422" s="372"/>
      <c r="BJ422" s="373" t="str">
        <f t="shared" ref="BJ422:BS422" ca="1" si="911">IFERROR(VLOOKUP($A422,tb_ConsensusEstimate,MATCH(BJ$5,OFFSET(tb_ConsensusEstimate,0,0,1,COLUMNS(tb_ConsensusEstimate)),0),FALSE),"-")</f>
        <v>N/A</v>
      </c>
      <c r="BK422" s="373" t="str">
        <f t="shared" ca="1" si="911"/>
        <v>N/A</v>
      </c>
      <c r="BL422" s="373" t="str">
        <f t="shared" ca="1" si="911"/>
        <v>N/A</v>
      </c>
      <c r="BM422" s="373" t="str">
        <f t="shared" ca="1" si="911"/>
        <v>N/A</v>
      </c>
      <c r="BN422" s="371" t="str">
        <f t="shared" ca="1" si="911"/>
        <v>N/A</v>
      </c>
      <c r="BO422" s="373" t="str">
        <f t="shared" ca="1" si="911"/>
        <v>N/A</v>
      </c>
      <c r="BP422" s="373" t="str">
        <f t="shared" ca="1" si="911"/>
        <v>N/A</v>
      </c>
      <c r="BQ422" s="373" t="str">
        <f t="shared" ca="1" si="911"/>
        <v>N/A</v>
      </c>
      <c r="BR422" s="373" t="str">
        <f t="shared" ca="1" si="911"/>
        <v>N/A</v>
      </c>
      <c r="BS422" s="371" t="str">
        <f t="shared" ca="1" si="911"/>
        <v>N/A</v>
      </c>
      <c r="BT422" s="371" t="str">
        <f ca="1">IFERROR(VLOOKUP(A422,tb_ConsensusEstimate,MATCH(BT5,OFFSET(tb_ConsensusEstimate,0,0,1,COLUMNS(tb_ConsensusEstimate)),0),FALSE),"-")</f>
        <v>N/A</v>
      </c>
      <c r="BU422" s="371" t="str">
        <f ca="1">IFERROR(VLOOKUP(A422,tb_ConsensusEstimate,MATCH(BU5,OFFSET(tb_ConsensusEstimate,0,0,1,COLUMNS(tb_ConsensusEstimate)),0),FALSE),"-")</f>
        <v>N/A</v>
      </c>
      <c r="BV422" s="371" t="str">
        <f ca="1">IFERROR(VLOOKUP(A422,tb_ConsensusEstimate,MATCH(BV5,OFFSET(tb_ConsensusEstimate,0,0,1,COLUMNS(tb_ConsensusEstimate)),0),FALSE),"-")</f>
        <v>N/A</v>
      </c>
      <c r="BW422" s="342"/>
    </row>
    <row r="423" spans="1:75" ht="15.75" customHeight="1" x14ac:dyDescent="0.2">
      <c r="A423" s="2"/>
      <c r="B423" s="85"/>
      <c r="C423" s="86"/>
      <c r="D423" s="86"/>
      <c r="E423" s="86"/>
      <c r="F423" s="86"/>
      <c r="G423" s="2"/>
      <c r="H423" s="2"/>
      <c r="I423" s="2"/>
      <c r="J423" s="2"/>
      <c r="K423" s="86"/>
      <c r="L423" s="2"/>
      <c r="M423" s="2"/>
      <c r="N423" s="2"/>
      <c r="O423" s="2"/>
      <c r="P423" s="86"/>
      <c r="Q423" s="2"/>
      <c r="R423" s="2"/>
      <c r="S423" s="2"/>
      <c r="T423" s="2"/>
      <c r="U423" s="86"/>
      <c r="V423" s="2"/>
      <c r="W423" s="2"/>
      <c r="X423" s="2"/>
      <c r="Y423" s="2"/>
      <c r="Z423" s="86"/>
      <c r="AA423" s="2"/>
      <c r="AB423" s="2"/>
      <c r="AC423" s="2"/>
      <c r="AD423" s="2"/>
      <c r="AE423" s="86"/>
      <c r="AF423" s="2"/>
      <c r="AG423" s="2"/>
      <c r="AH423" s="2"/>
      <c r="AI423" s="2"/>
      <c r="AJ423" s="86"/>
      <c r="AK423" s="2"/>
      <c r="AL423" s="2"/>
      <c r="AM423" s="2"/>
      <c r="AN423" s="2"/>
      <c r="AO423" s="86"/>
      <c r="AP423" s="2"/>
      <c r="AQ423" s="2"/>
      <c r="AR423" s="2"/>
      <c r="AS423" s="2"/>
      <c r="AT423" s="86"/>
      <c r="AU423" s="2"/>
      <c r="AV423" s="2"/>
      <c r="AW423" s="2"/>
      <c r="AX423" s="2"/>
      <c r="AY423" s="86"/>
      <c r="AZ423" s="2"/>
      <c r="BA423" s="2"/>
      <c r="BB423" s="2"/>
      <c r="BC423" s="2"/>
      <c r="BD423" s="86"/>
      <c r="BE423" s="2"/>
      <c r="BF423" s="2"/>
      <c r="BG423" s="2"/>
      <c r="BH423" s="2"/>
      <c r="BI423" s="90"/>
      <c r="BJ423" s="2"/>
      <c r="BK423" s="2"/>
      <c r="BL423" s="2"/>
      <c r="BM423" s="2"/>
      <c r="BN423" s="86"/>
      <c r="BO423" s="2"/>
      <c r="BP423" s="2"/>
      <c r="BQ423" s="2"/>
      <c r="BR423" s="2"/>
      <c r="BS423" s="86"/>
      <c r="BT423" s="86"/>
      <c r="BU423" s="86"/>
      <c r="BV423" s="86"/>
      <c r="BW423" s="4"/>
    </row>
    <row r="424" spans="1:75" ht="15.75" customHeight="1" x14ac:dyDescent="0.2">
      <c r="A424" s="85" t="s">
        <v>729</v>
      </c>
      <c r="B424" s="85"/>
      <c r="C424" s="87">
        <v>59.362000000000002</v>
      </c>
      <c r="D424" s="87">
        <v>58.905000000000001</v>
      </c>
      <c r="E424" s="87">
        <v>56.378</v>
      </c>
      <c r="F424" s="87">
        <v>53.185000000000002</v>
      </c>
      <c r="G424" s="88">
        <v>52.255000000000003</v>
      </c>
      <c r="H424" s="88">
        <v>52.892000000000003</v>
      </c>
      <c r="I424" s="88">
        <v>52.415999999999997</v>
      </c>
      <c r="J424" s="88">
        <v>51.351999999999997</v>
      </c>
      <c r="K424" s="87">
        <v>52.228999999999999</v>
      </c>
      <c r="L424" s="88">
        <v>50.744999999999997</v>
      </c>
      <c r="M424" s="88">
        <v>49.348999999999997</v>
      </c>
      <c r="N424" s="88">
        <v>48.981000000000002</v>
      </c>
      <c r="O424" s="88">
        <v>49.198</v>
      </c>
      <c r="P424" s="87">
        <v>49.567</v>
      </c>
      <c r="Q424" s="88">
        <v>49.225000000000001</v>
      </c>
      <c r="R424" s="88">
        <v>48.451000000000001</v>
      </c>
      <c r="S424" s="88">
        <v>48.847999999999999</v>
      </c>
      <c r="T424" s="88">
        <v>48.808</v>
      </c>
      <c r="U424" s="87">
        <v>48.832999999999998</v>
      </c>
      <c r="V424" s="88">
        <v>48.518000000000001</v>
      </c>
      <c r="W424" s="88">
        <v>48.231999999999999</v>
      </c>
      <c r="X424" s="88">
        <v>47.814999999999998</v>
      </c>
      <c r="Y424" s="88">
        <v>47.402999999999999</v>
      </c>
      <c r="Z424" s="87">
        <v>47.981000000000002</v>
      </c>
      <c r="AA424" s="88">
        <v>47.634</v>
      </c>
      <c r="AB424" s="88">
        <v>47.731999999999999</v>
      </c>
      <c r="AC424" s="88">
        <v>46.601999999999997</v>
      </c>
      <c r="AD424" s="88">
        <v>45.750999999999998</v>
      </c>
      <c r="AE424" s="87">
        <v>46.93</v>
      </c>
      <c r="AF424" s="88">
        <v>45.552</v>
      </c>
      <c r="AG424" s="88">
        <v>45.383000000000003</v>
      </c>
      <c r="AH424" s="88">
        <v>45.320999999999998</v>
      </c>
      <c r="AI424" s="88">
        <v>44.795999999999999</v>
      </c>
      <c r="AJ424" s="87">
        <v>45.262999999999998</v>
      </c>
      <c r="AK424" s="88">
        <v>44.255000000000003</v>
      </c>
      <c r="AL424" s="88">
        <v>44.164999999999999</v>
      </c>
      <c r="AM424" s="88">
        <v>43.682000000000002</v>
      </c>
      <c r="AN424" s="88">
        <v>43.694000000000003</v>
      </c>
      <c r="AO424" s="87">
        <v>43.948999999999998</v>
      </c>
      <c r="AP424" s="88">
        <v>43.773000000000003</v>
      </c>
      <c r="AQ424" s="88">
        <v>43.874000000000002</v>
      </c>
      <c r="AR424" s="88">
        <v>43.9</v>
      </c>
      <c r="AS424" s="88">
        <v>43.927999999999997</v>
      </c>
      <c r="AT424" s="87">
        <v>43.869</v>
      </c>
      <c r="AU424" s="88">
        <v>44.189</v>
      </c>
      <c r="AV424" s="88">
        <v>45.470999999999997</v>
      </c>
      <c r="AW424" s="88">
        <v>50.212000000000003</v>
      </c>
      <c r="AX424" s="88">
        <v>50.243000000000002</v>
      </c>
      <c r="AY424" s="87">
        <v>47.529000000000003</v>
      </c>
      <c r="AZ424" s="88">
        <v>50.332999999999998</v>
      </c>
      <c r="BA424" s="88">
        <v>50.387</v>
      </c>
      <c r="BB424" s="88">
        <v>49.652999999999999</v>
      </c>
      <c r="BC424" s="88">
        <v>48.951000000000001</v>
      </c>
      <c r="BD424" s="87">
        <v>49.814999999999998</v>
      </c>
      <c r="BE424" s="88">
        <v>48.694000000000003</v>
      </c>
      <c r="BF424" s="88">
        <v>48.491999999999997</v>
      </c>
      <c r="BG424" s="88">
        <v>48.280999999999999</v>
      </c>
      <c r="BH424" s="88">
        <v>47.828000000000003</v>
      </c>
      <c r="BI424" s="89">
        <v>48.323999999999998</v>
      </c>
      <c r="BJ424" s="2">
        <f ca="1">AVERAGE(BH436,BJ436)</f>
        <v>47.768517306449993</v>
      </c>
      <c r="BK424" s="2">
        <f t="shared" ref="BK424:BM424" ca="1" si="912">AVERAGE(BJ436,BK436)</f>
        <v>47.77329415818064</v>
      </c>
      <c r="BL424" s="2">
        <f t="shared" ca="1" si="912"/>
        <v>47.778071487596463</v>
      </c>
      <c r="BM424" s="2">
        <f t="shared" ca="1" si="912"/>
        <v>47.782849294745219</v>
      </c>
      <c r="BN424" s="86">
        <f ca="1">SUM(BJ424*BJ3,BK424*BK3,BL424*BL3,BM424*BM3)/BN3</f>
        <v>47.775683061743081</v>
      </c>
      <c r="BO424" s="2">
        <f ca="1">AVERAGE(BM436,BO436)</f>
        <v>47.787627579674691</v>
      </c>
      <c r="BP424" s="2">
        <f t="shared" ref="BP424:BR424" ca="1" si="913">AVERAGE(BO436,BP436)</f>
        <v>47.792406342432656</v>
      </c>
      <c r="BQ424" s="2">
        <f t="shared" ca="1" si="913"/>
        <v>47.797185583066899</v>
      </c>
      <c r="BR424" s="2">
        <f t="shared" ca="1" si="913"/>
        <v>47.801965301625202</v>
      </c>
      <c r="BS424" s="86">
        <f ca="1">SUM(BO424*BO3,BP424*BP3,BQ424*BQ3,BR424*BR3)/BS3</f>
        <v>47.79479620169986</v>
      </c>
      <c r="BT424" s="86">
        <f t="shared" ref="BT424:BV424" ca="1" si="914">AVERAGE(BS436,BT436)</f>
        <v>47.81391615144743</v>
      </c>
      <c r="BU424" s="86">
        <f t="shared" ca="1" si="914"/>
        <v>47.833041717908003</v>
      </c>
      <c r="BV424" s="86">
        <f t="shared" ca="1" si="914"/>
        <v>47.852174934595169</v>
      </c>
      <c r="BW424" s="2"/>
    </row>
    <row r="425" spans="1:75" ht="15.75" customHeight="1" x14ac:dyDescent="0.2">
      <c r="A425" s="85" t="s">
        <v>730</v>
      </c>
      <c r="B425" s="85"/>
      <c r="C425" s="87">
        <v>60.082000000000001</v>
      </c>
      <c r="D425" s="87">
        <v>60.445999999999998</v>
      </c>
      <c r="E425" s="87">
        <v>58.19</v>
      </c>
      <c r="F425" s="87">
        <v>55.210999999999999</v>
      </c>
      <c r="G425" s="88">
        <v>54.305</v>
      </c>
      <c r="H425" s="88">
        <v>55.073</v>
      </c>
      <c r="I425" s="88">
        <v>54.612000000000002</v>
      </c>
      <c r="J425" s="88">
        <v>53.603999999999999</v>
      </c>
      <c r="K425" s="87">
        <v>54.377000000000002</v>
      </c>
      <c r="L425" s="88">
        <v>52.844000000000001</v>
      </c>
      <c r="M425" s="88">
        <v>51.357999999999997</v>
      </c>
      <c r="N425" s="88">
        <v>50.963000000000001</v>
      </c>
      <c r="O425" s="88">
        <v>51.207000000000001</v>
      </c>
      <c r="P425" s="87">
        <v>51.584000000000003</v>
      </c>
      <c r="Q425" s="88">
        <v>51.101999999999997</v>
      </c>
      <c r="R425" s="88">
        <v>50.262</v>
      </c>
      <c r="S425" s="88">
        <v>50.637</v>
      </c>
      <c r="T425" s="88">
        <v>50.47</v>
      </c>
      <c r="U425" s="87">
        <v>50.604999999999997</v>
      </c>
      <c r="V425" s="88">
        <v>50.036999999999999</v>
      </c>
      <c r="W425" s="88">
        <v>49.597999999999999</v>
      </c>
      <c r="X425" s="88">
        <v>49.212000000000003</v>
      </c>
      <c r="Y425" s="88">
        <v>48.795000000000002</v>
      </c>
      <c r="Z425" s="87">
        <v>49.372</v>
      </c>
      <c r="AA425" s="88">
        <v>49.21</v>
      </c>
      <c r="AB425" s="88">
        <v>49.046999999999997</v>
      </c>
      <c r="AC425" s="88">
        <v>47.518999999999998</v>
      </c>
      <c r="AD425" s="88">
        <v>46.73</v>
      </c>
      <c r="AE425" s="87">
        <v>48.152000000000001</v>
      </c>
      <c r="AF425" s="88">
        <v>46.573999999999998</v>
      </c>
      <c r="AG425" s="88">
        <v>46.57</v>
      </c>
      <c r="AH425" s="88">
        <v>46.368000000000002</v>
      </c>
      <c r="AI425" s="88">
        <v>45.668999999999997</v>
      </c>
      <c r="AJ425" s="87">
        <v>46.215000000000003</v>
      </c>
      <c r="AK425" s="88">
        <v>44.984000000000002</v>
      </c>
      <c r="AL425" s="88">
        <v>44.786000000000001</v>
      </c>
      <c r="AM425" s="88">
        <v>44.186</v>
      </c>
      <c r="AN425" s="88">
        <v>44.249000000000002</v>
      </c>
      <c r="AO425" s="87">
        <v>44.545000000000002</v>
      </c>
      <c r="AP425" s="88">
        <v>44.137</v>
      </c>
      <c r="AQ425" s="88">
        <v>43.874000000000002</v>
      </c>
      <c r="AR425" s="88">
        <v>43.9</v>
      </c>
      <c r="AS425" s="88">
        <v>43.927999999999997</v>
      </c>
      <c r="AT425" s="87">
        <v>43.869</v>
      </c>
      <c r="AU425" s="88">
        <v>44.189</v>
      </c>
      <c r="AV425" s="88">
        <v>46.777000000000001</v>
      </c>
      <c r="AW425" s="88">
        <v>51.112650000000002</v>
      </c>
      <c r="AX425" s="88">
        <v>51.052999999999997</v>
      </c>
      <c r="AY425" s="87">
        <v>48.51</v>
      </c>
      <c r="AZ425" s="88">
        <v>51.012999999999998</v>
      </c>
      <c r="BA425" s="88">
        <v>50.929000000000002</v>
      </c>
      <c r="BB425" s="88">
        <v>49.652999999999999</v>
      </c>
      <c r="BC425" s="88">
        <v>48.951000000000001</v>
      </c>
      <c r="BD425" s="87">
        <v>50.414000000000001</v>
      </c>
      <c r="BE425" s="88">
        <v>49.777999999999999</v>
      </c>
      <c r="BF425" s="88">
        <v>49.085000000000001</v>
      </c>
      <c r="BG425" s="88">
        <v>48.984999999999999</v>
      </c>
      <c r="BH425" s="88">
        <v>48.609000000000002</v>
      </c>
      <c r="BI425" s="89">
        <v>49.05</v>
      </c>
      <c r="BJ425" s="2">
        <f t="shared" ref="BJ425:BM425" ca="1" si="915">IF(BJ411&lt;0,BJ424,AVERAGE(BI447,BJ447))</f>
        <v>48.509025868118698</v>
      </c>
      <c r="BK425" s="2">
        <f t="shared" ca="1" si="915"/>
        <v>48.473346282374209</v>
      </c>
      <c r="BL425" s="2">
        <f t="shared" ca="1" si="915"/>
        <v>48.478193617002447</v>
      </c>
      <c r="BM425" s="2">
        <f t="shared" ca="1" si="915"/>
        <v>48.483041436364147</v>
      </c>
      <c r="BN425" s="86">
        <f ca="1">IF(BN411&lt;0,BN424,SUM(AVERAGE(BI447,BJ447)*BJ3,AVERAGE(BJ447,BK447)*BK3,AVERAGE(BK447,BL447)*BL3,AVERAGE(BL447,BM447)*BM3)/BN3)</f>
        <v>48.485901800964882</v>
      </c>
      <c r="BO425" s="2">
        <f t="shared" ref="BO425:BR425" ca="1" si="916">IF(BO411&lt;0,BO424,AVERAGE(BN447,BO447))</f>
        <v>48.487889740507782</v>
      </c>
      <c r="BP425" s="2">
        <f t="shared" ca="1" si="916"/>
        <v>48.492738529481827</v>
      </c>
      <c r="BQ425" s="2">
        <f t="shared" ca="1" si="916"/>
        <v>48.497587803334774</v>
      </c>
      <c r="BR425" s="2">
        <f t="shared" ca="1" si="916"/>
        <v>48.502437562115105</v>
      </c>
      <c r="BS425" s="86">
        <f ca="1">IF(BS411&lt;0,BS424,SUM(AVERAGE(BN447,BO447)*BO3,AVERAGE(BO447,BP447)*BP3,AVERAGE(BP447,BQ447)*BQ3,AVERAGE(BQ447,BR447)*BR3)/BS3)</f>
        <v>48.495163408859881</v>
      </c>
      <c r="BT425" s="86">
        <f t="shared" ref="BT425:BV425" ca="1" si="917">IF(BT411&lt;0,BT424,AVERAGE(BS447,BT447))</f>
        <v>48.514563535255732</v>
      </c>
      <c r="BU425" s="86">
        <f t="shared" ca="1" si="917"/>
        <v>48.533969360669829</v>
      </c>
      <c r="BV425" s="86">
        <f t="shared" ca="1" si="917"/>
        <v>48.553382948414097</v>
      </c>
      <c r="BW425" s="2"/>
    </row>
    <row r="426" spans="1:75" ht="15.75" customHeight="1" x14ac:dyDescent="0.2">
      <c r="A426" s="85" t="s">
        <v>731</v>
      </c>
      <c r="B426" s="85"/>
      <c r="C426" s="86">
        <f t="shared" ref="C426:AP426" si="918">C425</f>
        <v>60.082000000000001</v>
      </c>
      <c r="D426" s="86">
        <f t="shared" si="918"/>
        <v>60.445999999999998</v>
      </c>
      <c r="E426" s="86">
        <f t="shared" si="918"/>
        <v>58.19</v>
      </c>
      <c r="F426" s="86">
        <f t="shared" si="918"/>
        <v>55.210999999999999</v>
      </c>
      <c r="G426" s="2">
        <f t="shared" si="918"/>
        <v>54.305</v>
      </c>
      <c r="H426" s="2">
        <f t="shared" si="918"/>
        <v>55.073</v>
      </c>
      <c r="I426" s="2">
        <f t="shared" si="918"/>
        <v>54.612000000000002</v>
      </c>
      <c r="J426" s="2">
        <f t="shared" si="918"/>
        <v>53.603999999999999</v>
      </c>
      <c r="K426" s="86">
        <f t="shared" si="918"/>
        <v>54.377000000000002</v>
      </c>
      <c r="L426" s="2">
        <f t="shared" si="918"/>
        <v>52.844000000000001</v>
      </c>
      <c r="M426" s="2">
        <f t="shared" si="918"/>
        <v>51.357999999999997</v>
      </c>
      <c r="N426" s="2">
        <f t="shared" si="918"/>
        <v>50.963000000000001</v>
      </c>
      <c r="O426" s="2">
        <f t="shared" si="918"/>
        <v>51.207000000000001</v>
      </c>
      <c r="P426" s="86">
        <f t="shared" si="918"/>
        <v>51.584000000000003</v>
      </c>
      <c r="Q426" s="2">
        <f t="shared" si="918"/>
        <v>51.101999999999997</v>
      </c>
      <c r="R426" s="2">
        <f t="shared" si="918"/>
        <v>50.262</v>
      </c>
      <c r="S426" s="2">
        <f t="shared" si="918"/>
        <v>50.637</v>
      </c>
      <c r="T426" s="2">
        <f t="shared" si="918"/>
        <v>50.47</v>
      </c>
      <c r="U426" s="86">
        <f t="shared" si="918"/>
        <v>50.604999999999997</v>
      </c>
      <c r="V426" s="2">
        <f t="shared" si="918"/>
        <v>50.036999999999999</v>
      </c>
      <c r="W426" s="2">
        <f t="shared" si="918"/>
        <v>49.597999999999999</v>
      </c>
      <c r="X426" s="2">
        <f t="shared" si="918"/>
        <v>49.212000000000003</v>
      </c>
      <c r="Y426" s="2">
        <f t="shared" si="918"/>
        <v>48.795000000000002</v>
      </c>
      <c r="Z426" s="86">
        <f t="shared" si="918"/>
        <v>49.372</v>
      </c>
      <c r="AA426" s="2">
        <f t="shared" si="918"/>
        <v>49.21</v>
      </c>
      <c r="AB426" s="2">
        <f t="shared" si="918"/>
        <v>49.046999999999997</v>
      </c>
      <c r="AC426" s="2">
        <f t="shared" si="918"/>
        <v>47.518999999999998</v>
      </c>
      <c r="AD426" s="2">
        <f t="shared" si="918"/>
        <v>46.73</v>
      </c>
      <c r="AE426" s="86">
        <f t="shared" si="918"/>
        <v>48.152000000000001</v>
      </c>
      <c r="AF426" s="2">
        <f t="shared" si="918"/>
        <v>46.573999999999998</v>
      </c>
      <c r="AG426" s="2">
        <f t="shared" si="918"/>
        <v>46.57</v>
      </c>
      <c r="AH426" s="2">
        <f t="shared" si="918"/>
        <v>46.368000000000002</v>
      </c>
      <c r="AI426" s="2">
        <f t="shared" si="918"/>
        <v>45.668999999999997</v>
      </c>
      <c r="AJ426" s="86">
        <f t="shared" si="918"/>
        <v>46.215000000000003</v>
      </c>
      <c r="AK426" s="2">
        <f t="shared" si="918"/>
        <v>44.984000000000002</v>
      </c>
      <c r="AL426" s="2">
        <f t="shared" si="918"/>
        <v>44.786000000000001</v>
      </c>
      <c r="AM426" s="2">
        <f t="shared" si="918"/>
        <v>44.186</v>
      </c>
      <c r="AN426" s="2">
        <f t="shared" si="918"/>
        <v>44.249000000000002</v>
      </c>
      <c r="AO426" s="86">
        <f t="shared" si="918"/>
        <v>44.545000000000002</v>
      </c>
      <c r="AP426" s="2">
        <f t="shared" si="918"/>
        <v>44.137</v>
      </c>
      <c r="AQ426" s="88">
        <v>52.871296999999998</v>
      </c>
      <c r="AR426" s="88">
        <v>53.062944999999999</v>
      </c>
      <c r="AS426" s="88">
        <v>53.306694</v>
      </c>
      <c r="AT426" s="87">
        <v>50.258814999999998</v>
      </c>
      <c r="AU426" s="88">
        <v>53.787314000000002</v>
      </c>
      <c r="AV426" s="88">
        <v>54.902769999999997</v>
      </c>
      <c r="AW426" s="88">
        <v>51.112650000000002</v>
      </c>
      <c r="AX426" s="2">
        <f>50.243003+(AX425-AX424)</f>
        <v>51.053002999999997</v>
      </c>
      <c r="AY426" s="86">
        <f>51.959879+(AY425-AY424)</f>
        <v>52.940878999999995</v>
      </c>
      <c r="AZ426" s="2">
        <f t="shared" ref="AZ426:BI426" si="919">AZ425</f>
        <v>51.012999999999998</v>
      </c>
      <c r="BA426" s="2">
        <f t="shared" si="919"/>
        <v>50.929000000000002</v>
      </c>
      <c r="BB426" s="2">
        <f t="shared" si="919"/>
        <v>49.652999999999999</v>
      </c>
      <c r="BC426" s="2">
        <f t="shared" si="919"/>
        <v>48.951000000000001</v>
      </c>
      <c r="BD426" s="86">
        <f t="shared" si="919"/>
        <v>50.414000000000001</v>
      </c>
      <c r="BE426" s="2">
        <f t="shared" si="919"/>
        <v>49.777999999999999</v>
      </c>
      <c r="BF426" s="2">
        <f t="shared" si="919"/>
        <v>49.085000000000001</v>
      </c>
      <c r="BG426" s="2">
        <f t="shared" si="919"/>
        <v>48.984999999999999</v>
      </c>
      <c r="BH426" s="2">
        <f t="shared" si="919"/>
        <v>48.609000000000002</v>
      </c>
      <c r="BI426" s="90">
        <f t="shared" si="919"/>
        <v>49.05</v>
      </c>
      <c r="BJ426" s="2">
        <f t="shared" ref="BJ426:BM426" ca="1" si="920">IF(BJ414&lt;0,BJ424,AVERAGE(BI447,BJ447))</f>
        <v>48.509025868118698</v>
      </c>
      <c r="BK426" s="2">
        <f t="shared" ca="1" si="920"/>
        <v>48.473346282374209</v>
      </c>
      <c r="BL426" s="2">
        <f t="shared" ca="1" si="920"/>
        <v>48.478193617002447</v>
      </c>
      <c r="BM426" s="2">
        <f t="shared" ca="1" si="920"/>
        <v>48.483041436364147</v>
      </c>
      <c r="BN426" s="86">
        <f ca="1">IF(BN414&lt;0,BN424,SUM(AVERAGE(BI447,BJ447)*BJ3,AVERAGE(BJ447,BK447)*BK3,AVERAGE(BK447,BL447)*BL3,AVERAGE(BL447,BM447)*BM3)/BN3)</f>
        <v>48.485901800964882</v>
      </c>
      <c r="BO426" s="2">
        <f t="shared" ref="BO426:BR426" ca="1" si="921">IF(BO414&lt;0,BO424,AVERAGE(BN447,BO447))</f>
        <v>48.487889740507782</v>
      </c>
      <c r="BP426" s="2">
        <f t="shared" ca="1" si="921"/>
        <v>48.492738529481827</v>
      </c>
      <c r="BQ426" s="2">
        <f t="shared" ca="1" si="921"/>
        <v>48.497587803334774</v>
      </c>
      <c r="BR426" s="2">
        <f t="shared" ca="1" si="921"/>
        <v>48.502437562115105</v>
      </c>
      <c r="BS426" s="86">
        <f ca="1">IF(BS414&lt;0,BS424,SUM(AVERAGE(BN447,BO447)*BO3,AVERAGE(BO447,BP447)*BP3,AVERAGE(BP447,BQ447)*BQ3,AVERAGE(BQ447,BR447)*BR3)/BS3)</f>
        <v>48.495163408859881</v>
      </c>
      <c r="BT426" s="86">
        <f t="shared" ref="BT426:BV426" ca="1" si="922">IF(BT414&lt;0,BT424,AVERAGE(BS447,BT447))</f>
        <v>48.514563535255732</v>
      </c>
      <c r="BU426" s="86">
        <f t="shared" ca="1" si="922"/>
        <v>48.533969360669829</v>
      </c>
      <c r="BV426" s="86">
        <f t="shared" ca="1" si="922"/>
        <v>48.553382948414097</v>
      </c>
      <c r="BW426" s="2"/>
    </row>
    <row r="427" spans="1:75" ht="15.75" customHeight="1" x14ac:dyDescent="0.2">
      <c r="A427" s="85"/>
      <c r="B427" s="85"/>
      <c r="C427" s="86"/>
      <c r="D427" s="86"/>
      <c r="E427" s="86"/>
      <c r="F427" s="86"/>
      <c r="G427" s="2"/>
      <c r="H427" s="2"/>
      <c r="I427" s="2"/>
      <c r="J427" s="2"/>
      <c r="K427" s="86"/>
      <c r="L427" s="2"/>
      <c r="M427" s="2"/>
      <c r="N427" s="2"/>
      <c r="O427" s="2"/>
      <c r="P427" s="86"/>
      <c r="Q427" s="2"/>
      <c r="R427" s="2"/>
      <c r="S427" s="2"/>
      <c r="T427" s="2"/>
      <c r="U427" s="86"/>
      <c r="V427" s="2"/>
      <c r="W427" s="2"/>
      <c r="X427" s="2"/>
      <c r="Y427" s="2"/>
      <c r="Z427" s="86"/>
      <c r="AA427" s="2"/>
      <c r="AB427" s="2"/>
      <c r="AC427" s="2"/>
      <c r="AD427" s="2"/>
      <c r="AE427" s="86"/>
      <c r="AF427" s="2"/>
      <c r="AG427" s="2"/>
      <c r="AH427" s="2"/>
      <c r="AI427" s="2"/>
      <c r="AJ427" s="86"/>
      <c r="AK427" s="2"/>
      <c r="AL427" s="2"/>
      <c r="AM427" s="2"/>
      <c r="AN427" s="2"/>
      <c r="AO427" s="86"/>
      <c r="AP427" s="2"/>
      <c r="AQ427" s="2"/>
      <c r="AR427" s="2"/>
      <c r="AS427" s="2"/>
      <c r="AT427" s="86"/>
      <c r="AU427" s="2"/>
      <c r="AV427" s="2"/>
      <c r="AW427" s="2"/>
      <c r="AX427" s="2"/>
      <c r="AY427" s="86"/>
      <c r="AZ427" s="2"/>
      <c r="BA427" s="2"/>
      <c r="BB427" s="2"/>
      <c r="BC427" s="2"/>
      <c r="BD427" s="86"/>
      <c r="BE427" s="2"/>
      <c r="BF427" s="2"/>
      <c r="BG427" s="2"/>
      <c r="BH427" s="2"/>
      <c r="BI427" s="90"/>
      <c r="BJ427" s="2"/>
      <c r="BK427" s="2"/>
      <c r="BL427" s="2"/>
      <c r="BM427" s="2"/>
      <c r="BN427" s="86"/>
      <c r="BO427" s="2"/>
      <c r="BP427" s="2"/>
      <c r="BQ427" s="2"/>
      <c r="BR427" s="2"/>
      <c r="BS427" s="86"/>
      <c r="BT427" s="86"/>
      <c r="BU427" s="86"/>
      <c r="BV427" s="86"/>
      <c r="BW427" s="4"/>
    </row>
    <row r="428" spans="1:75" ht="15.75" customHeight="1" x14ac:dyDescent="0.2">
      <c r="A428" s="374" t="s">
        <v>732</v>
      </c>
      <c r="B428" s="374"/>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c r="AA428" s="375"/>
      <c r="AB428" s="375"/>
      <c r="AC428" s="375"/>
      <c r="AD428" s="375"/>
      <c r="AE428" s="375"/>
      <c r="AF428" s="375"/>
      <c r="AG428" s="375"/>
      <c r="AH428" s="375"/>
      <c r="AI428" s="375"/>
      <c r="AJ428" s="375"/>
      <c r="AK428" s="375"/>
      <c r="AL428" s="375"/>
      <c r="AM428" s="375"/>
      <c r="AN428" s="375"/>
      <c r="AO428" s="375"/>
      <c r="AP428" s="375"/>
      <c r="AQ428" s="375"/>
      <c r="AR428" s="375"/>
      <c r="AS428" s="375"/>
      <c r="AT428" s="375"/>
      <c r="AU428" s="375"/>
      <c r="AV428" s="375"/>
      <c r="AW428" s="375"/>
      <c r="AX428" s="375"/>
      <c r="AY428" s="375"/>
      <c r="AZ428" s="375"/>
      <c r="BA428" s="375"/>
      <c r="BB428" s="375"/>
      <c r="BC428" s="375"/>
      <c r="BD428" s="375"/>
      <c r="BE428" s="375"/>
      <c r="BF428" s="375"/>
      <c r="BG428" s="375"/>
      <c r="BH428" s="375"/>
      <c r="BI428" s="376"/>
      <c r="BJ428" s="375"/>
      <c r="BK428" s="375"/>
      <c r="BL428" s="375"/>
      <c r="BM428" s="375"/>
      <c r="BN428" s="375"/>
      <c r="BO428" s="375"/>
      <c r="BP428" s="375"/>
      <c r="BQ428" s="375"/>
      <c r="BR428" s="375"/>
      <c r="BS428" s="375"/>
      <c r="BT428" s="375"/>
      <c r="BU428" s="375"/>
      <c r="BV428" s="375"/>
      <c r="BW428" s="4"/>
    </row>
    <row r="429" spans="1:75" ht="15" hidden="1" customHeight="1" outlineLevel="2" x14ac:dyDescent="0.2">
      <c r="A429" s="125" t="s">
        <v>733</v>
      </c>
      <c r="B429" s="125"/>
      <c r="C429" s="377">
        <f t="shared" ref="C429:BI429" si="923">WORKDAY(C4+1,-1)</f>
        <v>40176</v>
      </c>
      <c r="D429" s="377">
        <f t="shared" si="923"/>
        <v>40540</v>
      </c>
      <c r="E429" s="377">
        <f t="shared" si="923"/>
        <v>40911</v>
      </c>
      <c r="F429" s="377">
        <f t="shared" si="923"/>
        <v>41275</v>
      </c>
      <c r="G429" s="378">
        <f t="shared" si="923"/>
        <v>41366</v>
      </c>
      <c r="H429" s="378">
        <f t="shared" si="923"/>
        <v>41457</v>
      </c>
      <c r="I429" s="378">
        <f t="shared" si="923"/>
        <v>41548</v>
      </c>
      <c r="J429" s="378">
        <f t="shared" si="923"/>
        <v>41639</v>
      </c>
      <c r="K429" s="377">
        <f t="shared" si="923"/>
        <v>41639</v>
      </c>
      <c r="L429" s="378">
        <f t="shared" si="923"/>
        <v>41730</v>
      </c>
      <c r="M429" s="378">
        <f t="shared" si="923"/>
        <v>41821</v>
      </c>
      <c r="N429" s="378">
        <f t="shared" si="923"/>
        <v>41912</v>
      </c>
      <c r="O429" s="378">
        <f t="shared" si="923"/>
        <v>42003</v>
      </c>
      <c r="P429" s="377">
        <f t="shared" si="923"/>
        <v>42003</v>
      </c>
      <c r="Q429" s="378">
        <f t="shared" si="923"/>
        <v>42094</v>
      </c>
      <c r="R429" s="378">
        <f t="shared" si="923"/>
        <v>42185</v>
      </c>
      <c r="S429" s="378">
        <f t="shared" si="923"/>
        <v>42276</v>
      </c>
      <c r="T429" s="378">
        <f t="shared" si="923"/>
        <v>42367</v>
      </c>
      <c r="U429" s="377">
        <f t="shared" si="923"/>
        <v>42367</v>
      </c>
      <c r="V429" s="378">
        <f t="shared" si="923"/>
        <v>42458</v>
      </c>
      <c r="W429" s="378">
        <f t="shared" si="923"/>
        <v>42549</v>
      </c>
      <c r="X429" s="378">
        <f t="shared" si="923"/>
        <v>42640</v>
      </c>
      <c r="Y429" s="378">
        <f t="shared" si="923"/>
        <v>42738</v>
      </c>
      <c r="Z429" s="377">
        <f t="shared" si="923"/>
        <v>42738</v>
      </c>
      <c r="AA429" s="378">
        <f t="shared" si="923"/>
        <v>42829</v>
      </c>
      <c r="AB429" s="378">
        <f t="shared" si="923"/>
        <v>42920</v>
      </c>
      <c r="AC429" s="378">
        <f t="shared" si="923"/>
        <v>43011</v>
      </c>
      <c r="AD429" s="378">
        <f t="shared" si="923"/>
        <v>43102</v>
      </c>
      <c r="AE429" s="377">
        <f t="shared" si="923"/>
        <v>43102</v>
      </c>
      <c r="AF429" s="378">
        <f t="shared" si="923"/>
        <v>43193</v>
      </c>
      <c r="AG429" s="378">
        <f t="shared" si="923"/>
        <v>43284</v>
      </c>
      <c r="AH429" s="378">
        <f t="shared" si="923"/>
        <v>43375</v>
      </c>
      <c r="AI429" s="378">
        <f t="shared" si="923"/>
        <v>43466</v>
      </c>
      <c r="AJ429" s="377">
        <f t="shared" si="923"/>
        <v>43466</v>
      </c>
      <c r="AK429" s="378">
        <f t="shared" si="923"/>
        <v>43557</v>
      </c>
      <c r="AL429" s="378">
        <f t="shared" si="923"/>
        <v>43648</v>
      </c>
      <c r="AM429" s="378">
        <f t="shared" si="923"/>
        <v>43739</v>
      </c>
      <c r="AN429" s="378">
        <f t="shared" si="923"/>
        <v>43830</v>
      </c>
      <c r="AO429" s="377">
        <f t="shared" si="923"/>
        <v>43830</v>
      </c>
      <c r="AP429" s="378">
        <f t="shared" si="923"/>
        <v>43921</v>
      </c>
      <c r="AQ429" s="378">
        <f t="shared" si="923"/>
        <v>44012</v>
      </c>
      <c r="AR429" s="378">
        <f t="shared" si="923"/>
        <v>44103</v>
      </c>
      <c r="AS429" s="378">
        <f t="shared" si="923"/>
        <v>44194</v>
      </c>
      <c r="AT429" s="377">
        <f t="shared" si="923"/>
        <v>44194</v>
      </c>
      <c r="AU429" s="378">
        <f t="shared" si="923"/>
        <v>44285</v>
      </c>
      <c r="AV429" s="378">
        <f t="shared" si="923"/>
        <v>44376</v>
      </c>
      <c r="AW429" s="378">
        <f t="shared" si="923"/>
        <v>44467</v>
      </c>
      <c r="AX429" s="378">
        <f t="shared" si="923"/>
        <v>44558</v>
      </c>
      <c r="AY429" s="377">
        <f t="shared" si="923"/>
        <v>44558</v>
      </c>
      <c r="AZ429" s="378">
        <f t="shared" si="923"/>
        <v>44649</v>
      </c>
      <c r="BA429" s="378">
        <f t="shared" si="923"/>
        <v>44740</v>
      </c>
      <c r="BB429" s="378">
        <f t="shared" si="923"/>
        <v>44831</v>
      </c>
      <c r="BC429" s="378">
        <f t="shared" si="923"/>
        <v>44929</v>
      </c>
      <c r="BD429" s="377">
        <f t="shared" si="923"/>
        <v>44929</v>
      </c>
      <c r="BE429" s="378">
        <f t="shared" si="923"/>
        <v>45019</v>
      </c>
      <c r="BF429" s="378">
        <f t="shared" si="923"/>
        <v>45111</v>
      </c>
      <c r="BG429" s="378">
        <f t="shared" si="923"/>
        <v>45202</v>
      </c>
      <c r="BH429" s="378">
        <f t="shared" si="923"/>
        <v>45293</v>
      </c>
      <c r="BI429" s="379">
        <f t="shared" si="923"/>
        <v>45293</v>
      </c>
      <c r="BJ429" s="378"/>
      <c r="BK429" s="378"/>
      <c r="BL429" s="378"/>
      <c r="BM429" s="378"/>
      <c r="BN429" s="377"/>
      <c r="BO429" s="378"/>
      <c r="BP429" s="378"/>
      <c r="BQ429" s="378"/>
      <c r="BR429" s="378"/>
      <c r="BS429" s="377"/>
      <c r="BT429" s="377"/>
      <c r="BU429" s="377"/>
      <c r="BV429" s="377"/>
      <c r="BW429" s="2"/>
    </row>
    <row r="430" spans="1:75" ht="15" hidden="1" customHeight="1" outlineLevel="1" x14ac:dyDescent="0.2">
      <c r="A430" s="380" t="s">
        <v>734</v>
      </c>
      <c r="B430" s="117"/>
      <c r="C430" s="381">
        <f t="shared" ref="C430:BV430" si="924">C552</f>
        <v>22.38</v>
      </c>
      <c r="D430" s="381">
        <f t="shared" si="924"/>
        <v>31.19</v>
      </c>
      <c r="E430" s="381">
        <f t="shared" si="924"/>
        <v>29.35</v>
      </c>
      <c r="F430" s="381">
        <f t="shared" si="924"/>
        <v>32.71</v>
      </c>
      <c r="G430" s="382">
        <f t="shared" si="924"/>
        <v>37.99</v>
      </c>
      <c r="H430" s="382">
        <f t="shared" si="924"/>
        <v>42.33</v>
      </c>
      <c r="I430" s="382">
        <f t="shared" si="924"/>
        <v>43.95</v>
      </c>
      <c r="J430" s="382">
        <f t="shared" si="924"/>
        <v>48.43</v>
      </c>
      <c r="K430" s="381">
        <f t="shared" si="924"/>
        <v>48.43</v>
      </c>
      <c r="L430" s="382">
        <f t="shared" si="924"/>
        <v>47.63</v>
      </c>
      <c r="M430" s="382">
        <f t="shared" si="924"/>
        <v>46.42</v>
      </c>
      <c r="N430" s="382">
        <f t="shared" si="924"/>
        <v>45.96</v>
      </c>
      <c r="O430" s="382">
        <f t="shared" si="924"/>
        <v>50.91</v>
      </c>
      <c r="P430" s="381">
        <f t="shared" si="924"/>
        <v>50.91</v>
      </c>
      <c r="Q430" s="382">
        <f t="shared" si="924"/>
        <v>49.47</v>
      </c>
      <c r="R430" s="382">
        <f t="shared" si="924"/>
        <v>54.17</v>
      </c>
      <c r="S430" s="382">
        <f t="shared" si="924"/>
        <v>53.44</v>
      </c>
      <c r="T430" s="382">
        <f t="shared" si="924"/>
        <v>46.53</v>
      </c>
      <c r="U430" s="381">
        <f t="shared" si="924"/>
        <v>46.53</v>
      </c>
      <c r="V430" s="382">
        <f t="shared" si="924"/>
        <v>51.72</v>
      </c>
      <c r="W430" s="382">
        <f t="shared" si="924"/>
        <v>47.25</v>
      </c>
      <c r="X430" s="382">
        <f t="shared" si="924"/>
        <v>51.96</v>
      </c>
      <c r="Y430" s="382">
        <f t="shared" si="924"/>
        <v>59.88</v>
      </c>
      <c r="Z430" s="381">
        <f t="shared" si="924"/>
        <v>59.88</v>
      </c>
      <c r="AA430" s="382">
        <f t="shared" si="924"/>
        <v>63.18</v>
      </c>
      <c r="AB430" s="382">
        <f t="shared" si="924"/>
        <v>50.01</v>
      </c>
      <c r="AC430" s="382">
        <f t="shared" si="924"/>
        <v>42.32</v>
      </c>
      <c r="AD430" s="382">
        <f t="shared" si="924"/>
        <v>48.18</v>
      </c>
      <c r="AE430" s="381">
        <f t="shared" si="924"/>
        <v>48.18</v>
      </c>
      <c r="AF430" s="382">
        <f t="shared" si="924"/>
        <v>47.47</v>
      </c>
      <c r="AG430" s="382">
        <f t="shared" si="924"/>
        <v>55.76</v>
      </c>
      <c r="AH430" s="382">
        <f t="shared" si="924"/>
        <v>52.49</v>
      </c>
      <c r="AI430" s="382">
        <f t="shared" si="924"/>
        <v>43.51</v>
      </c>
      <c r="AJ430" s="381">
        <f t="shared" si="924"/>
        <v>43.51</v>
      </c>
      <c r="AK430" s="382">
        <f t="shared" si="924"/>
        <v>48.59</v>
      </c>
      <c r="AL430" s="382">
        <f t="shared" si="924"/>
        <v>43.1</v>
      </c>
      <c r="AM430" s="382">
        <f t="shared" si="924"/>
        <v>41.68</v>
      </c>
      <c r="AN430" s="382">
        <f t="shared" si="924"/>
        <v>38.799999999999997</v>
      </c>
      <c r="AO430" s="381">
        <f t="shared" si="924"/>
        <v>38.799999999999997</v>
      </c>
      <c r="AP430" s="382">
        <f t="shared" si="924"/>
        <v>16.5</v>
      </c>
      <c r="AQ430" s="382">
        <f t="shared" si="924"/>
        <v>22.74</v>
      </c>
      <c r="AR430" s="382">
        <f t="shared" si="924"/>
        <v>28.11</v>
      </c>
      <c r="AS430" s="382">
        <f t="shared" si="924"/>
        <v>37.35</v>
      </c>
      <c r="AT430" s="381">
        <f t="shared" si="924"/>
        <v>37.35</v>
      </c>
      <c r="AU430" s="382">
        <f t="shared" si="924"/>
        <v>58.18</v>
      </c>
      <c r="AV430" s="382">
        <f t="shared" si="924"/>
        <v>53.43</v>
      </c>
      <c r="AW430" s="382">
        <f t="shared" si="924"/>
        <v>49.82</v>
      </c>
      <c r="AX430" s="382">
        <f t="shared" si="924"/>
        <v>40.35</v>
      </c>
      <c r="AY430" s="381">
        <f t="shared" si="924"/>
        <v>40.35</v>
      </c>
      <c r="AZ430" s="382">
        <f t="shared" si="924"/>
        <v>38.83</v>
      </c>
      <c r="BA430" s="382">
        <f t="shared" si="924"/>
        <v>28.54</v>
      </c>
      <c r="BB430" s="382">
        <f t="shared" si="924"/>
        <v>28.56</v>
      </c>
      <c r="BC430" s="382">
        <f t="shared" si="924"/>
        <v>31.71</v>
      </c>
      <c r="BD430" s="381">
        <f t="shared" si="924"/>
        <v>31.71</v>
      </c>
      <c r="BE430" s="382">
        <f t="shared" si="924"/>
        <v>35.049999999999997</v>
      </c>
      <c r="BF430" s="382">
        <f t="shared" si="924"/>
        <v>35.35</v>
      </c>
      <c r="BG430" s="382">
        <f t="shared" si="924"/>
        <v>29.6</v>
      </c>
      <c r="BH430" s="382">
        <f t="shared" si="924"/>
        <v>35.01</v>
      </c>
      <c r="BI430" s="383">
        <f t="shared" si="924"/>
        <v>35.01</v>
      </c>
      <c r="BJ430" s="382">
        <f t="shared" ca="1" si="924"/>
        <v>35.479999999999997</v>
      </c>
      <c r="BK430" s="382">
        <f t="shared" ca="1" si="924"/>
        <v>35.479999999999997</v>
      </c>
      <c r="BL430" s="382">
        <f t="shared" ca="1" si="924"/>
        <v>35.479999999999997</v>
      </c>
      <c r="BM430" s="382">
        <f t="shared" ca="1" si="924"/>
        <v>35.479999999999997</v>
      </c>
      <c r="BN430" s="381">
        <f t="shared" ca="1" si="924"/>
        <v>35.479999999999997</v>
      </c>
      <c r="BO430" s="382">
        <f t="shared" ca="1" si="924"/>
        <v>35.479999999999997</v>
      </c>
      <c r="BP430" s="382">
        <f t="shared" ca="1" si="924"/>
        <v>35.479999999999997</v>
      </c>
      <c r="BQ430" s="382">
        <f t="shared" ca="1" si="924"/>
        <v>35.479999999999997</v>
      </c>
      <c r="BR430" s="382">
        <f t="shared" ca="1" si="924"/>
        <v>35.479999999999997</v>
      </c>
      <c r="BS430" s="381">
        <f t="shared" ca="1" si="924"/>
        <v>35.479999999999997</v>
      </c>
      <c r="BT430" s="381">
        <f t="shared" ca="1" si="924"/>
        <v>35.479999999999997</v>
      </c>
      <c r="BU430" s="381">
        <f t="shared" ca="1" si="924"/>
        <v>35.479999999999997</v>
      </c>
      <c r="BV430" s="381">
        <f t="shared" ca="1" si="924"/>
        <v>35.479999999999997</v>
      </c>
      <c r="BW430" s="2"/>
    </row>
    <row r="431" spans="1:75" ht="7.5" hidden="1" customHeight="1" outlineLevel="1" x14ac:dyDescent="0.2">
      <c r="A431" s="380"/>
      <c r="B431" s="117"/>
      <c r="C431" s="381"/>
      <c r="D431" s="381"/>
      <c r="E431" s="381"/>
      <c r="F431" s="381"/>
      <c r="G431" s="382"/>
      <c r="H431" s="382"/>
      <c r="I431" s="382"/>
      <c r="J431" s="382"/>
      <c r="K431" s="381"/>
      <c r="L431" s="382"/>
      <c r="M431" s="382"/>
      <c r="N431" s="382"/>
      <c r="O431" s="382"/>
      <c r="P431" s="381"/>
      <c r="Q431" s="382"/>
      <c r="R431" s="382"/>
      <c r="S431" s="382"/>
      <c r="T431" s="382"/>
      <c r="U431" s="381"/>
      <c r="V431" s="382"/>
      <c r="W431" s="382"/>
      <c r="X431" s="382"/>
      <c r="Y431" s="382"/>
      <c r="Z431" s="381"/>
      <c r="AA431" s="382"/>
      <c r="AB431" s="382"/>
      <c r="AC431" s="382"/>
      <c r="AD431" s="382"/>
      <c r="AE431" s="381"/>
      <c r="AF431" s="382"/>
      <c r="AG431" s="382"/>
      <c r="AH431" s="382"/>
      <c r="AI431" s="382"/>
      <c r="AJ431" s="381"/>
      <c r="AK431" s="382"/>
      <c r="AL431" s="382"/>
      <c r="AM431" s="382"/>
      <c r="AN431" s="382"/>
      <c r="AO431" s="381"/>
      <c r="AP431" s="382"/>
      <c r="AQ431" s="382"/>
      <c r="AR431" s="382"/>
      <c r="AS431" s="382"/>
      <c r="AT431" s="381"/>
      <c r="AU431" s="382"/>
      <c r="AV431" s="382"/>
      <c r="AW431" s="382"/>
      <c r="AX431" s="382"/>
      <c r="AY431" s="381"/>
      <c r="AZ431" s="382"/>
      <c r="BA431" s="382"/>
      <c r="BB431" s="382"/>
      <c r="BC431" s="382"/>
      <c r="BD431" s="381"/>
      <c r="BE431" s="382"/>
      <c r="BF431" s="382"/>
      <c r="BG431" s="382"/>
      <c r="BH431" s="382"/>
      <c r="BI431" s="383"/>
      <c r="BJ431" s="382"/>
      <c r="BK431" s="382"/>
      <c r="BL431" s="382"/>
      <c r="BM431" s="382"/>
      <c r="BN431" s="381"/>
      <c r="BO431" s="382"/>
      <c r="BP431" s="382"/>
      <c r="BQ431" s="382"/>
      <c r="BR431" s="382"/>
      <c r="BS431" s="381"/>
      <c r="BT431" s="381"/>
      <c r="BU431" s="381"/>
      <c r="BV431" s="381"/>
      <c r="BW431" s="2"/>
    </row>
    <row r="432" spans="1:75" ht="15" hidden="1" customHeight="1" outlineLevel="2" x14ac:dyDescent="0.2">
      <c r="A432" s="125" t="s">
        <v>735</v>
      </c>
      <c r="B432" s="85"/>
      <c r="C432" s="87">
        <v>83.377092000000005</v>
      </c>
      <c r="D432" s="87">
        <v>84.912101000000007</v>
      </c>
      <c r="E432" s="87">
        <v>85.863313000000005</v>
      </c>
      <c r="F432" s="87">
        <v>87.812021999999999</v>
      </c>
      <c r="G432" s="88">
        <v>88.641619000000006</v>
      </c>
      <c r="H432" s="88">
        <v>89.659216000000001</v>
      </c>
      <c r="I432" s="88">
        <v>90.197535000000002</v>
      </c>
      <c r="J432" s="2">
        <f t="shared" ref="J432:J433" si="925">K432</f>
        <v>90.632324999999994</v>
      </c>
      <c r="K432" s="87">
        <v>90.632324999999994</v>
      </c>
      <c r="L432" s="88">
        <v>91.001903999999996</v>
      </c>
      <c r="M432" s="88">
        <v>91.136323000000004</v>
      </c>
      <c r="N432" s="88">
        <v>91.342839999999995</v>
      </c>
      <c r="O432" s="2">
        <f t="shared" ref="O432:O433" si="926">P432</f>
        <v>91.790498999999997</v>
      </c>
      <c r="P432" s="87">
        <v>91.790498999999997</v>
      </c>
      <c r="Q432" s="88">
        <v>92.128129000000001</v>
      </c>
      <c r="R432" s="88">
        <v>92.608959999999996</v>
      </c>
      <c r="S432" s="88">
        <v>93.007029000000003</v>
      </c>
      <c r="T432" s="2">
        <f t="shared" ref="T432:T433" si="927">U432</f>
        <v>93.126666999999998</v>
      </c>
      <c r="U432" s="87">
        <v>93.126666999999998</v>
      </c>
      <c r="V432" s="88">
        <v>93.806826000000001</v>
      </c>
      <c r="W432" s="88">
        <v>93.901865999999998</v>
      </c>
      <c r="X432" s="88">
        <v>94.159460999999993</v>
      </c>
      <c r="Y432" s="2">
        <f t="shared" ref="Y432:Y433" si="928">Z432</f>
        <v>94.672037000000003</v>
      </c>
      <c r="Z432" s="87">
        <v>94.672037000000003</v>
      </c>
      <c r="AA432" s="88">
        <v>95.043539999999993</v>
      </c>
      <c r="AB432" s="88">
        <v>95.198954999999998</v>
      </c>
      <c r="AC432" s="88">
        <v>95.271640000000005</v>
      </c>
      <c r="AD432" s="2">
        <f t="shared" ref="AD432:AD433" si="929">AE432</f>
        <v>95.412030000000001</v>
      </c>
      <c r="AE432" s="87">
        <v>95.412030000000001</v>
      </c>
      <c r="AF432" s="88">
        <v>95.957475000000002</v>
      </c>
      <c r="AG432" s="88">
        <v>96.228710000000007</v>
      </c>
      <c r="AH432" s="88">
        <v>96.388204999999999</v>
      </c>
      <c r="AI432" s="2">
        <f t="shared" ref="AI432:AI433" si="930">AJ432</f>
        <v>96.621989999999997</v>
      </c>
      <c r="AJ432" s="87">
        <v>96.621989999999997</v>
      </c>
      <c r="AK432" s="88">
        <v>97.384232999999995</v>
      </c>
      <c r="AL432" s="88">
        <v>97.480423000000002</v>
      </c>
      <c r="AM432" s="88">
        <v>97.548632999999995</v>
      </c>
      <c r="AN432" s="2">
        <f t="shared" ref="AN432:AN433" si="931">AO432</f>
        <v>97.685177999999993</v>
      </c>
      <c r="AO432" s="87">
        <v>97.685177999999993</v>
      </c>
      <c r="AP432" s="88">
        <v>98.452350999999993</v>
      </c>
      <c r="AQ432" s="88">
        <v>98.465058999999997</v>
      </c>
      <c r="AR432" s="88">
        <v>98.438269000000005</v>
      </c>
      <c r="AS432" s="2">
        <f t="shared" ref="AS432:AS433" si="932">AT432</f>
        <v>98.645146999999994</v>
      </c>
      <c r="AT432" s="87">
        <v>98.645146999999994</v>
      </c>
      <c r="AU432" s="88">
        <v>99.508470000000003</v>
      </c>
      <c r="AV432" s="88">
        <v>105.195671</v>
      </c>
      <c r="AW432" s="88">
        <v>105.29262</v>
      </c>
      <c r="AX432" s="2">
        <f t="shared" ref="AX432:AX433" si="933">AY432</f>
        <v>105.365678</v>
      </c>
      <c r="AY432" s="87">
        <v>105.365678</v>
      </c>
      <c r="AZ432" s="88">
        <v>106.028803</v>
      </c>
      <c r="BA432" s="88">
        <v>106.02978</v>
      </c>
      <c r="BB432" s="88">
        <v>106.156302</v>
      </c>
      <c r="BC432" s="2">
        <f t="shared" ref="BC432:BC433" si="934">BD432</f>
        <v>106.323117</v>
      </c>
      <c r="BD432" s="87">
        <v>106.323117</v>
      </c>
      <c r="BE432" s="88">
        <v>106.951249</v>
      </c>
      <c r="BF432" s="88">
        <v>107.042941</v>
      </c>
      <c r="BG432" s="88">
        <v>107.09750699999999</v>
      </c>
      <c r="BH432" s="2">
        <f t="shared" ref="BH432:BH433" si="935">BI432</f>
        <v>107.19528699999999</v>
      </c>
      <c r="BI432" s="89">
        <v>107.19528699999999</v>
      </c>
      <c r="BJ432" s="2"/>
      <c r="BK432" s="2"/>
      <c r="BL432" s="2"/>
      <c r="BM432" s="2"/>
      <c r="BN432" s="86"/>
      <c r="BO432" s="2"/>
      <c r="BP432" s="2"/>
      <c r="BQ432" s="2"/>
      <c r="BR432" s="2"/>
      <c r="BS432" s="86"/>
      <c r="BT432" s="86"/>
      <c r="BU432" s="86"/>
      <c r="BV432" s="86"/>
      <c r="BW432" s="4"/>
    </row>
    <row r="433" spans="1:75" ht="15" hidden="1" customHeight="1" outlineLevel="2" x14ac:dyDescent="0.2">
      <c r="A433" s="133" t="s">
        <v>736</v>
      </c>
      <c r="B433" s="92"/>
      <c r="C433" s="98">
        <v>23.100079000000001</v>
      </c>
      <c r="D433" s="98">
        <v>25.204104000000001</v>
      </c>
      <c r="E433" s="98">
        <v>31.196128000000002</v>
      </c>
      <c r="F433" s="98">
        <v>34.414222000000002</v>
      </c>
      <c r="G433" s="99">
        <v>35.6556</v>
      </c>
      <c r="H433" s="99">
        <v>35.742652</v>
      </c>
      <c r="I433" s="99">
        <v>37.842742999999999</v>
      </c>
      <c r="J433" s="94">
        <f t="shared" si="925"/>
        <v>38.865951000000003</v>
      </c>
      <c r="K433" s="98">
        <v>38.865951000000003</v>
      </c>
      <c r="L433" s="99">
        <v>40.931893000000002</v>
      </c>
      <c r="M433" s="99">
        <v>41.460270000000001</v>
      </c>
      <c r="N433" s="99">
        <v>41.916080000000001</v>
      </c>
      <c r="O433" s="94">
        <f t="shared" si="926"/>
        <v>41.919311999999998</v>
      </c>
      <c r="P433" s="98">
        <v>41.919311999999998</v>
      </c>
      <c r="Q433" s="99">
        <v>43.577235000000002</v>
      </c>
      <c r="R433" s="99">
        <v>43.654575000000001</v>
      </c>
      <c r="S433" s="99">
        <v>43.714097000000002</v>
      </c>
      <c r="T433" s="94">
        <f t="shared" si="927"/>
        <v>44.064321999999997</v>
      </c>
      <c r="U433" s="98">
        <v>44.064321999999997</v>
      </c>
      <c r="V433" s="99">
        <v>45.101139000000003</v>
      </c>
      <c r="W433" s="99">
        <v>45.622532</v>
      </c>
      <c r="X433" s="99">
        <v>46.454382000000003</v>
      </c>
      <c r="Y433" s="94">
        <f t="shared" si="928"/>
        <v>46.979658999999998</v>
      </c>
      <c r="Z433" s="98">
        <v>46.979658999999998</v>
      </c>
      <c r="AA433" s="99">
        <v>47.131791999999997</v>
      </c>
      <c r="AB433" s="99">
        <v>47.494923</v>
      </c>
      <c r="AC433" s="99">
        <v>49.143166999999998</v>
      </c>
      <c r="AD433" s="94">
        <f t="shared" si="929"/>
        <v>49.534211999999997</v>
      </c>
      <c r="AE433" s="98">
        <v>49.534211999999997</v>
      </c>
      <c r="AF433" s="99">
        <v>50.261837999999997</v>
      </c>
      <c r="AG433" s="99">
        <v>50.401367999999998</v>
      </c>
      <c r="AH433" s="99">
        <v>50.768002000000003</v>
      </c>
      <c r="AI433" s="94">
        <f t="shared" si="930"/>
        <v>51.791941000000001</v>
      </c>
      <c r="AJ433" s="98">
        <v>51.791941000000001</v>
      </c>
      <c r="AK433" s="99">
        <v>52.037545000000001</v>
      </c>
      <c r="AL433" s="99">
        <v>52.643251999999997</v>
      </c>
      <c r="AM433" s="99">
        <v>52.906744000000003</v>
      </c>
      <c r="AN433" s="94">
        <f t="shared" si="931"/>
        <v>52.916434000000002</v>
      </c>
      <c r="AO433" s="98">
        <v>52.916434000000002</v>
      </c>
      <c r="AP433" s="99">
        <v>52.991014999999997</v>
      </c>
      <c r="AQ433" s="99">
        <v>53.003428</v>
      </c>
      <c r="AR433" s="99">
        <v>53.015994999999997</v>
      </c>
      <c r="AS433" s="94">
        <f t="shared" si="932"/>
        <v>53.026409000000001</v>
      </c>
      <c r="AT433" s="98">
        <v>53.026409000000001</v>
      </c>
      <c r="AU433" s="99">
        <v>53.101292999999998</v>
      </c>
      <c r="AV433" s="99">
        <v>53.111531999999997</v>
      </c>
      <c r="AW433" s="99">
        <v>53.126074000000003</v>
      </c>
      <c r="AX433" s="94">
        <f t="shared" si="933"/>
        <v>53.139172000000002</v>
      </c>
      <c r="AY433" s="98">
        <v>53.139172000000002</v>
      </c>
      <c r="AZ433" s="99">
        <v>53.236854000000001</v>
      </c>
      <c r="BA433" s="99">
        <v>53.596558999999999</v>
      </c>
      <c r="BB433" s="99">
        <v>54.485868000000004</v>
      </c>
      <c r="BC433" s="94">
        <f t="shared" si="934"/>
        <v>55.149520000000003</v>
      </c>
      <c r="BD433" s="98">
        <v>55.149520000000003</v>
      </c>
      <c r="BE433" s="99">
        <v>55.490994999999998</v>
      </c>
      <c r="BF433" s="99">
        <v>55.771396000000003</v>
      </c>
      <c r="BG433" s="99">
        <v>56.224800000000002</v>
      </c>
      <c r="BH433" s="94">
        <f t="shared" si="935"/>
        <v>56.543157999999998</v>
      </c>
      <c r="BI433" s="100">
        <v>56.543157999999998</v>
      </c>
      <c r="BJ433" s="94"/>
      <c r="BK433" s="94"/>
      <c r="BL433" s="94"/>
      <c r="BM433" s="94"/>
      <c r="BN433" s="93"/>
      <c r="BO433" s="94"/>
      <c r="BP433" s="94"/>
      <c r="BQ433" s="94"/>
      <c r="BR433" s="94"/>
      <c r="BS433" s="93"/>
      <c r="BT433" s="93"/>
      <c r="BU433" s="93"/>
      <c r="BV433" s="93"/>
      <c r="BW433" s="4"/>
    </row>
    <row r="434" spans="1:75" ht="15" hidden="1" customHeight="1" outlineLevel="1" x14ac:dyDescent="0.2">
      <c r="A434" s="125" t="s">
        <v>737</v>
      </c>
      <c r="B434" s="85"/>
      <c r="C434" s="86">
        <f t="shared" ref="C434:BI434" si="936">C432-C433</f>
        <v>60.277013000000004</v>
      </c>
      <c r="D434" s="86">
        <f t="shared" si="936"/>
        <v>59.707997000000006</v>
      </c>
      <c r="E434" s="86">
        <f t="shared" si="936"/>
        <v>54.667185000000003</v>
      </c>
      <c r="F434" s="86">
        <f t="shared" si="936"/>
        <v>53.397799999999997</v>
      </c>
      <c r="G434" s="2">
        <f t="shared" si="936"/>
        <v>52.986019000000006</v>
      </c>
      <c r="H434" s="2">
        <f t="shared" si="936"/>
        <v>53.916564000000001</v>
      </c>
      <c r="I434" s="2">
        <f t="shared" si="936"/>
        <v>52.354792000000003</v>
      </c>
      <c r="J434" s="2">
        <f t="shared" si="936"/>
        <v>51.766373999999992</v>
      </c>
      <c r="K434" s="86">
        <f t="shared" si="936"/>
        <v>51.766373999999992</v>
      </c>
      <c r="L434" s="2">
        <f t="shared" si="936"/>
        <v>50.070010999999994</v>
      </c>
      <c r="M434" s="2">
        <f t="shared" si="936"/>
        <v>49.676053000000003</v>
      </c>
      <c r="N434" s="2">
        <f t="shared" si="936"/>
        <v>49.426759999999994</v>
      </c>
      <c r="O434" s="2">
        <f t="shared" si="936"/>
        <v>49.871186999999999</v>
      </c>
      <c r="P434" s="86">
        <f t="shared" si="936"/>
        <v>49.871186999999999</v>
      </c>
      <c r="Q434" s="2">
        <f t="shared" si="936"/>
        <v>48.550894</v>
      </c>
      <c r="R434" s="2">
        <f t="shared" si="936"/>
        <v>48.954384999999995</v>
      </c>
      <c r="S434" s="2">
        <f t="shared" si="936"/>
        <v>49.292932</v>
      </c>
      <c r="T434" s="2">
        <f t="shared" si="936"/>
        <v>49.062345000000001</v>
      </c>
      <c r="U434" s="86">
        <f t="shared" si="936"/>
        <v>49.062345000000001</v>
      </c>
      <c r="V434" s="2">
        <f t="shared" si="936"/>
        <v>48.705686999999998</v>
      </c>
      <c r="W434" s="2">
        <f t="shared" si="936"/>
        <v>48.279333999999999</v>
      </c>
      <c r="X434" s="2">
        <f t="shared" si="936"/>
        <v>47.705078999999991</v>
      </c>
      <c r="Y434" s="2">
        <f t="shared" si="936"/>
        <v>47.692378000000005</v>
      </c>
      <c r="Z434" s="86">
        <f t="shared" si="936"/>
        <v>47.692378000000005</v>
      </c>
      <c r="AA434" s="2">
        <f t="shared" si="936"/>
        <v>47.911747999999996</v>
      </c>
      <c r="AB434" s="2">
        <f t="shared" si="936"/>
        <v>47.704031999999998</v>
      </c>
      <c r="AC434" s="2">
        <f t="shared" si="936"/>
        <v>46.128473000000007</v>
      </c>
      <c r="AD434" s="2">
        <f t="shared" si="936"/>
        <v>45.877818000000005</v>
      </c>
      <c r="AE434" s="86">
        <f t="shared" si="936"/>
        <v>45.877818000000005</v>
      </c>
      <c r="AF434" s="2">
        <f t="shared" si="936"/>
        <v>45.695637000000005</v>
      </c>
      <c r="AG434" s="2">
        <f t="shared" si="936"/>
        <v>45.827342000000009</v>
      </c>
      <c r="AH434" s="2">
        <f t="shared" si="936"/>
        <v>45.620202999999997</v>
      </c>
      <c r="AI434" s="2">
        <f t="shared" si="936"/>
        <v>44.830048999999995</v>
      </c>
      <c r="AJ434" s="86">
        <f t="shared" si="936"/>
        <v>44.830048999999995</v>
      </c>
      <c r="AK434" s="2">
        <f t="shared" si="936"/>
        <v>45.346687999999993</v>
      </c>
      <c r="AL434" s="2">
        <f t="shared" si="936"/>
        <v>44.837171000000005</v>
      </c>
      <c r="AM434" s="2">
        <f t="shared" si="936"/>
        <v>44.641888999999992</v>
      </c>
      <c r="AN434" s="2">
        <f t="shared" si="936"/>
        <v>44.768743999999991</v>
      </c>
      <c r="AO434" s="86">
        <f t="shared" si="936"/>
        <v>44.768743999999991</v>
      </c>
      <c r="AP434" s="2">
        <f t="shared" si="936"/>
        <v>45.461335999999996</v>
      </c>
      <c r="AQ434" s="2">
        <f t="shared" si="936"/>
        <v>45.461630999999997</v>
      </c>
      <c r="AR434" s="2">
        <f t="shared" si="936"/>
        <v>45.422274000000009</v>
      </c>
      <c r="AS434" s="2">
        <f t="shared" si="936"/>
        <v>45.618737999999993</v>
      </c>
      <c r="AT434" s="86">
        <f t="shared" si="936"/>
        <v>45.618737999999993</v>
      </c>
      <c r="AU434" s="2">
        <f t="shared" si="936"/>
        <v>46.407177000000004</v>
      </c>
      <c r="AV434" s="2">
        <f t="shared" si="936"/>
        <v>52.084139000000008</v>
      </c>
      <c r="AW434" s="2">
        <f t="shared" si="936"/>
        <v>52.166545999999997</v>
      </c>
      <c r="AX434" s="2">
        <f t="shared" si="936"/>
        <v>52.226506000000001</v>
      </c>
      <c r="AY434" s="86">
        <f t="shared" si="936"/>
        <v>52.226506000000001</v>
      </c>
      <c r="AZ434" s="2">
        <f t="shared" si="936"/>
        <v>52.791948999999995</v>
      </c>
      <c r="BA434" s="2">
        <f t="shared" si="936"/>
        <v>52.433221000000003</v>
      </c>
      <c r="BB434" s="2">
        <f t="shared" si="936"/>
        <v>51.670433999999993</v>
      </c>
      <c r="BC434" s="2">
        <f t="shared" si="936"/>
        <v>51.173596999999994</v>
      </c>
      <c r="BD434" s="86">
        <f t="shared" si="936"/>
        <v>51.173596999999994</v>
      </c>
      <c r="BE434" s="2">
        <f t="shared" si="936"/>
        <v>51.460254000000006</v>
      </c>
      <c r="BF434" s="2">
        <f t="shared" si="936"/>
        <v>51.271544999999996</v>
      </c>
      <c r="BG434" s="2">
        <f t="shared" si="936"/>
        <v>50.872706999999991</v>
      </c>
      <c r="BH434" s="2">
        <f t="shared" si="936"/>
        <v>50.652128999999995</v>
      </c>
      <c r="BI434" s="90">
        <f t="shared" si="936"/>
        <v>50.652128999999995</v>
      </c>
      <c r="BJ434" s="2">
        <f t="shared" ref="BJ434:BM434" ca="1" si="937">BJ436+BJ435</f>
        <v>50.656905612899997</v>
      </c>
      <c r="BK434" s="2">
        <f t="shared" ca="1" si="937"/>
        <v>50.661682703461288</v>
      </c>
      <c r="BL434" s="2">
        <f t="shared" ca="1" si="937"/>
        <v>50.666460271731637</v>
      </c>
      <c r="BM434" s="2">
        <f t="shared" ca="1" si="937"/>
        <v>50.671238317758807</v>
      </c>
      <c r="BN434" s="86">
        <f ca="1">BM434</f>
        <v>50.671238317758807</v>
      </c>
      <c r="BO434" s="2">
        <f t="shared" ref="BO434:BR434" ca="1" si="938">BO436+BO435</f>
        <v>50.676016841590581</v>
      </c>
      <c r="BP434" s="2">
        <f t="shared" ca="1" si="938"/>
        <v>50.680795843274737</v>
      </c>
      <c r="BQ434" s="2">
        <f t="shared" ca="1" si="938"/>
        <v>50.685575322859066</v>
      </c>
      <c r="BR434" s="2">
        <f t="shared" ca="1" si="938"/>
        <v>50.690355280391351</v>
      </c>
      <c r="BS434" s="86">
        <f ca="1">BR434</f>
        <v>50.690355280391351</v>
      </c>
      <c r="BT434" s="86">
        <f t="shared" ref="BT434:BV434" ca="1" si="939">BT436+BT435</f>
        <v>50.709477022503506</v>
      </c>
      <c r="BU434" s="86">
        <f t="shared" ca="1" si="939"/>
        <v>50.728606413312505</v>
      </c>
      <c r="BV434" s="86">
        <f t="shared" ca="1" si="939"/>
        <v>50.747743455877831</v>
      </c>
      <c r="BW434" s="2"/>
    </row>
    <row r="435" spans="1:75" ht="15" hidden="1" customHeight="1" outlineLevel="1" x14ac:dyDescent="0.2">
      <c r="A435" s="133" t="str">
        <f>A477</f>
        <v>EoP Unvested RSAs and RSUs, mm shares</v>
      </c>
      <c r="B435" s="92"/>
      <c r="C435" s="93">
        <f t="shared" ref="C435:BI435" si="940">C477</f>
        <v>0.623</v>
      </c>
      <c r="D435" s="93">
        <f t="shared" si="940"/>
        <v>0.53700000000000003</v>
      </c>
      <c r="E435" s="93">
        <f t="shared" si="940"/>
        <v>0.82599999999999996</v>
      </c>
      <c r="F435" s="93">
        <f t="shared" si="940"/>
        <v>1.3160000000000001</v>
      </c>
      <c r="G435" s="94">
        <f t="shared" si="940"/>
        <v>1.446</v>
      </c>
      <c r="H435" s="94">
        <f t="shared" si="940"/>
        <v>1.478</v>
      </c>
      <c r="I435" s="94">
        <f t="shared" si="940"/>
        <v>1.571</v>
      </c>
      <c r="J435" s="94">
        <f t="shared" si="940"/>
        <v>1.6719999999999999</v>
      </c>
      <c r="K435" s="93">
        <f t="shared" si="940"/>
        <v>1.6719999999999999</v>
      </c>
      <c r="L435" s="94">
        <f t="shared" si="940"/>
        <v>1.77</v>
      </c>
      <c r="M435" s="94">
        <f t="shared" si="940"/>
        <v>1.7569999999999999</v>
      </c>
      <c r="N435" s="94">
        <f t="shared" si="940"/>
        <v>1.774</v>
      </c>
      <c r="O435" s="94">
        <f t="shared" si="940"/>
        <v>1.8199999999999998</v>
      </c>
      <c r="P435" s="93">
        <f t="shared" si="940"/>
        <v>1.8199999999999998</v>
      </c>
      <c r="Q435" s="94">
        <f t="shared" si="940"/>
        <v>1.865</v>
      </c>
      <c r="R435" s="94">
        <f t="shared" si="940"/>
        <v>1.8280000000000001</v>
      </c>
      <c r="S435" s="94">
        <f t="shared" si="940"/>
        <v>1.887</v>
      </c>
      <c r="T435" s="94">
        <f t="shared" si="940"/>
        <v>1.891</v>
      </c>
      <c r="U435" s="93">
        <f t="shared" si="940"/>
        <v>1.891</v>
      </c>
      <c r="V435" s="94">
        <f t="shared" si="940"/>
        <v>1.9159999999999999</v>
      </c>
      <c r="W435" s="94">
        <f t="shared" si="940"/>
        <v>1.885</v>
      </c>
      <c r="X435" s="94">
        <f t="shared" si="940"/>
        <v>1.907</v>
      </c>
      <c r="Y435" s="94">
        <f t="shared" si="940"/>
        <v>1.861</v>
      </c>
      <c r="Z435" s="93">
        <f t="shared" si="940"/>
        <v>1.861</v>
      </c>
      <c r="AA435" s="94">
        <f t="shared" si="940"/>
        <v>1.8340000000000001</v>
      </c>
      <c r="AB435" s="94">
        <f t="shared" si="940"/>
        <v>1.778</v>
      </c>
      <c r="AC435" s="94">
        <f t="shared" si="940"/>
        <v>1.762</v>
      </c>
      <c r="AD435" s="94">
        <f t="shared" si="940"/>
        <v>1.694</v>
      </c>
      <c r="AE435" s="93">
        <f t="shared" si="940"/>
        <v>1.694</v>
      </c>
      <c r="AF435" s="94">
        <f t="shared" si="940"/>
        <v>1.7529999999999999</v>
      </c>
      <c r="AG435" s="94">
        <f t="shared" si="940"/>
        <v>1.716</v>
      </c>
      <c r="AH435" s="94">
        <f t="shared" si="940"/>
        <v>1.6659999999999999</v>
      </c>
      <c r="AI435" s="94">
        <f t="shared" si="940"/>
        <v>1.702</v>
      </c>
      <c r="AJ435" s="93">
        <f t="shared" si="940"/>
        <v>1.702</v>
      </c>
      <c r="AK435" s="94">
        <f t="shared" si="940"/>
        <v>1.798</v>
      </c>
      <c r="AL435" s="94">
        <f t="shared" si="940"/>
        <v>1.8029999999999999</v>
      </c>
      <c r="AM435" s="94">
        <f t="shared" si="940"/>
        <v>1.756</v>
      </c>
      <c r="AN435" s="94">
        <f t="shared" si="940"/>
        <v>1.764</v>
      </c>
      <c r="AO435" s="93">
        <f t="shared" si="940"/>
        <v>1.764</v>
      </c>
      <c r="AP435" s="94">
        <f t="shared" si="940"/>
        <v>2.0649999999999999</v>
      </c>
      <c r="AQ435" s="94">
        <f t="shared" si="940"/>
        <v>1.9970000000000001</v>
      </c>
      <c r="AR435" s="94">
        <f t="shared" si="940"/>
        <v>1.885</v>
      </c>
      <c r="AS435" s="94">
        <f t="shared" si="940"/>
        <v>2.008</v>
      </c>
      <c r="AT435" s="93">
        <f t="shared" si="940"/>
        <v>2.008</v>
      </c>
      <c r="AU435" s="94">
        <f t="shared" si="940"/>
        <v>2.1019999999999999</v>
      </c>
      <c r="AV435" s="94">
        <f t="shared" si="940"/>
        <v>2.1120000000000001</v>
      </c>
      <c r="AW435" s="94">
        <f t="shared" si="940"/>
        <v>2.1280000000000001</v>
      </c>
      <c r="AX435" s="94">
        <f t="shared" si="940"/>
        <v>2.1230000000000002</v>
      </c>
      <c r="AY435" s="93">
        <f t="shared" si="940"/>
        <v>2.1230000000000002</v>
      </c>
      <c r="AZ435" s="94">
        <f t="shared" si="940"/>
        <v>2.4729999999999999</v>
      </c>
      <c r="BA435" s="94">
        <f t="shared" si="940"/>
        <v>2.3959999999999999</v>
      </c>
      <c r="BB435" s="94">
        <f t="shared" si="940"/>
        <v>2.44</v>
      </c>
      <c r="BC435" s="94">
        <f t="shared" si="940"/>
        <v>2.512</v>
      </c>
      <c r="BD435" s="93">
        <f t="shared" si="940"/>
        <v>2.512</v>
      </c>
      <c r="BE435" s="94">
        <f t="shared" si="940"/>
        <v>2.786</v>
      </c>
      <c r="BF435" s="94">
        <f t="shared" si="940"/>
        <v>2.8479999999999999</v>
      </c>
      <c r="BG435" s="94">
        <f t="shared" si="940"/>
        <v>2.83</v>
      </c>
      <c r="BH435" s="94">
        <f t="shared" si="940"/>
        <v>2.8860000000000001</v>
      </c>
      <c r="BI435" s="97">
        <f t="shared" si="940"/>
        <v>2.8860000000000001</v>
      </c>
      <c r="BJ435" s="94">
        <f>BH435</f>
        <v>2.8860000000000001</v>
      </c>
      <c r="BK435" s="94">
        <f t="shared" ref="BK435:BN435" si="941">BJ435</f>
        <v>2.8860000000000001</v>
      </c>
      <c r="BL435" s="94">
        <f t="shared" si="941"/>
        <v>2.8860000000000001</v>
      </c>
      <c r="BM435" s="94">
        <f t="shared" si="941"/>
        <v>2.8860000000000001</v>
      </c>
      <c r="BN435" s="93">
        <f t="shared" si="941"/>
        <v>2.8860000000000001</v>
      </c>
      <c r="BO435" s="94">
        <f>BM435</f>
        <v>2.8860000000000001</v>
      </c>
      <c r="BP435" s="94">
        <f t="shared" ref="BP435:BV435" si="942">BO435</f>
        <v>2.8860000000000001</v>
      </c>
      <c r="BQ435" s="94">
        <f t="shared" si="942"/>
        <v>2.8860000000000001</v>
      </c>
      <c r="BR435" s="94">
        <f t="shared" si="942"/>
        <v>2.8860000000000001</v>
      </c>
      <c r="BS435" s="93">
        <f t="shared" si="942"/>
        <v>2.8860000000000001</v>
      </c>
      <c r="BT435" s="93">
        <f t="shared" si="942"/>
        <v>2.8860000000000001</v>
      </c>
      <c r="BU435" s="93">
        <f t="shared" si="942"/>
        <v>2.8860000000000001</v>
      </c>
      <c r="BV435" s="93">
        <f t="shared" si="942"/>
        <v>2.8860000000000001</v>
      </c>
      <c r="BW435" s="4"/>
    </row>
    <row r="436" spans="1:75" ht="15" hidden="1" customHeight="1" outlineLevel="1" x14ac:dyDescent="0.2">
      <c r="A436" s="125" t="s">
        <v>738</v>
      </c>
      <c r="B436" s="85"/>
      <c r="C436" s="86">
        <f t="shared" ref="C436:BI436" si="943">C434-C435</f>
        <v>59.654013000000006</v>
      </c>
      <c r="D436" s="86">
        <f t="shared" si="943"/>
        <v>59.170997000000007</v>
      </c>
      <c r="E436" s="86">
        <f t="shared" si="943"/>
        <v>53.841185000000003</v>
      </c>
      <c r="F436" s="86">
        <f t="shared" si="943"/>
        <v>52.081799999999994</v>
      </c>
      <c r="G436" s="2">
        <f t="shared" si="943"/>
        <v>51.540019000000008</v>
      </c>
      <c r="H436" s="2">
        <f t="shared" si="943"/>
        <v>52.438564</v>
      </c>
      <c r="I436" s="2">
        <f t="shared" si="943"/>
        <v>50.783792000000005</v>
      </c>
      <c r="J436" s="2">
        <f t="shared" si="943"/>
        <v>50.094373999999995</v>
      </c>
      <c r="K436" s="86">
        <f t="shared" si="943"/>
        <v>50.094373999999995</v>
      </c>
      <c r="L436" s="2">
        <f t="shared" si="943"/>
        <v>48.300010999999991</v>
      </c>
      <c r="M436" s="2">
        <f t="shared" si="943"/>
        <v>47.919053000000005</v>
      </c>
      <c r="N436" s="2">
        <f t="shared" si="943"/>
        <v>47.652759999999994</v>
      </c>
      <c r="O436" s="2">
        <f t="shared" si="943"/>
        <v>48.051186999999999</v>
      </c>
      <c r="P436" s="86">
        <f t="shared" si="943"/>
        <v>48.051186999999999</v>
      </c>
      <c r="Q436" s="2">
        <f t="shared" si="943"/>
        <v>46.685893999999998</v>
      </c>
      <c r="R436" s="2">
        <f t="shared" si="943"/>
        <v>47.126384999999992</v>
      </c>
      <c r="S436" s="2">
        <f t="shared" si="943"/>
        <v>47.405932</v>
      </c>
      <c r="T436" s="2">
        <f t="shared" si="943"/>
        <v>47.171345000000002</v>
      </c>
      <c r="U436" s="86">
        <f t="shared" si="943"/>
        <v>47.171345000000002</v>
      </c>
      <c r="V436" s="2">
        <f t="shared" si="943"/>
        <v>46.789687000000001</v>
      </c>
      <c r="W436" s="2">
        <f t="shared" si="943"/>
        <v>46.394334000000001</v>
      </c>
      <c r="X436" s="2">
        <f t="shared" si="943"/>
        <v>45.798078999999987</v>
      </c>
      <c r="Y436" s="2">
        <f t="shared" si="943"/>
        <v>45.831378000000008</v>
      </c>
      <c r="Z436" s="86">
        <f t="shared" si="943"/>
        <v>45.831378000000008</v>
      </c>
      <c r="AA436" s="2">
        <f t="shared" si="943"/>
        <v>46.077747999999993</v>
      </c>
      <c r="AB436" s="2">
        <f t="shared" si="943"/>
        <v>45.926031999999999</v>
      </c>
      <c r="AC436" s="2">
        <f t="shared" si="943"/>
        <v>44.366473000000006</v>
      </c>
      <c r="AD436" s="2">
        <f t="shared" si="943"/>
        <v>44.183818000000002</v>
      </c>
      <c r="AE436" s="86">
        <f t="shared" si="943"/>
        <v>44.183818000000002</v>
      </c>
      <c r="AF436" s="2">
        <f t="shared" si="943"/>
        <v>43.942637000000005</v>
      </c>
      <c r="AG436" s="2">
        <f t="shared" si="943"/>
        <v>44.111342000000008</v>
      </c>
      <c r="AH436" s="2">
        <f t="shared" si="943"/>
        <v>43.954203</v>
      </c>
      <c r="AI436" s="2">
        <f t="shared" si="943"/>
        <v>43.128048999999997</v>
      </c>
      <c r="AJ436" s="86">
        <f t="shared" si="943"/>
        <v>43.128048999999997</v>
      </c>
      <c r="AK436" s="2">
        <f t="shared" si="943"/>
        <v>43.548687999999991</v>
      </c>
      <c r="AL436" s="2">
        <f t="shared" si="943"/>
        <v>43.034171000000008</v>
      </c>
      <c r="AM436" s="2">
        <f t="shared" si="943"/>
        <v>42.885888999999992</v>
      </c>
      <c r="AN436" s="2">
        <f t="shared" si="943"/>
        <v>43.004743999999988</v>
      </c>
      <c r="AO436" s="86">
        <f t="shared" si="943"/>
        <v>43.004743999999988</v>
      </c>
      <c r="AP436" s="2">
        <f t="shared" si="943"/>
        <v>43.396335999999998</v>
      </c>
      <c r="AQ436" s="2">
        <f t="shared" si="943"/>
        <v>43.464630999999997</v>
      </c>
      <c r="AR436" s="2">
        <f t="shared" si="943"/>
        <v>43.537274000000011</v>
      </c>
      <c r="AS436" s="2">
        <f t="shared" si="943"/>
        <v>43.610737999999991</v>
      </c>
      <c r="AT436" s="86">
        <f t="shared" si="943"/>
        <v>43.610737999999991</v>
      </c>
      <c r="AU436" s="2">
        <f t="shared" si="943"/>
        <v>44.305177000000008</v>
      </c>
      <c r="AV436" s="2">
        <f t="shared" si="943"/>
        <v>49.972139000000006</v>
      </c>
      <c r="AW436" s="2">
        <f t="shared" si="943"/>
        <v>50.038545999999997</v>
      </c>
      <c r="AX436" s="2">
        <f t="shared" si="943"/>
        <v>50.103506000000003</v>
      </c>
      <c r="AY436" s="86">
        <f t="shared" si="943"/>
        <v>50.103506000000003</v>
      </c>
      <c r="AZ436" s="2">
        <f t="shared" si="943"/>
        <v>50.318948999999996</v>
      </c>
      <c r="BA436" s="2">
        <f t="shared" si="943"/>
        <v>50.037221000000002</v>
      </c>
      <c r="BB436" s="2">
        <f t="shared" si="943"/>
        <v>49.230433999999995</v>
      </c>
      <c r="BC436" s="2">
        <f t="shared" si="943"/>
        <v>48.661596999999993</v>
      </c>
      <c r="BD436" s="86">
        <f t="shared" si="943"/>
        <v>48.661596999999993</v>
      </c>
      <c r="BE436" s="2">
        <f t="shared" si="943"/>
        <v>48.674254000000005</v>
      </c>
      <c r="BF436" s="2">
        <f t="shared" si="943"/>
        <v>48.423544999999997</v>
      </c>
      <c r="BG436" s="2">
        <f t="shared" si="943"/>
        <v>48.042706999999993</v>
      </c>
      <c r="BH436" s="2">
        <f t="shared" si="943"/>
        <v>47.766128999999992</v>
      </c>
      <c r="BI436" s="90">
        <f t="shared" si="943"/>
        <v>47.766128999999992</v>
      </c>
      <c r="BJ436" s="2">
        <f ca="1">BH436*(1+BJ437)+BJ507/(BJ508/BJ553)</f>
        <v>47.770905612899995</v>
      </c>
      <c r="BK436" s="2">
        <f t="shared" ref="BK436:BM436" ca="1" si="944">BJ436*(1+BK437)+BK507/(BK508/BK553)</f>
        <v>47.775682703461285</v>
      </c>
      <c r="BL436" s="2">
        <f t="shared" ca="1" si="944"/>
        <v>47.780460271731634</v>
      </c>
      <c r="BM436" s="2">
        <f t="shared" ca="1" si="944"/>
        <v>47.785238317758804</v>
      </c>
      <c r="BN436" s="86">
        <f ca="1">BM436</f>
        <v>47.785238317758804</v>
      </c>
      <c r="BO436" s="2">
        <f ca="1">BM436*(1+BO437)+BO507/(BO508/BO553)</f>
        <v>47.790016841590578</v>
      </c>
      <c r="BP436" s="2">
        <f t="shared" ref="BP436:BR436" ca="1" si="945">BO436*(1+BP437)+BP507/(BP508/BP553)</f>
        <v>47.794795843274734</v>
      </c>
      <c r="BQ436" s="2">
        <f t="shared" ca="1" si="945"/>
        <v>47.799575322859063</v>
      </c>
      <c r="BR436" s="2">
        <f t="shared" ca="1" si="945"/>
        <v>47.804355280391349</v>
      </c>
      <c r="BS436" s="86">
        <f ca="1">BR436</f>
        <v>47.804355280391349</v>
      </c>
      <c r="BT436" s="86">
        <f t="shared" ref="BT436:BV436" ca="1" si="946">BS436*(1+BT438)+BT507/(BT508/BT553)</f>
        <v>47.823477022503504</v>
      </c>
      <c r="BU436" s="86">
        <f t="shared" ca="1" si="946"/>
        <v>47.842606413312502</v>
      </c>
      <c r="BV436" s="86">
        <f t="shared" ca="1" si="946"/>
        <v>47.861743455877829</v>
      </c>
      <c r="BW436" s="4"/>
    </row>
    <row r="437" spans="1:75" ht="15" hidden="1" customHeight="1" outlineLevel="1" x14ac:dyDescent="0.2">
      <c r="A437" s="384" t="s">
        <v>739</v>
      </c>
      <c r="B437" s="333"/>
      <c r="C437" s="150"/>
      <c r="D437" s="150"/>
      <c r="E437" s="150"/>
      <c r="F437" s="150"/>
      <c r="G437" s="151"/>
      <c r="H437" s="151"/>
      <c r="I437" s="151"/>
      <c r="J437" s="151"/>
      <c r="K437" s="150"/>
      <c r="L437" s="151"/>
      <c r="M437" s="151"/>
      <c r="N437" s="151"/>
      <c r="O437" s="151"/>
      <c r="P437" s="150"/>
      <c r="Q437" s="151"/>
      <c r="R437" s="151"/>
      <c r="S437" s="151"/>
      <c r="T437" s="151"/>
      <c r="U437" s="150"/>
      <c r="V437" s="151"/>
      <c r="W437" s="151"/>
      <c r="X437" s="151"/>
      <c r="Y437" s="151"/>
      <c r="Z437" s="150"/>
      <c r="AA437" s="151"/>
      <c r="AB437" s="151"/>
      <c r="AC437" s="151"/>
      <c r="AD437" s="151"/>
      <c r="AE437" s="150"/>
      <c r="AF437" s="151"/>
      <c r="AG437" s="151"/>
      <c r="AH437" s="151"/>
      <c r="AI437" s="151"/>
      <c r="AJ437" s="150"/>
      <c r="AK437" s="151"/>
      <c r="AL437" s="151"/>
      <c r="AM437" s="151"/>
      <c r="AN437" s="151"/>
      <c r="AO437" s="150"/>
      <c r="AP437" s="151"/>
      <c r="AQ437" s="151"/>
      <c r="AR437" s="151"/>
      <c r="AS437" s="151"/>
      <c r="AT437" s="150"/>
      <c r="AU437" s="151"/>
      <c r="AV437" s="151"/>
      <c r="AW437" s="151"/>
      <c r="AX437" s="151"/>
      <c r="AY437" s="150"/>
      <c r="AZ437" s="151"/>
      <c r="BA437" s="151"/>
      <c r="BB437" s="151"/>
      <c r="BC437" s="151"/>
      <c r="BD437" s="150"/>
      <c r="BE437" s="151"/>
      <c r="BF437" s="151"/>
      <c r="BG437" s="151"/>
      <c r="BH437" s="151"/>
      <c r="BI437" s="153"/>
      <c r="BJ437" s="213">
        <v>1E-4</v>
      </c>
      <c r="BK437" s="213">
        <v>1E-4</v>
      </c>
      <c r="BL437" s="213">
        <v>1E-4</v>
      </c>
      <c r="BM437" s="213">
        <v>1E-4</v>
      </c>
      <c r="BN437" s="150"/>
      <c r="BO437" s="213">
        <v>1E-4</v>
      </c>
      <c r="BP437" s="213">
        <v>1E-4</v>
      </c>
      <c r="BQ437" s="213">
        <v>1E-4</v>
      </c>
      <c r="BR437" s="213">
        <v>1E-4</v>
      </c>
      <c r="BS437" s="150"/>
      <c r="BT437" s="150"/>
      <c r="BU437" s="150"/>
      <c r="BV437" s="150"/>
      <c r="BW437" s="2"/>
    </row>
    <row r="438" spans="1:75" ht="15" hidden="1" customHeight="1" outlineLevel="1" x14ac:dyDescent="0.2">
      <c r="A438" s="384" t="s">
        <v>740</v>
      </c>
      <c r="B438" s="333"/>
      <c r="C438" s="150"/>
      <c r="D438" s="150"/>
      <c r="E438" s="150"/>
      <c r="F438" s="150"/>
      <c r="G438" s="151"/>
      <c r="H438" s="151"/>
      <c r="I438" s="151"/>
      <c r="J438" s="151"/>
      <c r="K438" s="150"/>
      <c r="L438" s="151"/>
      <c r="M438" s="151"/>
      <c r="N438" s="151"/>
      <c r="O438" s="151"/>
      <c r="P438" s="150"/>
      <c r="Q438" s="151"/>
      <c r="R438" s="151"/>
      <c r="S438" s="151"/>
      <c r="T438" s="151"/>
      <c r="U438" s="150"/>
      <c r="V438" s="151"/>
      <c r="W438" s="151"/>
      <c r="X438" s="151"/>
      <c r="Y438" s="151"/>
      <c r="Z438" s="150"/>
      <c r="AA438" s="151"/>
      <c r="AB438" s="151"/>
      <c r="AC438" s="151"/>
      <c r="AD438" s="151"/>
      <c r="AE438" s="150"/>
      <c r="AF438" s="151"/>
      <c r="AG438" s="151"/>
      <c r="AH438" s="151"/>
      <c r="AI438" s="151"/>
      <c r="AJ438" s="150"/>
      <c r="AK438" s="151"/>
      <c r="AL438" s="151"/>
      <c r="AM438" s="151"/>
      <c r="AN438" s="151"/>
      <c r="AO438" s="150"/>
      <c r="AP438" s="151"/>
      <c r="AQ438" s="151"/>
      <c r="AR438" s="151"/>
      <c r="AS438" s="151"/>
      <c r="AT438" s="150"/>
      <c r="AU438" s="151"/>
      <c r="AV438" s="151"/>
      <c r="AW438" s="151"/>
      <c r="AX438" s="151"/>
      <c r="AY438" s="150"/>
      <c r="AZ438" s="151"/>
      <c r="BA438" s="151"/>
      <c r="BB438" s="151"/>
      <c r="BC438" s="151"/>
      <c r="BD438" s="150"/>
      <c r="BE438" s="151"/>
      <c r="BF438" s="151"/>
      <c r="BG438" s="151"/>
      <c r="BH438" s="151"/>
      <c r="BI438" s="153"/>
      <c r="BJ438" s="151"/>
      <c r="BK438" s="151"/>
      <c r="BL438" s="151"/>
      <c r="BM438" s="151"/>
      <c r="BN438" s="150"/>
      <c r="BO438" s="151"/>
      <c r="BP438" s="151"/>
      <c r="BQ438" s="151"/>
      <c r="BR438" s="151"/>
      <c r="BS438" s="150"/>
      <c r="BT438" s="214">
        <v>4.0000000000000002E-4</v>
      </c>
      <c r="BU438" s="214">
        <v>4.0000000000000002E-4</v>
      </c>
      <c r="BV438" s="214">
        <v>4.0000000000000002E-4</v>
      </c>
      <c r="BW438" s="2"/>
    </row>
    <row r="439" spans="1:75" ht="15" hidden="1" customHeight="1" outlineLevel="2" x14ac:dyDescent="0.2">
      <c r="A439" s="384" t="s">
        <v>741</v>
      </c>
      <c r="B439" s="333"/>
      <c r="C439" s="150"/>
      <c r="D439" s="150"/>
      <c r="E439" s="150"/>
      <c r="F439" s="150"/>
      <c r="G439" s="151"/>
      <c r="H439" s="151"/>
      <c r="I439" s="151"/>
      <c r="J439" s="151"/>
      <c r="K439" s="150"/>
      <c r="L439" s="151"/>
      <c r="M439" s="151"/>
      <c r="N439" s="151"/>
      <c r="O439" s="151"/>
      <c r="P439" s="150"/>
      <c r="Q439" s="151"/>
      <c r="R439" s="151"/>
      <c r="S439" s="151"/>
      <c r="T439" s="151"/>
      <c r="U439" s="150"/>
      <c r="V439" s="151"/>
      <c r="W439" s="151"/>
      <c r="X439" s="151"/>
      <c r="Y439" s="151"/>
      <c r="Z439" s="150"/>
      <c r="AA439" s="151"/>
      <c r="AB439" s="151"/>
      <c r="AC439" s="151"/>
      <c r="AD439" s="151"/>
      <c r="AE439" s="150"/>
      <c r="AF439" s="151"/>
      <c r="AG439" s="151"/>
      <c r="AH439" s="151"/>
      <c r="AI439" s="151"/>
      <c r="AJ439" s="150"/>
      <c r="AK439" s="151"/>
      <c r="AL439" s="151"/>
      <c r="AM439" s="151"/>
      <c r="AN439" s="151"/>
      <c r="AO439" s="150"/>
      <c r="AP439" s="151"/>
      <c r="AQ439" s="151"/>
      <c r="AR439" s="151"/>
      <c r="AS439" s="151"/>
      <c r="AT439" s="150"/>
      <c r="AU439" s="151"/>
      <c r="AV439" s="151"/>
      <c r="AW439" s="151"/>
      <c r="AX439" s="151"/>
      <c r="AY439" s="150"/>
      <c r="AZ439" s="151"/>
      <c r="BA439" s="151"/>
      <c r="BB439" s="151"/>
      <c r="BC439" s="151"/>
      <c r="BD439" s="150"/>
      <c r="BE439" s="151"/>
      <c r="BF439" s="151"/>
      <c r="BG439" s="151"/>
      <c r="BH439" s="151"/>
      <c r="BI439" s="153"/>
      <c r="BJ439" s="151">
        <f ca="1">BJ507/(BJ508/BJ553)/BH436</f>
        <v>0</v>
      </c>
      <c r="BK439" s="151">
        <f t="shared" ref="BK439:BM439" ca="1" si="947">BK507/(BK508/BK553)/BJ436</f>
        <v>0</v>
      </c>
      <c r="BL439" s="151">
        <f t="shared" ca="1" si="947"/>
        <v>0</v>
      </c>
      <c r="BM439" s="151">
        <f t="shared" ca="1" si="947"/>
        <v>0</v>
      </c>
      <c r="BN439" s="150"/>
      <c r="BO439" s="151">
        <f ca="1">BO507/(BO508/BO553)/BM436</f>
        <v>0</v>
      </c>
      <c r="BP439" s="151">
        <f t="shared" ref="BP439:BR439" ca="1" si="948">BP507/(BP508/BP553)/BO436</f>
        <v>0</v>
      </c>
      <c r="BQ439" s="151">
        <f t="shared" ca="1" si="948"/>
        <v>0</v>
      </c>
      <c r="BR439" s="151">
        <f t="shared" ca="1" si="948"/>
        <v>0</v>
      </c>
      <c r="BS439" s="150"/>
      <c r="BT439" s="150"/>
      <c r="BU439" s="150"/>
      <c r="BV439" s="150"/>
      <c r="BW439" s="2"/>
    </row>
    <row r="440" spans="1:75" ht="15" hidden="1" customHeight="1" outlineLevel="2" x14ac:dyDescent="0.2">
      <c r="A440" s="385" t="s">
        <v>742</v>
      </c>
      <c r="B440" s="386"/>
      <c r="C440" s="387"/>
      <c r="D440" s="387"/>
      <c r="E440" s="387"/>
      <c r="F440" s="387"/>
      <c r="G440" s="288"/>
      <c r="H440" s="288"/>
      <c r="I440" s="288"/>
      <c r="J440" s="288"/>
      <c r="K440" s="387"/>
      <c r="L440" s="288"/>
      <c r="M440" s="288"/>
      <c r="N440" s="288"/>
      <c r="O440" s="288"/>
      <c r="P440" s="387"/>
      <c r="Q440" s="288"/>
      <c r="R440" s="288"/>
      <c r="S440" s="288"/>
      <c r="T440" s="288"/>
      <c r="U440" s="387"/>
      <c r="V440" s="288"/>
      <c r="W440" s="288"/>
      <c r="X440" s="288"/>
      <c r="Y440" s="288"/>
      <c r="Z440" s="387"/>
      <c r="AA440" s="288"/>
      <c r="AB440" s="288"/>
      <c r="AC440" s="288"/>
      <c r="AD440" s="288"/>
      <c r="AE440" s="387"/>
      <c r="AF440" s="288"/>
      <c r="AG440" s="288"/>
      <c r="AH440" s="288"/>
      <c r="AI440" s="288"/>
      <c r="AJ440" s="387"/>
      <c r="AK440" s="288"/>
      <c r="AL440" s="288"/>
      <c r="AM440" s="288"/>
      <c r="AN440" s="288"/>
      <c r="AO440" s="387"/>
      <c r="AP440" s="288"/>
      <c r="AQ440" s="288"/>
      <c r="AR440" s="288"/>
      <c r="AS440" s="288"/>
      <c r="AT440" s="387"/>
      <c r="AU440" s="288"/>
      <c r="AV440" s="288"/>
      <c r="AW440" s="288"/>
      <c r="AX440" s="288"/>
      <c r="AY440" s="387"/>
      <c r="AZ440" s="288"/>
      <c r="BA440" s="288"/>
      <c r="BB440" s="288"/>
      <c r="BC440" s="288"/>
      <c r="BD440" s="387"/>
      <c r="BE440" s="288"/>
      <c r="BF440" s="288"/>
      <c r="BG440" s="288"/>
      <c r="BH440" s="288"/>
      <c r="BI440" s="388"/>
      <c r="BJ440" s="288"/>
      <c r="BK440" s="288"/>
      <c r="BL440" s="288"/>
      <c r="BM440" s="288"/>
      <c r="BN440" s="387"/>
      <c r="BO440" s="288"/>
      <c r="BP440" s="288"/>
      <c r="BQ440" s="288"/>
      <c r="BR440" s="288"/>
      <c r="BS440" s="387">
        <f ca="1">BS507/(BS508/BS553)/BN436</f>
        <v>0</v>
      </c>
      <c r="BT440" s="387">
        <f t="shared" ref="BT440:BV440" ca="1" si="949">BT507/(BT508/BT553)/BS436</f>
        <v>0</v>
      </c>
      <c r="BU440" s="387">
        <f t="shared" ca="1" si="949"/>
        <v>0</v>
      </c>
      <c r="BV440" s="387">
        <f t="shared" ca="1" si="949"/>
        <v>0</v>
      </c>
      <c r="BW440" s="2"/>
    </row>
    <row r="441" spans="1:75" ht="15" hidden="1" customHeight="1" outlineLevel="1" x14ac:dyDescent="0.2">
      <c r="A441" s="384" t="s">
        <v>743</v>
      </c>
      <c r="B441" s="333"/>
      <c r="C441" s="150"/>
      <c r="D441" s="150"/>
      <c r="E441" s="150"/>
      <c r="F441" s="150"/>
      <c r="G441" s="151">
        <f t="shared" ref="G441:J441" si="950">G436/F436-1</f>
        <v>-1.0402501449642387E-2</v>
      </c>
      <c r="H441" s="151">
        <f t="shared" si="950"/>
        <v>1.7433928380973018E-2</v>
      </c>
      <c r="I441" s="151">
        <f t="shared" si="950"/>
        <v>-3.1556394259766418E-2</v>
      </c>
      <c r="J441" s="151">
        <f t="shared" si="950"/>
        <v>-1.3575551821731091E-2</v>
      </c>
      <c r="K441" s="150"/>
      <c r="L441" s="151">
        <f>L436/J436-1</f>
        <v>-3.5819651124894825E-2</v>
      </c>
      <c r="M441" s="151">
        <f t="shared" ref="M441:O441" si="951">M436/L436-1</f>
        <v>-7.8873273962605239E-3</v>
      </c>
      <c r="N441" s="151">
        <f t="shared" si="951"/>
        <v>-5.557142375080204E-3</v>
      </c>
      <c r="O441" s="151">
        <f t="shared" si="951"/>
        <v>8.3610477126614402E-3</v>
      </c>
      <c r="P441" s="150"/>
      <c r="Q441" s="151">
        <f>Q436/O436-1</f>
        <v>-2.8413304337310152E-2</v>
      </c>
      <c r="R441" s="151">
        <f t="shared" ref="R441:T441" si="952">R436/Q436-1</f>
        <v>9.4352054177220257E-3</v>
      </c>
      <c r="S441" s="151">
        <f t="shared" si="952"/>
        <v>5.9318574934192903E-3</v>
      </c>
      <c r="T441" s="151">
        <f t="shared" si="952"/>
        <v>-4.9484735370247668E-3</v>
      </c>
      <c r="U441" s="150"/>
      <c r="V441" s="151">
        <f>V436/T436-1</f>
        <v>-8.0908865329153423E-3</v>
      </c>
      <c r="W441" s="151">
        <f t="shared" ref="W441:Y441" si="953">W436/V436-1</f>
        <v>-8.4495756511472342E-3</v>
      </c>
      <c r="X441" s="151">
        <f t="shared" si="953"/>
        <v>-1.2851892647063656E-2</v>
      </c>
      <c r="Y441" s="151">
        <f t="shared" si="953"/>
        <v>7.2708289795353487E-4</v>
      </c>
      <c r="Z441" s="150"/>
      <c r="AA441" s="151">
        <f>AA436/Y436-1</f>
        <v>5.3755747863393211E-3</v>
      </c>
      <c r="AB441" s="151">
        <f t="shared" ref="AB441:AD441" si="954">AB436/AA436-1</f>
        <v>-3.2926088314905178E-3</v>
      </c>
      <c r="AC441" s="151">
        <f t="shared" si="954"/>
        <v>-3.3958061083962043E-2</v>
      </c>
      <c r="AD441" s="151">
        <f t="shared" si="954"/>
        <v>-4.1169601198636219E-3</v>
      </c>
      <c r="AE441" s="150"/>
      <c r="AF441" s="151">
        <f>AF436/AD436-1</f>
        <v>-5.4585821442592053E-3</v>
      </c>
      <c r="AG441" s="151">
        <f t="shared" ref="AG441:AI441" si="955">AG436/AF436-1</f>
        <v>3.8392097406443337E-3</v>
      </c>
      <c r="AH441" s="151">
        <f t="shared" si="955"/>
        <v>-3.5623264420295842E-3</v>
      </c>
      <c r="AI441" s="151">
        <f t="shared" si="955"/>
        <v>-1.8795790700607218E-2</v>
      </c>
      <c r="AJ441" s="150"/>
      <c r="AK441" s="151">
        <f>AK436/AI436-1</f>
        <v>9.7532582565929005E-3</v>
      </c>
      <c r="AL441" s="151">
        <f t="shared" ref="AL441:AN441" si="956">AL436/AK436-1</f>
        <v>-1.1814753179245852E-2</v>
      </c>
      <c r="AM441" s="151">
        <f t="shared" si="956"/>
        <v>-3.4456804105745809E-3</v>
      </c>
      <c r="AN441" s="151">
        <f t="shared" si="956"/>
        <v>2.7714244188803416E-3</v>
      </c>
      <c r="AO441" s="150"/>
      <c r="AP441" s="151">
        <f>AP436/AN436-1</f>
        <v>9.1057860965295667E-3</v>
      </c>
      <c r="AQ441" s="151">
        <f t="shared" ref="AQ441:AS441" si="957">AQ436/AP436-1</f>
        <v>1.5737503737642822E-3</v>
      </c>
      <c r="AR441" s="151">
        <f t="shared" si="957"/>
        <v>1.6713129348784328E-3</v>
      </c>
      <c r="AS441" s="151">
        <f t="shared" si="957"/>
        <v>1.6873817134250846E-3</v>
      </c>
      <c r="AT441" s="150"/>
      <c r="AU441" s="151">
        <f>AU436/AS436-1</f>
        <v>1.5923578271021643E-2</v>
      </c>
      <c r="AV441" s="151">
        <f t="shared" ref="AV441:AX441" si="958">AV436/AU436-1</f>
        <v>0.12790744521797071</v>
      </c>
      <c r="AW441" s="151">
        <f t="shared" si="958"/>
        <v>1.3288804787801034E-3</v>
      </c>
      <c r="AX441" s="151">
        <f t="shared" si="958"/>
        <v>1.2981991922789149E-3</v>
      </c>
      <c r="AY441" s="150"/>
      <c r="AZ441" s="151">
        <f>AZ436/AX436-1</f>
        <v>4.2999585697653941E-3</v>
      </c>
      <c r="BA441" s="151">
        <f t="shared" ref="BA441:BC441" si="959">BA436/AZ436-1</f>
        <v>-5.5988450792164857E-3</v>
      </c>
      <c r="BB441" s="151">
        <f t="shared" si="959"/>
        <v>-1.6123737167577867E-2</v>
      </c>
      <c r="BC441" s="151">
        <f t="shared" si="959"/>
        <v>-1.155458024196987E-2</v>
      </c>
      <c r="BD441" s="150"/>
      <c r="BE441" s="151">
        <f>BE436/BC436-1</f>
        <v>2.6010243765761665E-4</v>
      </c>
      <c r="BF441" s="151">
        <f t="shared" ref="BF441:BH441" si="960">BF436/BE436-1</f>
        <v>-5.1507517711520956E-3</v>
      </c>
      <c r="BG441" s="151">
        <f t="shared" si="960"/>
        <v>-7.8647277889299927E-3</v>
      </c>
      <c r="BH441" s="151">
        <f t="shared" si="960"/>
        <v>-5.7569195674174178E-3</v>
      </c>
      <c r="BI441" s="153"/>
      <c r="BJ441" s="151">
        <f ca="1">BJ436/BH436-1</f>
        <v>9.9999999999988987E-5</v>
      </c>
      <c r="BK441" s="151">
        <f t="shared" ref="BK441:BM441" ca="1" si="961">BK436/BJ436-1</f>
        <v>9.9999999999988987E-5</v>
      </c>
      <c r="BL441" s="151">
        <f t="shared" ca="1" si="961"/>
        <v>9.9999999999988987E-5</v>
      </c>
      <c r="BM441" s="151">
        <f t="shared" ca="1" si="961"/>
        <v>9.9999999999988987E-5</v>
      </c>
      <c r="BN441" s="150"/>
      <c r="BO441" s="151">
        <f ca="1">BO436/BM436-1</f>
        <v>9.9999999999988987E-5</v>
      </c>
      <c r="BP441" s="151">
        <f t="shared" ref="BP441:BR441" ca="1" si="962">BP436/BO436-1</f>
        <v>9.9999999999988987E-5</v>
      </c>
      <c r="BQ441" s="151">
        <f t="shared" ca="1" si="962"/>
        <v>9.9999999999988987E-5</v>
      </c>
      <c r="BR441" s="151">
        <f t="shared" ca="1" si="962"/>
        <v>9.9999999999988987E-5</v>
      </c>
      <c r="BS441" s="150"/>
      <c r="BT441" s="150"/>
      <c r="BU441" s="150"/>
      <c r="BV441" s="150"/>
      <c r="BW441" s="2"/>
    </row>
    <row r="442" spans="1:75" ht="15" hidden="1" customHeight="1" outlineLevel="1" x14ac:dyDescent="0.2">
      <c r="A442" s="384" t="s">
        <v>744</v>
      </c>
      <c r="B442" s="333"/>
      <c r="C442" s="150"/>
      <c r="D442" s="150">
        <f t="shared" ref="D442:F442" si="963">D436/C436-1</f>
        <v>-8.0969573664725347E-3</v>
      </c>
      <c r="E442" s="150">
        <f t="shared" si="963"/>
        <v>-9.0074737121634163E-2</v>
      </c>
      <c r="F442" s="150">
        <f t="shared" si="963"/>
        <v>-3.2677308272468508E-2</v>
      </c>
      <c r="G442" s="151"/>
      <c r="H442" s="151"/>
      <c r="I442" s="151"/>
      <c r="J442" s="151"/>
      <c r="K442" s="150">
        <f t="shared" ref="K442:BS442" si="964">K436/F436-1</f>
        <v>-3.8159702621645142E-2</v>
      </c>
      <c r="L442" s="151">
        <f t="shared" ref="L442:T442" si="965">L436/G436-1</f>
        <v>-6.2863927155324073E-2</v>
      </c>
      <c r="M442" s="151">
        <f t="shared" si="965"/>
        <v>-8.6186780400775209E-2</v>
      </c>
      <c r="N442" s="151">
        <f t="shared" si="965"/>
        <v>-6.1654159264042607E-2</v>
      </c>
      <c r="O442" s="151">
        <f t="shared" si="965"/>
        <v>-4.0786755814135822E-2</v>
      </c>
      <c r="P442" s="150">
        <f t="shared" si="965"/>
        <v>-4.0786755814135822E-2</v>
      </c>
      <c r="Q442" s="151">
        <f t="shared" si="965"/>
        <v>-3.3418563817718239E-2</v>
      </c>
      <c r="R442" s="151">
        <f t="shared" si="965"/>
        <v>-1.654181271069799E-2</v>
      </c>
      <c r="S442" s="151">
        <f t="shared" si="965"/>
        <v>-5.1797209647456155E-3</v>
      </c>
      <c r="T442" s="151">
        <f t="shared" si="965"/>
        <v>-1.8310515409327932E-2</v>
      </c>
      <c r="U442" s="150">
        <f t="shared" si="964"/>
        <v>-1.8310515409327932E-2</v>
      </c>
      <c r="V442" s="151">
        <f t="shared" si="964"/>
        <v>2.2232197160025891E-3</v>
      </c>
      <c r="W442" s="151">
        <f t="shared" si="964"/>
        <v>-1.5533782190167766E-2</v>
      </c>
      <c r="X442" s="151">
        <f t="shared" si="964"/>
        <v>-3.3916704770196593E-2</v>
      </c>
      <c r="Y442" s="151">
        <f t="shared" si="964"/>
        <v>-2.8406376795064747E-2</v>
      </c>
      <c r="Z442" s="150">
        <f t="shared" si="964"/>
        <v>-2.8406376795064747E-2</v>
      </c>
      <c r="AA442" s="151">
        <f t="shared" si="964"/>
        <v>-1.5215724781403428E-2</v>
      </c>
      <c r="AB442" s="151">
        <f t="shared" si="964"/>
        <v>-1.0093948110129203E-2</v>
      </c>
      <c r="AC442" s="151">
        <f t="shared" si="964"/>
        <v>-3.1259084032760009E-2</v>
      </c>
      <c r="AD442" s="151">
        <f t="shared" si="964"/>
        <v>-3.5948297256085282E-2</v>
      </c>
      <c r="AE442" s="150">
        <f t="shared" si="964"/>
        <v>-3.5948297256085282E-2</v>
      </c>
      <c r="AF442" s="151">
        <f t="shared" si="964"/>
        <v>-4.633713869870526E-2</v>
      </c>
      <c r="AG442" s="151">
        <f t="shared" si="964"/>
        <v>-3.9513320027299348E-2</v>
      </c>
      <c r="AH442" s="151">
        <f t="shared" si="964"/>
        <v>-9.2923771515488474E-3</v>
      </c>
      <c r="AI442" s="151">
        <f t="shared" si="964"/>
        <v>-2.3894924607918755E-2</v>
      </c>
      <c r="AJ442" s="150">
        <f t="shared" si="964"/>
        <v>-2.3894924607918755E-2</v>
      </c>
      <c r="AK442" s="151">
        <f t="shared" si="964"/>
        <v>-8.9650741715845417E-3</v>
      </c>
      <c r="AL442" s="151">
        <f t="shared" si="964"/>
        <v>-2.4419365885535727E-2</v>
      </c>
      <c r="AM442" s="151">
        <f t="shared" si="964"/>
        <v>-2.4305161442695455E-2</v>
      </c>
      <c r="AN442" s="151">
        <f t="shared" si="964"/>
        <v>-2.8590442382405712E-3</v>
      </c>
      <c r="AO442" s="150">
        <f t="shared" si="964"/>
        <v>-2.8590442382405712E-3</v>
      </c>
      <c r="AP442" s="151">
        <f t="shared" si="964"/>
        <v>-3.4984291604833739E-3</v>
      </c>
      <c r="AQ442" s="151">
        <f t="shared" si="964"/>
        <v>1.0002748745874257E-2</v>
      </c>
      <c r="AR442" s="151">
        <f t="shared" si="964"/>
        <v>1.5188795549977208E-2</v>
      </c>
      <c r="AS442" s="151">
        <f t="shared" si="964"/>
        <v>1.4091329086856064E-2</v>
      </c>
      <c r="AT442" s="150">
        <f t="shared" si="964"/>
        <v>1.4091329086856064E-2</v>
      </c>
      <c r="AU442" s="151">
        <f t="shared" si="964"/>
        <v>2.0942804940951909E-2</v>
      </c>
      <c r="AV442" s="151">
        <f t="shared" si="964"/>
        <v>0.14971961915425003</v>
      </c>
      <c r="AW442" s="151">
        <f t="shared" si="964"/>
        <v>0.14932657474144984</v>
      </c>
      <c r="AX442" s="151">
        <f t="shared" si="964"/>
        <v>0.14888003041819675</v>
      </c>
      <c r="AY442" s="150">
        <f t="shared" si="964"/>
        <v>0.14888003041819675</v>
      </c>
      <c r="AZ442" s="151">
        <f t="shared" si="964"/>
        <v>0.13573519862024219</v>
      </c>
      <c r="BA442" s="151">
        <f t="shared" si="964"/>
        <v>1.3023657042177117E-3</v>
      </c>
      <c r="BB442" s="151">
        <f t="shared" si="964"/>
        <v>-1.6149789804044246E-2</v>
      </c>
      <c r="BC442" s="151">
        <f t="shared" si="964"/>
        <v>-2.8778604834560073E-2</v>
      </c>
      <c r="BD442" s="150">
        <f t="shared" si="964"/>
        <v>-2.8778604834560073E-2</v>
      </c>
      <c r="BE442" s="151">
        <f t="shared" si="964"/>
        <v>-3.2685400484020244E-2</v>
      </c>
      <c r="BF442" s="151">
        <f t="shared" si="964"/>
        <v>-3.2249512817668413E-2</v>
      </c>
      <c r="BG442" s="151">
        <f t="shared" si="964"/>
        <v>-2.4125868969589015E-2</v>
      </c>
      <c r="BH442" s="151">
        <f t="shared" si="964"/>
        <v>-1.8401944350490584E-2</v>
      </c>
      <c r="BI442" s="153">
        <f t="shared" si="964"/>
        <v>-1.8401944350490584E-2</v>
      </c>
      <c r="BJ442" s="151">
        <f t="shared" ca="1" si="964"/>
        <v>-1.8559059725907878E-2</v>
      </c>
      <c r="BK442" s="151">
        <f t="shared" ca="1" si="964"/>
        <v>-1.337907616096079E-2</v>
      </c>
      <c r="BL442" s="151">
        <f t="shared" ca="1" si="964"/>
        <v>-5.4586168150008163E-3</v>
      </c>
      <c r="BM442" s="151">
        <f t="shared" ca="1" si="964"/>
        <v>4.0006000400016895E-4</v>
      </c>
      <c r="BN442" s="150">
        <f t="shared" ca="1" si="964"/>
        <v>4.0006000400016895E-4</v>
      </c>
      <c r="BO442" s="151">
        <f t="shared" ca="1" si="964"/>
        <v>4.0006000400016895E-4</v>
      </c>
      <c r="BP442" s="151">
        <f t="shared" ca="1" si="964"/>
        <v>4.000600039999469E-4</v>
      </c>
      <c r="BQ442" s="151">
        <f t="shared" ca="1" si="964"/>
        <v>4.000600039999469E-4</v>
      </c>
      <c r="BR442" s="151">
        <f t="shared" ca="1" si="964"/>
        <v>4.000600039999469E-4</v>
      </c>
      <c r="BS442" s="150">
        <f t="shared" ca="1" si="964"/>
        <v>4.000600039999469E-4</v>
      </c>
      <c r="BT442" s="150">
        <f t="shared" ref="BT442:BV442" ca="1" si="966">BT436/BS436-1</f>
        <v>3.9999999999995595E-4</v>
      </c>
      <c r="BU442" s="150">
        <f t="shared" ca="1" si="966"/>
        <v>3.9999999999995595E-4</v>
      </c>
      <c r="BV442" s="150">
        <f t="shared" ca="1" si="966"/>
        <v>3.9999999999995595E-4</v>
      </c>
      <c r="BW442" s="2"/>
    </row>
    <row r="443" spans="1:75" ht="15" hidden="1" customHeight="1" outlineLevel="1" x14ac:dyDescent="0.2">
      <c r="A443" s="384"/>
      <c r="B443" s="333"/>
      <c r="C443" s="150"/>
      <c r="D443" s="150"/>
      <c r="E443" s="150"/>
      <c r="F443" s="150"/>
      <c r="G443" s="151"/>
      <c r="H443" s="151"/>
      <c r="I443" s="151"/>
      <c r="J443" s="151"/>
      <c r="K443" s="150"/>
      <c r="L443" s="151"/>
      <c r="M443" s="151"/>
      <c r="N443" s="151"/>
      <c r="O443" s="151"/>
      <c r="P443" s="150"/>
      <c r="Q443" s="151"/>
      <c r="R443" s="151"/>
      <c r="S443" s="151"/>
      <c r="T443" s="151"/>
      <c r="U443" s="150"/>
      <c r="V443" s="151"/>
      <c r="W443" s="151"/>
      <c r="X443" s="151"/>
      <c r="Y443" s="151"/>
      <c r="Z443" s="150"/>
      <c r="AA443" s="151"/>
      <c r="AB443" s="151"/>
      <c r="AC443" s="151"/>
      <c r="AD443" s="151"/>
      <c r="AE443" s="150"/>
      <c r="AF443" s="151"/>
      <c r="AG443" s="151"/>
      <c r="AH443" s="151"/>
      <c r="AI443" s="151"/>
      <c r="AJ443" s="150"/>
      <c r="AK443" s="151"/>
      <c r="AL443" s="151"/>
      <c r="AM443" s="151"/>
      <c r="AN443" s="151"/>
      <c r="AO443" s="150"/>
      <c r="AP443" s="151"/>
      <c r="AQ443" s="151"/>
      <c r="AR443" s="151"/>
      <c r="AS443" s="151"/>
      <c r="AT443" s="150"/>
      <c r="AU443" s="151"/>
      <c r="AV443" s="151"/>
      <c r="AW443" s="151"/>
      <c r="AX443" s="151"/>
      <c r="AY443" s="150"/>
      <c r="AZ443" s="151"/>
      <c r="BA443" s="151"/>
      <c r="BB443" s="151"/>
      <c r="BC443" s="151"/>
      <c r="BD443" s="150"/>
      <c r="BE443" s="151"/>
      <c r="BF443" s="151"/>
      <c r="BG443" s="151"/>
      <c r="BH443" s="151"/>
      <c r="BI443" s="153"/>
      <c r="BJ443" s="151"/>
      <c r="BK443" s="151"/>
      <c r="BL443" s="151"/>
      <c r="BM443" s="151"/>
      <c r="BN443" s="150"/>
      <c r="BO443" s="151"/>
      <c r="BP443" s="151"/>
      <c r="BQ443" s="151"/>
      <c r="BR443" s="151"/>
      <c r="BS443" s="150"/>
      <c r="BT443" s="150"/>
      <c r="BU443" s="150"/>
      <c r="BV443" s="150"/>
      <c r="BW443" s="2"/>
    </row>
    <row r="444" spans="1:75" ht="15" hidden="1" customHeight="1" outlineLevel="1" x14ac:dyDescent="0.2">
      <c r="A444" s="125" t="s">
        <v>745</v>
      </c>
      <c r="B444" s="85"/>
      <c r="C444" s="86">
        <f>C425-C424</f>
        <v>0.71999999999999886</v>
      </c>
      <c r="D444" s="86">
        <f t="shared" ref="D444:J444" si="967">IF(D411&gt;0,(D425-D424),C444)</f>
        <v>1.5409999999999968</v>
      </c>
      <c r="E444" s="86">
        <f t="shared" si="967"/>
        <v>1.8119999999999976</v>
      </c>
      <c r="F444" s="86">
        <f t="shared" si="967"/>
        <v>2.0259999999999962</v>
      </c>
      <c r="G444" s="2">
        <f t="shared" si="967"/>
        <v>2.0499999999999972</v>
      </c>
      <c r="H444" s="2">
        <f t="shared" si="967"/>
        <v>2.1809999999999974</v>
      </c>
      <c r="I444" s="2">
        <f t="shared" si="967"/>
        <v>2.1960000000000051</v>
      </c>
      <c r="J444" s="2">
        <f t="shared" si="967"/>
        <v>2.2520000000000024</v>
      </c>
      <c r="K444" s="86">
        <f>J444</f>
        <v>2.2520000000000024</v>
      </c>
      <c r="L444" s="2">
        <f>IF(L411&gt;0,(L425-L424),K444)</f>
        <v>2.0990000000000038</v>
      </c>
      <c r="M444" s="2">
        <f t="shared" ref="M444:O444" si="968">IF(M411&gt;0,(M425-M424),L444)</f>
        <v>2.0090000000000003</v>
      </c>
      <c r="N444" s="2">
        <f t="shared" si="968"/>
        <v>1.9819999999999993</v>
      </c>
      <c r="O444" s="2">
        <f t="shared" si="968"/>
        <v>2.0090000000000003</v>
      </c>
      <c r="P444" s="86">
        <f>O444</f>
        <v>2.0090000000000003</v>
      </c>
      <c r="Q444" s="2">
        <f t="shared" ref="Q444:T444" si="969">IF(Q411&gt;0,(Q425-Q424),P444)</f>
        <v>1.8769999999999953</v>
      </c>
      <c r="R444" s="2">
        <f t="shared" si="969"/>
        <v>1.8109999999999999</v>
      </c>
      <c r="S444" s="2">
        <f t="shared" si="969"/>
        <v>1.7890000000000015</v>
      </c>
      <c r="T444" s="2">
        <f t="shared" si="969"/>
        <v>1.661999999999999</v>
      </c>
      <c r="U444" s="86">
        <f>T444</f>
        <v>1.661999999999999</v>
      </c>
      <c r="V444" s="2">
        <f t="shared" ref="V444:Y444" si="970">IF(V411&gt;0,(V425-V424),U444)</f>
        <v>1.5189999999999984</v>
      </c>
      <c r="W444" s="2">
        <f t="shared" si="970"/>
        <v>1.3659999999999997</v>
      </c>
      <c r="X444" s="2">
        <f t="shared" si="970"/>
        <v>1.3970000000000056</v>
      </c>
      <c r="Y444" s="2">
        <f t="shared" si="970"/>
        <v>1.392000000000003</v>
      </c>
      <c r="Z444" s="86">
        <f>Y444</f>
        <v>1.392000000000003</v>
      </c>
      <c r="AA444" s="2">
        <f t="shared" ref="AA444:AD444" si="971">IF(AA411&gt;0,(AA425-AA424),Z444)</f>
        <v>1.5760000000000005</v>
      </c>
      <c r="AB444" s="2">
        <f t="shared" si="971"/>
        <v>1.3149999999999977</v>
      </c>
      <c r="AC444" s="2">
        <f t="shared" si="971"/>
        <v>0.91700000000000159</v>
      </c>
      <c r="AD444" s="2">
        <f t="shared" si="971"/>
        <v>0.9789999999999992</v>
      </c>
      <c r="AE444" s="86">
        <f>AD444</f>
        <v>0.9789999999999992</v>
      </c>
      <c r="AF444" s="2">
        <f t="shared" ref="AF444:AI444" si="972">IF(AF411&gt;0,(AF425-AF424),AE444)</f>
        <v>1.0219999999999985</v>
      </c>
      <c r="AG444" s="2">
        <f t="shared" si="972"/>
        <v>1.1869999999999976</v>
      </c>
      <c r="AH444" s="2">
        <f t="shared" si="972"/>
        <v>1.0470000000000041</v>
      </c>
      <c r="AI444" s="2">
        <f t="shared" si="972"/>
        <v>0.87299999999999756</v>
      </c>
      <c r="AJ444" s="86">
        <f>AI444</f>
        <v>0.87299999999999756</v>
      </c>
      <c r="AK444" s="2">
        <f t="shared" ref="AK444:AN444" si="973">IF(AK411&gt;0,(AK425-AK424),AJ444)</f>
        <v>0.7289999999999992</v>
      </c>
      <c r="AL444" s="2">
        <f t="shared" si="973"/>
        <v>0.62100000000000222</v>
      </c>
      <c r="AM444" s="2">
        <f t="shared" si="973"/>
        <v>0.50399999999999778</v>
      </c>
      <c r="AN444" s="2">
        <f t="shared" si="973"/>
        <v>0.55499999999999972</v>
      </c>
      <c r="AO444" s="86">
        <f>AN444</f>
        <v>0.55499999999999972</v>
      </c>
      <c r="AP444" s="2">
        <f t="shared" ref="AP444:AS444" si="974">IF(AP411&gt;0,(AP425-AP424),AO444)</f>
        <v>0.55499999999999972</v>
      </c>
      <c r="AQ444" s="2">
        <f t="shared" si="974"/>
        <v>0.55499999999999972</v>
      </c>
      <c r="AR444" s="2">
        <f t="shared" si="974"/>
        <v>0.55499999999999972</v>
      </c>
      <c r="AS444" s="2">
        <f t="shared" si="974"/>
        <v>0.55499999999999972</v>
      </c>
      <c r="AT444" s="86">
        <f>AS444</f>
        <v>0.55499999999999972</v>
      </c>
      <c r="AU444" s="2">
        <f t="shared" ref="AU444:AX444" si="975">IF(AU411&gt;0,(AU425-AU424),AT444)</f>
        <v>0.55499999999999972</v>
      </c>
      <c r="AV444" s="2">
        <f t="shared" si="975"/>
        <v>1.3060000000000045</v>
      </c>
      <c r="AW444" s="2">
        <f t="shared" si="975"/>
        <v>0.90064999999999884</v>
      </c>
      <c r="AX444" s="2">
        <f t="shared" si="975"/>
        <v>0.80999999999999517</v>
      </c>
      <c r="AY444" s="86">
        <f>AX444</f>
        <v>0.80999999999999517</v>
      </c>
      <c r="AZ444" s="2">
        <f t="shared" ref="AZ444:BC444" si="976">IF(AZ411&gt;0,(AZ425-AZ424),AY444)</f>
        <v>0.67999999999999972</v>
      </c>
      <c r="BA444" s="2">
        <f t="shared" si="976"/>
        <v>0.54200000000000159</v>
      </c>
      <c r="BB444" s="2">
        <f t="shared" si="976"/>
        <v>0.54200000000000159</v>
      </c>
      <c r="BC444" s="2">
        <f t="shared" si="976"/>
        <v>0.54200000000000159</v>
      </c>
      <c r="BD444" s="86">
        <f>BC444</f>
        <v>0.54200000000000159</v>
      </c>
      <c r="BE444" s="2">
        <f t="shared" ref="BE444:BH444" si="977">IF(BE411&gt;0,(BE425-BE424),BD444)</f>
        <v>1.0839999999999961</v>
      </c>
      <c r="BF444" s="2">
        <f t="shared" si="977"/>
        <v>0.59300000000000352</v>
      </c>
      <c r="BG444" s="2">
        <f t="shared" si="977"/>
        <v>0.70400000000000063</v>
      </c>
      <c r="BH444" s="2">
        <f t="shared" si="977"/>
        <v>0.78099999999999881</v>
      </c>
      <c r="BI444" s="90">
        <f>BH444</f>
        <v>0.78099999999999881</v>
      </c>
      <c r="BJ444" s="2">
        <f t="shared" ref="BJ444:BM444" ca="1" si="978">BJ436*BJ445-BJ436</f>
        <v>0.70001712333740329</v>
      </c>
      <c r="BK444" s="2">
        <f t="shared" ca="1" si="978"/>
        <v>0.70008712504973403</v>
      </c>
      <c r="BL444" s="2">
        <f t="shared" ca="1" si="978"/>
        <v>0.70015713376223943</v>
      </c>
      <c r="BM444" s="2">
        <f t="shared" ca="1" si="978"/>
        <v>0.70022714947561582</v>
      </c>
      <c r="BN444" s="86">
        <f ca="1">BM444</f>
        <v>0.70022714947561582</v>
      </c>
      <c r="BO444" s="2">
        <f t="shared" ref="BO444:BR444" ca="1" si="979">BO436*BO445-BO436</f>
        <v>0.70029717219056664</v>
      </c>
      <c r="BP444" s="2">
        <f t="shared" ca="1" si="979"/>
        <v>0.70036720190778112</v>
      </c>
      <c r="BQ444" s="2">
        <f t="shared" ca="1" si="979"/>
        <v>0.7004372386279698</v>
      </c>
      <c r="BR444" s="2">
        <f t="shared" ca="1" si="979"/>
        <v>0.70050728235183612</v>
      </c>
      <c r="BS444" s="86">
        <f ca="1">BR444</f>
        <v>0.70050728235183612</v>
      </c>
      <c r="BT444" s="86">
        <f t="shared" ref="BT444:BV444" ca="1" si="980">BT436*BT445-BT436</f>
        <v>0.70078748526477597</v>
      </c>
      <c r="BU444" s="86">
        <f t="shared" ca="1" si="980"/>
        <v>0.70106780025888327</v>
      </c>
      <c r="BV444" s="86">
        <f t="shared" ca="1" si="980"/>
        <v>0.70134822737898617</v>
      </c>
      <c r="BW444" s="2"/>
    </row>
    <row r="445" spans="1:75" ht="15" hidden="1" customHeight="1" outlineLevel="1" x14ac:dyDescent="0.2">
      <c r="A445" s="384" t="s">
        <v>746</v>
      </c>
      <c r="B445" s="333"/>
      <c r="C445" s="389">
        <f t="shared" ref="C445:BI445" si="981">(C444+C436)/C436</f>
        <v>1.0120695987376407</v>
      </c>
      <c r="D445" s="389">
        <f t="shared" si="981"/>
        <v>1.0260431643563483</v>
      </c>
      <c r="E445" s="389">
        <f t="shared" si="981"/>
        <v>1.0336545341637633</v>
      </c>
      <c r="F445" s="389">
        <f t="shared" si="981"/>
        <v>1.0389003452261634</v>
      </c>
      <c r="G445" s="390">
        <f t="shared" si="981"/>
        <v>1.0397749174287265</v>
      </c>
      <c r="H445" s="390">
        <f t="shared" si="981"/>
        <v>1.0415915279449681</v>
      </c>
      <c r="I445" s="390">
        <f t="shared" si="981"/>
        <v>1.043242143083762</v>
      </c>
      <c r="J445" s="390">
        <f t="shared" si="981"/>
        <v>1.0449551480571451</v>
      </c>
      <c r="K445" s="389">
        <f t="shared" si="981"/>
        <v>1.0449551480571451</v>
      </c>
      <c r="L445" s="390">
        <f t="shared" si="981"/>
        <v>1.043457547038654</v>
      </c>
      <c r="M445" s="390">
        <f t="shared" si="981"/>
        <v>1.0419248685903706</v>
      </c>
      <c r="N445" s="390">
        <f t="shared" si="981"/>
        <v>1.0415925541353743</v>
      </c>
      <c r="O445" s="390">
        <f t="shared" si="981"/>
        <v>1.0418095811035843</v>
      </c>
      <c r="P445" s="389">
        <f t="shared" si="981"/>
        <v>1.0418095811035843</v>
      </c>
      <c r="Q445" s="390">
        <f t="shared" si="981"/>
        <v>1.0402048635932728</v>
      </c>
      <c r="R445" s="390">
        <f t="shared" si="981"/>
        <v>1.0384285788099383</v>
      </c>
      <c r="S445" s="390">
        <f t="shared" si="981"/>
        <v>1.0377378932239958</v>
      </c>
      <c r="T445" s="390">
        <f t="shared" si="981"/>
        <v>1.0352332544259655</v>
      </c>
      <c r="U445" s="389">
        <f t="shared" si="981"/>
        <v>1.0352332544259655</v>
      </c>
      <c r="V445" s="390">
        <f t="shared" si="981"/>
        <v>1.0324644189220586</v>
      </c>
      <c r="W445" s="390">
        <f t="shared" si="981"/>
        <v>1.0294432505486553</v>
      </c>
      <c r="X445" s="390">
        <f t="shared" si="981"/>
        <v>1.0305034628199146</v>
      </c>
      <c r="Y445" s="390">
        <f t="shared" si="981"/>
        <v>1.0303722048243891</v>
      </c>
      <c r="Z445" s="389">
        <f t="shared" si="981"/>
        <v>1.0303722048243891</v>
      </c>
      <c r="AA445" s="390">
        <f t="shared" si="981"/>
        <v>1.0342030604447074</v>
      </c>
      <c r="AB445" s="390">
        <f t="shared" si="981"/>
        <v>1.0286329983831393</v>
      </c>
      <c r="AC445" s="390">
        <f t="shared" si="981"/>
        <v>1.0206687603948144</v>
      </c>
      <c r="AD445" s="390">
        <f t="shared" si="981"/>
        <v>1.0221574332937908</v>
      </c>
      <c r="AE445" s="389">
        <f t="shared" si="981"/>
        <v>1.0221574332937908</v>
      </c>
      <c r="AF445" s="390">
        <f t="shared" si="981"/>
        <v>1.0232575937579713</v>
      </c>
      <c r="AG445" s="390">
        <f t="shared" si="981"/>
        <v>1.0269091790496874</v>
      </c>
      <c r="AH445" s="390">
        <f t="shared" si="981"/>
        <v>1.0238202476336564</v>
      </c>
      <c r="AI445" s="390">
        <f t="shared" si="981"/>
        <v>1.0202420471188018</v>
      </c>
      <c r="AJ445" s="389">
        <f t="shared" si="981"/>
        <v>1.0202420471188018</v>
      </c>
      <c r="AK445" s="390">
        <f t="shared" si="981"/>
        <v>1.0167398843335993</v>
      </c>
      <c r="AL445" s="390">
        <f t="shared" si="981"/>
        <v>1.0144303930009482</v>
      </c>
      <c r="AM445" s="390">
        <f t="shared" si="981"/>
        <v>1.0117521173456379</v>
      </c>
      <c r="AN445" s="390">
        <f t="shared" si="981"/>
        <v>1.0129055529315556</v>
      </c>
      <c r="AO445" s="389">
        <f t="shared" si="981"/>
        <v>1.0129055529315556</v>
      </c>
      <c r="AP445" s="390">
        <f t="shared" si="981"/>
        <v>1.0127890981395296</v>
      </c>
      <c r="AQ445" s="390">
        <f t="shared" si="981"/>
        <v>1.0127690029164174</v>
      </c>
      <c r="AR445" s="390">
        <f t="shared" si="981"/>
        <v>1.0127476975246543</v>
      </c>
      <c r="AS445" s="390">
        <f t="shared" si="981"/>
        <v>1.0127262235277925</v>
      </c>
      <c r="AT445" s="389">
        <f t="shared" si="981"/>
        <v>1.0127262235277925</v>
      </c>
      <c r="AU445" s="390">
        <f t="shared" si="981"/>
        <v>1.0125267527991142</v>
      </c>
      <c r="AV445" s="390">
        <f t="shared" si="981"/>
        <v>1.0261345627010283</v>
      </c>
      <c r="AW445" s="390">
        <f t="shared" si="981"/>
        <v>1.0179991241152371</v>
      </c>
      <c r="AX445" s="390">
        <f t="shared" si="981"/>
        <v>1.0161665333360104</v>
      </c>
      <c r="AY445" s="389">
        <f t="shared" si="981"/>
        <v>1.0161665333360104</v>
      </c>
      <c r="AZ445" s="390">
        <f t="shared" si="981"/>
        <v>1.0135137957670777</v>
      </c>
      <c r="BA445" s="390">
        <f t="shared" si="981"/>
        <v>1.0108319364898382</v>
      </c>
      <c r="BB445" s="390">
        <f t="shared" si="981"/>
        <v>1.0110094499674733</v>
      </c>
      <c r="BC445" s="390">
        <f t="shared" si="981"/>
        <v>1.0111381465758307</v>
      </c>
      <c r="BD445" s="389">
        <f t="shared" si="981"/>
        <v>1.0111381465758307</v>
      </c>
      <c r="BE445" s="390">
        <f t="shared" si="981"/>
        <v>1.0222705005401829</v>
      </c>
      <c r="BF445" s="390">
        <f t="shared" si="981"/>
        <v>1.012246108788607</v>
      </c>
      <c r="BG445" s="390">
        <f t="shared" si="981"/>
        <v>1.0146536289056318</v>
      </c>
      <c r="BH445" s="390">
        <f t="shared" si="981"/>
        <v>1.0163504980694584</v>
      </c>
      <c r="BI445" s="391">
        <f t="shared" si="981"/>
        <v>1.0163504980694584</v>
      </c>
      <c r="BJ445" s="392">
        <v>1.0146536289056318</v>
      </c>
      <c r="BK445" s="392">
        <v>1.0146536289056318</v>
      </c>
      <c r="BL445" s="392">
        <v>1.0146536289056318</v>
      </c>
      <c r="BM445" s="392">
        <v>1.0146536289056318</v>
      </c>
      <c r="BN445" s="389">
        <f ca="1">(BN444+BN436)/BN436</f>
        <v>1.0146536289056318</v>
      </c>
      <c r="BO445" s="392">
        <v>1.0146536289056318</v>
      </c>
      <c r="BP445" s="392">
        <v>1.0146536289056318</v>
      </c>
      <c r="BQ445" s="392">
        <v>1.0146536289056318</v>
      </c>
      <c r="BR445" s="392">
        <v>1.0146536289056318</v>
      </c>
      <c r="BS445" s="389">
        <f ca="1">(BS444+BS436)/BS436</f>
        <v>1.0146536289056318</v>
      </c>
      <c r="BT445" s="393">
        <v>1.0146536289056318</v>
      </c>
      <c r="BU445" s="393">
        <v>1.0146536289056318</v>
      </c>
      <c r="BV445" s="393">
        <v>1.0146536289056318</v>
      </c>
      <c r="BW445" s="2"/>
    </row>
    <row r="446" spans="1:75" ht="15" hidden="1" customHeight="1" outlineLevel="1" x14ac:dyDescent="0.2">
      <c r="A446" s="125"/>
      <c r="B446" s="85"/>
      <c r="C446" s="394"/>
      <c r="D446" s="394"/>
      <c r="E446" s="394"/>
      <c r="F446" s="394"/>
      <c r="G446" s="395"/>
      <c r="H446" s="395"/>
      <c r="I446" s="395"/>
      <c r="J446" s="395"/>
      <c r="K446" s="394"/>
      <c r="L446" s="395"/>
      <c r="M446" s="395"/>
      <c r="N446" s="395"/>
      <c r="O446" s="395"/>
      <c r="P446" s="394"/>
      <c r="Q446" s="395"/>
      <c r="R446" s="395"/>
      <c r="S446" s="395"/>
      <c r="T446" s="395"/>
      <c r="U446" s="394"/>
      <c r="V446" s="395"/>
      <c r="W446" s="395"/>
      <c r="X446" s="395"/>
      <c r="Y446" s="395"/>
      <c r="Z446" s="394"/>
      <c r="AA446" s="395"/>
      <c r="AB446" s="395"/>
      <c r="AC446" s="395"/>
      <c r="AD446" s="395"/>
      <c r="AE446" s="394"/>
      <c r="AF446" s="395"/>
      <c r="AG446" s="395"/>
      <c r="AH446" s="395"/>
      <c r="AI446" s="395"/>
      <c r="AJ446" s="394"/>
      <c r="AK446" s="395"/>
      <c r="AL446" s="395"/>
      <c r="AM446" s="395"/>
      <c r="AN446" s="395"/>
      <c r="AO446" s="394"/>
      <c r="AP446" s="395"/>
      <c r="AQ446" s="395"/>
      <c r="AR446" s="395"/>
      <c r="AS446" s="395"/>
      <c r="AT446" s="394"/>
      <c r="AU446" s="395"/>
      <c r="AV446" s="395"/>
      <c r="AW446" s="395"/>
      <c r="AX446" s="395"/>
      <c r="AY446" s="394"/>
      <c r="AZ446" s="395"/>
      <c r="BA446" s="395"/>
      <c r="BB446" s="395"/>
      <c r="BC446" s="395"/>
      <c r="BD446" s="394"/>
      <c r="BE446" s="395"/>
      <c r="BF446" s="395"/>
      <c r="BG446" s="395"/>
      <c r="BH446" s="395"/>
      <c r="BI446" s="396"/>
      <c r="BJ446" s="395"/>
      <c r="BK446" s="395"/>
      <c r="BL446" s="395"/>
      <c r="BM446" s="395"/>
      <c r="BN446" s="394"/>
      <c r="BO446" s="395"/>
      <c r="BP446" s="395"/>
      <c r="BQ446" s="395"/>
      <c r="BR446" s="395"/>
      <c r="BS446" s="394"/>
      <c r="BT446" s="394"/>
      <c r="BU446" s="394"/>
      <c r="BV446" s="394"/>
      <c r="BW446" s="4"/>
    </row>
    <row r="447" spans="1:75" ht="15" hidden="1" customHeight="1" outlineLevel="1" x14ac:dyDescent="0.2">
      <c r="A447" s="125" t="s">
        <v>747</v>
      </c>
      <c r="B447" s="85"/>
      <c r="C447" s="86">
        <f t="shared" ref="C447:BV447" si="982">C436+C444</f>
        <v>60.374013000000005</v>
      </c>
      <c r="D447" s="86">
        <f t="shared" si="982"/>
        <v>60.711997000000004</v>
      </c>
      <c r="E447" s="86">
        <f t="shared" si="982"/>
        <v>55.653185000000001</v>
      </c>
      <c r="F447" s="86">
        <f t="shared" si="982"/>
        <v>54.10779999999999</v>
      </c>
      <c r="G447" s="2">
        <f t="shared" si="982"/>
        <v>53.590019000000005</v>
      </c>
      <c r="H447" s="2">
        <f t="shared" si="982"/>
        <v>54.619563999999997</v>
      </c>
      <c r="I447" s="2">
        <f t="shared" si="982"/>
        <v>52.97979200000001</v>
      </c>
      <c r="J447" s="2">
        <f t="shared" si="982"/>
        <v>52.346373999999997</v>
      </c>
      <c r="K447" s="86">
        <f t="shared" si="982"/>
        <v>52.346373999999997</v>
      </c>
      <c r="L447" s="2">
        <f t="shared" si="982"/>
        <v>50.399010999999994</v>
      </c>
      <c r="M447" s="2">
        <f t="shared" si="982"/>
        <v>49.928053000000006</v>
      </c>
      <c r="N447" s="2">
        <f t="shared" si="982"/>
        <v>49.634759999999993</v>
      </c>
      <c r="O447" s="2">
        <f t="shared" si="982"/>
        <v>50.060186999999999</v>
      </c>
      <c r="P447" s="86">
        <f t="shared" si="982"/>
        <v>50.060186999999999</v>
      </c>
      <c r="Q447" s="2">
        <f t="shared" si="982"/>
        <v>48.562893999999993</v>
      </c>
      <c r="R447" s="2">
        <f t="shared" si="982"/>
        <v>48.937384999999992</v>
      </c>
      <c r="S447" s="2">
        <f t="shared" si="982"/>
        <v>49.194932000000001</v>
      </c>
      <c r="T447" s="2">
        <f t="shared" si="982"/>
        <v>48.833345000000001</v>
      </c>
      <c r="U447" s="86">
        <f t="shared" si="982"/>
        <v>48.833345000000001</v>
      </c>
      <c r="V447" s="2">
        <f t="shared" si="982"/>
        <v>48.308686999999999</v>
      </c>
      <c r="W447" s="2">
        <f t="shared" si="982"/>
        <v>47.760334</v>
      </c>
      <c r="X447" s="2">
        <f t="shared" si="982"/>
        <v>47.195078999999993</v>
      </c>
      <c r="Y447" s="2">
        <f t="shared" si="982"/>
        <v>47.223378000000011</v>
      </c>
      <c r="Z447" s="86">
        <f t="shared" si="982"/>
        <v>47.223378000000011</v>
      </c>
      <c r="AA447" s="2">
        <f t="shared" si="982"/>
        <v>47.653747999999993</v>
      </c>
      <c r="AB447" s="2">
        <f t="shared" si="982"/>
        <v>47.241031999999997</v>
      </c>
      <c r="AC447" s="2">
        <f t="shared" si="982"/>
        <v>45.283473000000008</v>
      </c>
      <c r="AD447" s="2">
        <f t="shared" si="982"/>
        <v>45.162818000000001</v>
      </c>
      <c r="AE447" s="86">
        <f t="shared" si="982"/>
        <v>45.162818000000001</v>
      </c>
      <c r="AF447" s="2">
        <f t="shared" si="982"/>
        <v>44.964637000000003</v>
      </c>
      <c r="AG447" s="2">
        <f t="shared" si="982"/>
        <v>45.298342000000005</v>
      </c>
      <c r="AH447" s="2">
        <f t="shared" si="982"/>
        <v>45.001203000000004</v>
      </c>
      <c r="AI447" s="2">
        <f t="shared" si="982"/>
        <v>44.001048999999995</v>
      </c>
      <c r="AJ447" s="86">
        <f t="shared" si="982"/>
        <v>44.001048999999995</v>
      </c>
      <c r="AK447" s="2">
        <f t="shared" si="982"/>
        <v>44.277687999999991</v>
      </c>
      <c r="AL447" s="2">
        <f t="shared" si="982"/>
        <v>43.65517100000001</v>
      </c>
      <c r="AM447" s="2">
        <f t="shared" si="982"/>
        <v>43.389888999999989</v>
      </c>
      <c r="AN447" s="2">
        <f t="shared" si="982"/>
        <v>43.559743999999988</v>
      </c>
      <c r="AO447" s="86">
        <f t="shared" si="982"/>
        <v>43.559743999999988</v>
      </c>
      <c r="AP447" s="2">
        <f t="shared" si="982"/>
        <v>43.951335999999998</v>
      </c>
      <c r="AQ447" s="2">
        <f t="shared" si="982"/>
        <v>44.019630999999997</v>
      </c>
      <c r="AR447" s="2">
        <f t="shared" si="982"/>
        <v>44.09227400000001</v>
      </c>
      <c r="AS447" s="2">
        <f t="shared" si="982"/>
        <v>44.16573799999999</v>
      </c>
      <c r="AT447" s="86">
        <f t="shared" si="982"/>
        <v>44.16573799999999</v>
      </c>
      <c r="AU447" s="2">
        <f t="shared" si="982"/>
        <v>44.860177000000007</v>
      </c>
      <c r="AV447" s="2">
        <f t="shared" si="982"/>
        <v>51.27813900000001</v>
      </c>
      <c r="AW447" s="2">
        <f t="shared" si="982"/>
        <v>50.939195999999995</v>
      </c>
      <c r="AX447" s="2">
        <f t="shared" si="982"/>
        <v>50.913505999999998</v>
      </c>
      <c r="AY447" s="86">
        <f t="shared" si="982"/>
        <v>50.913505999999998</v>
      </c>
      <c r="AZ447" s="2">
        <f t="shared" si="982"/>
        <v>50.998948999999996</v>
      </c>
      <c r="BA447" s="2">
        <f t="shared" si="982"/>
        <v>50.579221000000004</v>
      </c>
      <c r="BB447" s="2">
        <f t="shared" si="982"/>
        <v>49.772433999999997</v>
      </c>
      <c r="BC447" s="2">
        <f t="shared" si="982"/>
        <v>49.203596999999995</v>
      </c>
      <c r="BD447" s="86">
        <f t="shared" si="982"/>
        <v>49.203596999999995</v>
      </c>
      <c r="BE447" s="2">
        <f t="shared" si="982"/>
        <v>49.758254000000001</v>
      </c>
      <c r="BF447" s="2">
        <f t="shared" si="982"/>
        <v>49.016545000000001</v>
      </c>
      <c r="BG447" s="2">
        <f t="shared" si="982"/>
        <v>48.746706999999994</v>
      </c>
      <c r="BH447" s="2">
        <f t="shared" si="982"/>
        <v>48.547128999999991</v>
      </c>
      <c r="BI447" s="90">
        <f t="shared" si="982"/>
        <v>48.547128999999991</v>
      </c>
      <c r="BJ447" s="2">
        <f t="shared" ca="1" si="982"/>
        <v>48.470922736237398</v>
      </c>
      <c r="BK447" s="2">
        <f t="shared" ca="1" si="982"/>
        <v>48.475769828511019</v>
      </c>
      <c r="BL447" s="2">
        <f t="shared" ca="1" si="982"/>
        <v>48.480617405493874</v>
      </c>
      <c r="BM447" s="2">
        <f t="shared" ca="1" si="982"/>
        <v>48.48546546723442</v>
      </c>
      <c r="BN447" s="86">
        <f t="shared" ca="1" si="982"/>
        <v>48.48546546723442</v>
      </c>
      <c r="BO447" s="2">
        <f t="shared" ca="1" si="982"/>
        <v>48.490314013781145</v>
      </c>
      <c r="BP447" s="2">
        <f t="shared" ca="1" si="982"/>
        <v>48.495163045182515</v>
      </c>
      <c r="BQ447" s="2">
        <f t="shared" ca="1" si="982"/>
        <v>48.500012561487033</v>
      </c>
      <c r="BR447" s="2">
        <f t="shared" ca="1" si="982"/>
        <v>48.504862562743185</v>
      </c>
      <c r="BS447" s="86">
        <f t="shared" ca="1" si="982"/>
        <v>48.504862562743185</v>
      </c>
      <c r="BT447" s="86">
        <f t="shared" ca="1" si="982"/>
        <v>48.524264507768279</v>
      </c>
      <c r="BU447" s="86">
        <f t="shared" ca="1" si="982"/>
        <v>48.543674213571386</v>
      </c>
      <c r="BV447" s="86">
        <f t="shared" ca="1" si="982"/>
        <v>48.563091683256815</v>
      </c>
      <c r="BW447" s="2"/>
    </row>
    <row r="448" spans="1:75" ht="15" hidden="1" customHeight="1" outlineLevel="1" x14ac:dyDescent="0.2">
      <c r="A448" s="125"/>
      <c r="B448" s="85"/>
      <c r="C448" s="86"/>
      <c r="D448" s="86"/>
      <c r="E448" s="86"/>
      <c r="F448" s="86"/>
      <c r="G448" s="2"/>
      <c r="H448" s="2"/>
      <c r="I448" s="2"/>
      <c r="J448" s="2"/>
      <c r="K448" s="86"/>
      <c r="L448" s="2"/>
      <c r="M448" s="2"/>
      <c r="N448" s="2"/>
      <c r="O448" s="2"/>
      <c r="P448" s="86"/>
      <c r="Q448" s="2"/>
      <c r="R448" s="2"/>
      <c r="S448" s="2"/>
      <c r="T448" s="2"/>
      <c r="U448" s="86"/>
      <c r="V448" s="2"/>
      <c r="W448" s="2"/>
      <c r="X448" s="2"/>
      <c r="Y448" s="2"/>
      <c r="Z448" s="86"/>
      <c r="AA448" s="2"/>
      <c r="AB448" s="2"/>
      <c r="AC448" s="2"/>
      <c r="AD448" s="2"/>
      <c r="AE448" s="86"/>
      <c r="AF448" s="2"/>
      <c r="AG448" s="2"/>
      <c r="AH448" s="2"/>
      <c r="AI448" s="2"/>
      <c r="AJ448" s="86"/>
      <c r="AK448" s="2"/>
      <c r="AL448" s="2"/>
      <c r="AM448" s="2"/>
      <c r="AN448" s="2"/>
      <c r="AO448" s="86"/>
      <c r="AP448" s="2"/>
      <c r="AQ448" s="2"/>
      <c r="AR448" s="2"/>
      <c r="AS448" s="2"/>
      <c r="AT448" s="86"/>
      <c r="AU448" s="2"/>
      <c r="AV448" s="2"/>
      <c r="AW448" s="2"/>
      <c r="AX448" s="2"/>
      <c r="AY448" s="86"/>
      <c r="AZ448" s="2"/>
      <c r="BA448" s="2"/>
      <c r="BB448" s="2"/>
      <c r="BC448" s="2"/>
      <c r="BD448" s="86"/>
      <c r="BE448" s="2"/>
      <c r="BF448" s="2"/>
      <c r="BG448" s="2"/>
      <c r="BH448" s="2"/>
      <c r="BI448" s="90"/>
      <c r="BJ448" s="2"/>
      <c r="BK448" s="2"/>
      <c r="BL448" s="2"/>
      <c r="BM448" s="2"/>
      <c r="BN448" s="86"/>
      <c r="BO448" s="2"/>
      <c r="BP448" s="2"/>
      <c r="BQ448" s="2"/>
      <c r="BR448" s="2"/>
      <c r="BS448" s="86"/>
      <c r="BT448" s="86"/>
      <c r="BU448" s="86"/>
      <c r="BV448" s="86"/>
      <c r="BW448" s="2"/>
    </row>
    <row r="449" spans="1:75" ht="15" hidden="1" customHeight="1" outlineLevel="2" x14ac:dyDescent="0.2">
      <c r="A449" s="85" t="s">
        <v>748</v>
      </c>
      <c r="B449" s="85"/>
      <c r="C449" s="87">
        <v>9.4280000000000008</v>
      </c>
      <c r="D449" s="86">
        <f t="shared" ref="D449:G449" si="983">C453</f>
        <v>10.254000000000001</v>
      </c>
      <c r="E449" s="86">
        <f t="shared" si="983"/>
        <v>9.1590000000000007</v>
      </c>
      <c r="F449" s="86">
        <f t="shared" si="983"/>
        <v>8.8270000000000017</v>
      </c>
      <c r="G449" s="2">
        <f t="shared" si="983"/>
        <v>7.4140000000000015</v>
      </c>
      <c r="H449" s="2">
        <f t="shared" ref="H449:K449" si="984">G449</f>
        <v>7.4140000000000015</v>
      </c>
      <c r="I449" s="2">
        <f t="shared" si="984"/>
        <v>7.4140000000000015</v>
      </c>
      <c r="J449" s="2">
        <f t="shared" si="984"/>
        <v>7.4140000000000015</v>
      </c>
      <c r="K449" s="86">
        <f t="shared" si="984"/>
        <v>7.4140000000000015</v>
      </c>
      <c r="L449" s="2">
        <f>K453</f>
        <v>4.8230000000000022</v>
      </c>
      <c r="M449" s="2">
        <f t="shared" ref="M449:O449" si="985">L449</f>
        <v>4.8230000000000022</v>
      </c>
      <c r="N449" s="2">
        <f t="shared" si="985"/>
        <v>4.8230000000000022</v>
      </c>
      <c r="O449" s="2">
        <f t="shared" si="985"/>
        <v>4.8230000000000022</v>
      </c>
      <c r="P449" s="86">
        <f>O449</f>
        <v>4.8230000000000022</v>
      </c>
      <c r="Q449" s="2">
        <f>P453</f>
        <v>4.0230000000000015</v>
      </c>
      <c r="R449" s="2">
        <f t="shared" ref="R449:U449" si="986">Q449</f>
        <v>4.0230000000000015</v>
      </c>
      <c r="S449" s="2">
        <f t="shared" si="986"/>
        <v>4.0230000000000015</v>
      </c>
      <c r="T449" s="2">
        <f t="shared" si="986"/>
        <v>4.0230000000000015</v>
      </c>
      <c r="U449" s="86">
        <f t="shared" si="986"/>
        <v>4.0230000000000015</v>
      </c>
      <c r="V449" s="2">
        <f>U453</f>
        <v>3.0660000000000016</v>
      </c>
      <c r="W449" s="2">
        <f t="shared" ref="W449:Z449" si="987">V449</f>
        <v>3.0660000000000016</v>
      </c>
      <c r="X449" s="2">
        <f t="shared" si="987"/>
        <v>3.0660000000000016</v>
      </c>
      <c r="Y449" s="2">
        <f t="shared" si="987"/>
        <v>3.0660000000000016</v>
      </c>
      <c r="Z449" s="86">
        <f t="shared" si="987"/>
        <v>3.0660000000000016</v>
      </c>
      <c r="AA449" s="2">
        <f>Z453</f>
        <v>1.9550000000000016</v>
      </c>
      <c r="AB449" s="2">
        <f t="shared" ref="AB449:AE449" si="988">AA449</f>
        <v>1.9550000000000016</v>
      </c>
      <c r="AC449" s="2">
        <f t="shared" si="988"/>
        <v>1.9550000000000016</v>
      </c>
      <c r="AD449" s="2">
        <f t="shared" si="988"/>
        <v>1.9550000000000016</v>
      </c>
      <c r="AE449" s="86">
        <f t="shared" si="988"/>
        <v>1.9550000000000016</v>
      </c>
      <c r="AF449" s="2">
        <f>AE453</f>
        <v>1.7410000000000017</v>
      </c>
      <c r="AG449" s="2">
        <f t="shared" ref="AG449:AJ449" si="989">AF449</f>
        <v>1.7410000000000017</v>
      </c>
      <c r="AH449" s="2">
        <f t="shared" si="989"/>
        <v>1.7410000000000017</v>
      </c>
      <c r="AI449" s="2">
        <f t="shared" si="989"/>
        <v>1.7410000000000017</v>
      </c>
      <c r="AJ449" s="86">
        <f t="shared" si="989"/>
        <v>1.7410000000000017</v>
      </c>
      <c r="AK449" s="2">
        <f>AJ453</f>
        <v>1.7990000000000017</v>
      </c>
      <c r="AL449" s="2">
        <f t="shared" ref="AL449:AO449" si="990">AK449</f>
        <v>1.7990000000000017</v>
      </c>
      <c r="AM449" s="2">
        <f t="shared" si="990"/>
        <v>1.7990000000000017</v>
      </c>
      <c r="AN449" s="2">
        <f t="shared" si="990"/>
        <v>1.7990000000000017</v>
      </c>
      <c r="AO449" s="86">
        <f t="shared" si="990"/>
        <v>1.7990000000000017</v>
      </c>
      <c r="AP449" s="2">
        <f>AO453</f>
        <v>1.8290000000000017</v>
      </c>
      <c r="AQ449" s="2">
        <f t="shared" ref="AQ449:AT449" si="991">AP449</f>
        <v>1.8290000000000017</v>
      </c>
      <c r="AR449" s="2">
        <f t="shared" si="991"/>
        <v>1.8290000000000017</v>
      </c>
      <c r="AS449" s="2">
        <f t="shared" si="991"/>
        <v>1.8290000000000017</v>
      </c>
      <c r="AT449" s="86">
        <f t="shared" si="991"/>
        <v>1.8290000000000017</v>
      </c>
      <c r="AU449" s="2">
        <f>AT453</f>
        <v>2.2940000000000023</v>
      </c>
      <c r="AV449" s="2">
        <f t="shared" ref="AV449:AY449" si="992">AU449</f>
        <v>2.2940000000000023</v>
      </c>
      <c r="AW449" s="2">
        <f t="shared" si="992"/>
        <v>2.2940000000000023</v>
      </c>
      <c r="AX449" s="2">
        <f t="shared" si="992"/>
        <v>2.2940000000000023</v>
      </c>
      <c r="AY449" s="86">
        <f t="shared" si="992"/>
        <v>2.2940000000000023</v>
      </c>
      <c r="AZ449" s="2">
        <f>AY453</f>
        <v>1.7160000000000024</v>
      </c>
      <c r="BA449" s="2">
        <f t="shared" ref="BA449:BD449" si="993">AZ449</f>
        <v>1.7160000000000024</v>
      </c>
      <c r="BB449" s="2">
        <f t="shared" si="993"/>
        <v>1.7160000000000024</v>
      </c>
      <c r="BC449" s="2">
        <f t="shared" si="993"/>
        <v>1.7160000000000024</v>
      </c>
      <c r="BD449" s="86">
        <f t="shared" si="993"/>
        <v>1.7160000000000024</v>
      </c>
      <c r="BE449" s="2">
        <f>BD453</f>
        <v>1.6850000000000025</v>
      </c>
      <c r="BF449" s="2">
        <f t="shared" ref="BF449:BI449" si="994">BE449</f>
        <v>1.6850000000000025</v>
      </c>
      <c r="BG449" s="2">
        <f t="shared" si="994"/>
        <v>1.6850000000000025</v>
      </c>
      <c r="BH449" s="2">
        <f t="shared" si="994"/>
        <v>1.6850000000000025</v>
      </c>
      <c r="BI449" s="90">
        <f t="shared" si="994"/>
        <v>1.6850000000000025</v>
      </c>
      <c r="BJ449" s="2"/>
      <c r="BK449" s="2"/>
      <c r="BL449" s="2"/>
      <c r="BM449" s="2"/>
      <c r="BN449" s="86"/>
      <c r="BO449" s="2"/>
      <c r="BP449" s="2"/>
      <c r="BQ449" s="2"/>
      <c r="BR449" s="2"/>
      <c r="BS449" s="86"/>
      <c r="BT449" s="86"/>
      <c r="BU449" s="86"/>
      <c r="BV449" s="86"/>
      <c r="BW449" s="2"/>
    </row>
    <row r="450" spans="1:75" ht="15" hidden="1" customHeight="1" outlineLevel="2" x14ac:dyDescent="0.2">
      <c r="A450" s="85" t="s">
        <v>749</v>
      </c>
      <c r="B450" s="85"/>
      <c r="C450" s="87">
        <v>1.8169999999999999</v>
      </c>
      <c r="D450" s="87">
        <v>0.72899999999999998</v>
      </c>
      <c r="E450" s="87">
        <v>0.77500000000000002</v>
      </c>
      <c r="F450" s="87">
        <v>0.48499999999999999</v>
      </c>
      <c r="G450" s="88">
        <v>0.38600000000000001</v>
      </c>
      <c r="H450" s="88">
        <v>0.38600000000000001</v>
      </c>
      <c r="I450" s="88">
        <v>0.38600000000000001</v>
      </c>
      <c r="J450" s="2">
        <f t="shared" ref="J450:J452" si="995">K450</f>
        <v>0.38600000000000001</v>
      </c>
      <c r="K450" s="87">
        <v>0.38600000000000001</v>
      </c>
      <c r="L450" s="88">
        <v>0.32900000000000001</v>
      </c>
      <c r="M450" s="88">
        <v>0.33</v>
      </c>
      <c r="N450" s="88">
        <v>0.32900000000000001</v>
      </c>
      <c r="O450" s="2">
        <f t="shared" ref="O450:O452" si="996">P450</f>
        <v>0.32900000000000001</v>
      </c>
      <c r="P450" s="87">
        <v>0.32900000000000001</v>
      </c>
      <c r="Q450" s="88">
        <v>0.312</v>
      </c>
      <c r="R450" s="88">
        <v>0.312</v>
      </c>
      <c r="S450" s="88">
        <v>0.311</v>
      </c>
      <c r="T450" s="2">
        <f t="shared" ref="T450:T452" si="997">U450</f>
        <v>0.311</v>
      </c>
      <c r="U450" s="87">
        <v>0.311</v>
      </c>
      <c r="V450" s="88">
        <v>0.22500000000000001</v>
      </c>
      <c r="W450" s="88">
        <v>0.22500000000000001</v>
      </c>
      <c r="X450" s="88">
        <v>0.22500000000000001</v>
      </c>
      <c r="Y450" s="2">
        <f t="shared" ref="Y450:Y452" si="998">Z450</f>
        <v>0.22500000000000001</v>
      </c>
      <c r="Z450" s="87">
        <v>0.22500000000000001</v>
      </c>
      <c r="AA450" s="88">
        <v>0.19400000000000001</v>
      </c>
      <c r="AB450" s="88">
        <v>0.19900000000000001</v>
      </c>
      <c r="AC450" s="88">
        <v>0.19900000000000001</v>
      </c>
      <c r="AD450" s="2">
        <f t="shared" ref="AD450:AD452" si="999">AE450</f>
        <v>0.19900000000000001</v>
      </c>
      <c r="AE450" s="87">
        <v>0.19900000000000001</v>
      </c>
      <c r="AF450" s="88">
        <v>0.36899999999999999</v>
      </c>
      <c r="AG450" s="88">
        <v>0.38100000000000001</v>
      </c>
      <c r="AH450" s="88">
        <v>0.38100000000000001</v>
      </c>
      <c r="AI450" s="2">
        <f t="shared" ref="AI450:AI452" si="1000">AJ450</f>
        <v>0.38100000000000001</v>
      </c>
      <c r="AJ450" s="87">
        <v>0.38100000000000001</v>
      </c>
      <c r="AK450" s="88">
        <v>0.3</v>
      </c>
      <c r="AL450" s="88">
        <v>0.3</v>
      </c>
      <c r="AM450" s="88">
        <v>0.3</v>
      </c>
      <c r="AN450" s="2">
        <f t="shared" ref="AN450:AN452" si="1001">AO450</f>
        <v>0.307</v>
      </c>
      <c r="AO450" s="87">
        <v>0.307</v>
      </c>
      <c r="AP450" s="88">
        <v>0.65400000000000003</v>
      </c>
      <c r="AQ450" s="88">
        <v>0.65400000000000003</v>
      </c>
      <c r="AR450" s="88">
        <v>0.65400000000000003</v>
      </c>
      <c r="AS450" s="2">
        <f t="shared" ref="AS450:AS452" si="1002">AT450</f>
        <v>0.65400000000000003</v>
      </c>
      <c r="AT450" s="87">
        <v>0.65400000000000003</v>
      </c>
      <c r="AU450" s="2"/>
      <c r="AV450" s="2"/>
      <c r="AW450" s="2"/>
      <c r="AX450" s="2"/>
      <c r="AY450" s="86"/>
      <c r="AZ450" s="2"/>
      <c r="BA450" s="2"/>
      <c r="BB450" s="2"/>
      <c r="BC450" s="2"/>
      <c r="BD450" s="86"/>
      <c r="BE450" s="88">
        <v>0.04</v>
      </c>
      <c r="BF450" s="88">
        <v>0.04</v>
      </c>
      <c r="BG450" s="88">
        <v>0.04</v>
      </c>
      <c r="BH450" s="2">
        <f t="shared" ref="BH450:BH452" si="1003">BI450</f>
        <v>0.04</v>
      </c>
      <c r="BI450" s="89">
        <v>0.04</v>
      </c>
      <c r="BJ450" s="2"/>
      <c r="BK450" s="2"/>
      <c r="BL450" s="2"/>
      <c r="BM450" s="2"/>
      <c r="BN450" s="86"/>
      <c r="BO450" s="2"/>
      <c r="BP450" s="2"/>
      <c r="BQ450" s="2"/>
      <c r="BR450" s="2"/>
      <c r="BS450" s="86"/>
      <c r="BT450" s="86"/>
      <c r="BU450" s="86"/>
      <c r="BV450" s="86"/>
      <c r="BW450" s="2"/>
    </row>
    <row r="451" spans="1:75" ht="15" hidden="1" customHeight="1" outlineLevel="2" x14ac:dyDescent="0.2">
      <c r="A451" s="85" t="s">
        <v>750</v>
      </c>
      <c r="B451" s="85"/>
      <c r="C451" s="87">
        <v>-0.182</v>
      </c>
      <c r="D451" s="87">
        <v>-1.4370000000000001</v>
      </c>
      <c r="E451" s="87">
        <v>-0.76700000000000002</v>
      </c>
      <c r="F451" s="87">
        <v>-1.696</v>
      </c>
      <c r="G451" s="88">
        <v>-0.79400000000000004</v>
      </c>
      <c r="H451" s="88">
        <v>-1.819</v>
      </c>
      <c r="I451" s="88">
        <v>-2.3580000000000001</v>
      </c>
      <c r="J451" s="2">
        <f t="shared" si="995"/>
        <v>-2.7909999999999999</v>
      </c>
      <c r="K451" s="87">
        <v>-2.7909999999999999</v>
      </c>
      <c r="L451" s="88">
        <v>-0.311</v>
      </c>
      <c r="M451" s="88">
        <v>-0.44900000000000001</v>
      </c>
      <c r="N451" s="88">
        <v>-0.64800000000000002</v>
      </c>
      <c r="O451" s="2">
        <f t="shared" si="996"/>
        <v>-1.0880000000000001</v>
      </c>
      <c r="P451" s="87">
        <v>-1.0880000000000001</v>
      </c>
      <c r="Q451" s="88">
        <v>-0.28000000000000003</v>
      </c>
      <c r="R451" s="88">
        <v>-0.74399999999999999</v>
      </c>
      <c r="S451" s="88">
        <v>-1.129</v>
      </c>
      <c r="T451" s="2">
        <f t="shared" si="997"/>
        <v>-1.23</v>
      </c>
      <c r="U451" s="87">
        <v>-1.23</v>
      </c>
      <c r="V451" s="88">
        <v>-0.55600000000000005</v>
      </c>
      <c r="W451" s="88">
        <v>-0.64400000000000002</v>
      </c>
      <c r="X451" s="88">
        <v>-0.85699999999999998</v>
      </c>
      <c r="Y451" s="2">
        <f t="shared" si="998"/>
        <v>-1.304</v>
      </c>
      <c r="Z451" s="87">
        <v>-1.304</v>
      </c>
      <c r="AA451" s="88">
        <v>-0.19600000000000001</v>
      </c>
      <c r="AB451" s="88">
        <v>-0.28899999999999998</v>
      </c>
      <c r="AC451" s="88">
        <v>-0.307</v>
      </c>
      <c r="AD451" s="2">
        <f t="shared" si="999"/>
        <v>-0.34499999999999997</v>
      </c>
      <c r="AE451" s="87">
        <v>-0.34499999999999997</v>
      </c>
      <c r="AF451" s="88">
        <v>-0.02</v>
      </c>
      <c r="AG451" s="88">
        <v>-0.21099999999999999</v>
      </c>
      <c r="AH451" s="88">
        <v>-0.245</v>
      </c>
      <c r="AI451" s="2">
        <f t="shared" si="1000"/>
        <v>-0.28599999999999998</v>
      </c>
      <c r="AJ451" s="87">
        <v>-0.28599999999999998</v>
      </c>
      <c r="AK451" s="88">
        <v>-0.189</v>
      </c>
      <c r="AL451" s="88">
        <v>-0.20799999999999999</v>
      </c>
      <c r="AM451" s="88">
        <v>-0.219</v>
      </c>
      <c r="AN451" s="2">
        <f t="shared" si="1001"/>
        <v>-0.26</v>
      </c>
      <c r="AO451" s="87">
        <v>-0.26</v>
      </c>
      <c r="AP451" s="88">
        <v>-4.0000000000000001E-3</v>
      </c>
      <c r="AQ451" s="88">
        <v>-4.0000000000000001E-3</v>
      </c>
      <c r="AR451" s="88">
        <v>-4.0000000000000001E-3</v>
      </c>
      <c r="AS451" s="2">
        <f t="shared" si="1002"/>
        <v>-1.7999999999999999E-2</v>
      </c>
      <c r="AT451" s="87">
        <v>-1.7999999999999999E-2</v>
      </c>
      <c r="AU451" s="88">
        <v>-0.48399999999999999</v>
      </c>
      <c r="AV451" s="88">
        <v>-0.57699999999999996</v>
      </c>
      <c r="AW451" s="88">
        <v>-0.57699999999999996</v>
      </c>
      <c r="AX451" s="2">
        <f t="shared" ref="AX451:AX452" si="1004">AY451</f>
        <v>-0.57699999999999996</v>
      </c>
      <c r="AY451" s="87">
        <v>-0.57699999999999996</v>
      </c>
      <c r="AZ451" s="88">
        <v>-2E-3</v>
      </c>
      <c r="BA451" s="88">
        <v>-2E-3</v>
      </c>
      <c r="BB451" s="88">
        <v>-2E-3</v>
      </c>
      <c r="BC451" s="2">
        <f t="shared" ref="BC451:BC452" si="1005">BD451</f>
        <v>-2E-3</v>
      </c>
      <c r="BD451" s="87">
        <v>-2E-3</v>
      </c>
      <c r="BE451" s="2"/>
      <c r="BF451" s="2"/>
      <c r="BG451" s="2"/>
      <c r="BH451" s="2">
        <f t="shared" si="1003"/>
        <v>0</v>
      </c>
      <c r="BI451" s="90"/>
      <c r="BJ451" s="2"/>
      <c r="BK451" s="2"/>
      <c r="BL451" s="2"/>
      <c r="BM451" s="2"/>
      <c r="BN451" s="86"/>
      <c r="BO451" s="2"/>
      <c r="BP451" s="2"/>
      <c r="BQ451" s="2"/>
      <c r="BR451" s="2"/>
      <c r="BS451" s="86"/>
      <c r="BT451" s="86"/>
      <c r="BU451" s="86"/>
      <c r="BV451" s="86"/>
      <c r="BW451" s="2"/>
    </row>
    <row r="452" spans="1:75" ht="15" hidden="1" customHeight="1" outlineLevel="2" x14ac:dyDescent="0.2">
      <c r="A452" s="85" t="s">
        <v>751</v>
      </c>
      <c r="B452" s="85"/>
      <c r="C452" s="87">
        <v>-0.80900000000000005</v>
      </c>
      <c r="D452" s="87">
        <v>-0.38700000000000001</v>
      </c>
      <c r="E452" s="87">
        <v>-0.34</v>
      </c>
      <c r="F452" s="87">
        <v>-0.20200000000000001</v>
      </c>
      <c r="G452" s="88">
        <v>-0.09</v>
      </c>
      <c r="H452" s="88">
        <v>-0.154</v>
      </c>
      <c r="I452" s="88">
        <v>-0.17699999999999999</v>
      </c>
      <c r="J452" s="2">
        <f t="shared" si="995"/>
        <v>-0.186</v>
      </c>
      <c r="K452" s="87">
        <v>-0.186</v>
      </c>
      <c r="L452" s="88">
        <v>-1E-3</v>
      </c>
      <c r="M452" s="88">
        <v>-2.5999999999999999E-2</v>
      </c>
      <c r="N452" s="88">
        <v>-3.6999999999999998E-2</v>
      </c>
      <c r="O452" s="2">
        <f t="shared" si="996"/>
        <v>-4.1000000000000002E-2</v>
      </c>
      <c r="P452" s="87">
        <v>-4.1000000000000002E-2</v>
      </c>
      <c r="Q452" s="88">
        <v>-1.2E-2</v>
      </c>
      <c r="R452" s="88">
        <v>-2.3E-2</v>
      </c>
      <c r="S452" s="88">
        <v>-6.7000000000000004E-2</v>
      </c>
      <c r="T452" s="2">
        <f t="shared" si="997"/>
        <v>-3.7999999999999999E-2</v>
      </c>
      <c r="U452" s="87">
        <v>-3.7999999999999999E-2</v>
      </c>
      <c r="V452" s="88">
        <v>-3.1E-2</v>
      </c>
      <c r="W452" s="88">
        <v>-3.1E-2</v>
      </c>
      <c r="X452" s="88">
        <v>-3.2000000000000001E-2</v>
      </c>
      <c r="Y452" s="2">
        <f t="shared" si="998"/>
        <v>-3.2000000000000001E-2</v>
      </c>
      <c r="Z452" s="87">
        <v>-3.2000000000000001E-2</v>
      </c>
      <c r="AA452" s="88">
        <v>-2.5999999999999999E-2</v>
      </c>
      <c r="AB452" s="88">
        <v>-2.7E-2</v>
      </c>
      <c r="AC452" s="88">
        <v>-6.9000000000000006E-2</v>
      </c>
      <c r="AD452" s="2">
        <f t="shared" si="999"/>
        <v>-6.8000000000000005E-2</v>
      </c>
      <c r="AE452" s="87">
        <v>-6.8000000000000005E-2</v>
      </c>
      <c r="AF452" s="2"/>
      <c r="AG452" s="88">
        <v>-3.6999999999999998E-2</v>
      </c>
      <c r="AH452" s="88">
        <v>-3.6999999999999998E-2</v>
      </c>
      <c r="AI452" s="2">
        <f t="shared" si="1000"/>
        <v>-3.6999999999999998E-2</v>
      </c>
      <c r="AJ452" s="87">
        <v>-3.6999999999999998E-2</v>
      </c>
      <c r="AK452" s="2"/>
      <c r="AL452" s="2"/>
      <c r="AM452" s="88">
        <v>-1.7000000000000001E-2</v>
      </c>
      <c r="AN452" s="2">
        <f t="shared" si="1001"/>
        <v>-1.7000000000000001E-2</v>
      </c>
      <c r="AO452" s="87">
        <v>-1.7000000000000001E-2</v>
      </c>
      <c r="AP452" s="2"/>
      <c r="AQ452" s="88">
        <v>-4.2999999999999997E-2</v>
      </c>
      <c r="AR452" s="88">
        <v>-0.11799999999999999</v>
      </c>
      <c r="AS452" s="2">
        <f t="shared" si="1002"/>
        <v>-0.17100000000000001</v>
      </c>
      <c r="AT452" s="87">
        <v>-0.17100000000000001</v>
      </c>
      <c r="AU452" s="2"/>
      <c r="AV452" s="88">
        <v>-1E-3</v>
      </c>
      <c r="AW452" s="88">
        <v>-1E-3</v>
      </c>
      <c r="AX452" s="2">
        <f t="shared" si="1004"/>
        <v>-1E-3</v>
      </c>
      <c r="AY452" s="87">
        <v>-1E-3</v>
      </c>
      <c r="AZ452" s="88">
        <v>-2.9000000000000001E-2</v>
      </c>
      <c r="BA452" s="88">
        <v>-2.9000000000000001E-2</v>
      </c>
      <c r="BB452" s="88">
        <v>-2.9000000000000001E-2</v>
      </c>
      <c r="BC452" s="2">
        <f t="shared" si="1005"/>
        <v>-2.9000000000000001E-2</v>
      </c>
      <c r="BD452" s="87">
        <v>-2.9000000000000001E-2</v>
      </c>
      <c r="BE452" s="88">
        <v>-0.17499999999999999</v>
      </c>
      <c r="BF452" s="88">
        <v>-0.17499999999999999</v>
      </c>
      <c r="BG452" s="88">
        <v>-0.17499999999999999</v>
      </c>
      <c r="BH452" s="2">
        <f t="shared" si="1003"/>
        <v>-0.17499999999999999</v>
      </c>
      <c r="BI452" s="89">
        <v>-0.17499999999999999</v>
      </c>
      <c r="BJ452" s="2"/>
      <c r="BK452" s="2"/>
      <c r="BL452" s="2"/>
      <c r="BM452" s="2"/>
      <c r="BN452" s="86"/>
      <c r="BO452" s="2"/>
      <c r="BP452" s="2"/>
      <c r="BQ452" s="2"/>
      <c r="BR452" s="2"/>
      <c r="BS452" s="86"/>
      <c r="BT452" s="86"/>
      <c r="BU452" s="86"/>
      <c r="BV452" s="86"/>
      <c r="BW452" s="2"/>
    </row>
    <row r="453" spans="1:75" ht="15" hidden="1" customHeight="1" outlineLevel="2" x14ac:dyDescent="0.2">
      <c r="A453" s="353" t="s">
        <v>752</v>
      </c>
      <c r="B453" s="353"/>
      <c r="C453" s="354">
        <f t="shared" ref="C453:BI453" si="1006">C449+C450+C451+C452</f>
        <v>10.254000000000001</v>
      </c>
      <c r="D453" s="354">
        <f t="shared" si="1006"/>
        <v>9.1590000000000007</v>
      </c>
      <c r="E453" s="354">
        <f t="shared" si="1006"/>
        <v>8.8270000000000017</v>
      </c>
      <c r="F453" s="354">
        <f t="shared" si="1006"/>
        <v>7.4140000000000015</v>
      </c>
      <c r="G453" s="355">
        <f t="shared" si="1006"/>
        <v>6.9160000000000021</v>
      </c>
      <c r="H453" s="355">
        <f t="shared" si="1006"/>
        <v>5.8270000000000017</v>
      </c>
      <c r="I453" s="355">
        <f t="shared" si="1006"/>
        <v>5.2650000000000023</v>
      </c>
      <c r="J453" s="355">
        <f t="shared" si="1006"/>
        <v>4.8230000000000022</v>
      </c>
      <c r="K453" s="354">
        <f t="shared" si="1006"/>
        <v>4.8230000000000022</v>
      </c>
      <c r="L453" s="355">
        <f t="shared" si="1006"/>
        <v>4.8400000000000016</v>
      </c>
      <c r="M453" s="355">
        <f t="shared" si="1006"/>
        <v>4.6780000000000026</v>
      </c>
      <c r="N453" s="355">
        <f t="shared" si="1006"/>
        <v>4.4670000000000023</v>
      </c>
      <c r="O453" s="355">
        <f t="shared" si="1006"/>
        <v>4.0230000000000015</v>
      </c>
      <c r="P453" s="354">
        <f t="shared" si="1006"/>
        <v>4.0230000000000015</v>
      </c>
      <c r="Q453" s="355">
        <f t="shared" si="1006"/>
        <v>4.0430000000000019</v>
      </c>
      <c r="R453" s="355">
        <f t="shared" si="1006"/>
        <v>3.5680000000000018</v>
      </c>
      <c r="S453" s="355">
        <f t="shared" si="1006"/>
        <v>3.1380000000000012</v>
      </c>
      <c r="T453" s="355">
        <f t="shared" si="1006"/>
        <v>3.0660000000000016</v>
      </c>
      <c r="U453" s="354">
        <f t="shared" si="1006"/>
        <v>3.0660000000000016</v>
      </c>
      <c r="V453" s="355">
        <f t="shared" si="1006"/>
        <v>2.7040000000000015</v>
      </c>
      <c r="W453" s="355">
        <f t="shared" si="1006"/>
        <v>2.6160000000000014</v>
      </c>
      <c r="X453" s="355">
        <f t="shared" si="1006"/>
        <v>2.4020000000000019</v>
      </c>
      <c r="Y453" s="355">
        <f t="shared" si="1006"/>
        <v>1.9550000000000016</v>
      </c>
      <c r="Z453" s="354">
        <f t="shared" si="1006"/>
        <v>1.9550000000000016</v>
      </c>
      <c r="AA453" s="355">
        <f t="shared" si="1006"/>
        <v>1.9270000000000018</v>
      </c>
      <c r="AB453" s="355">
        <f t="shared" si="1006"/>
        <v>1.8380000000000019</v>
      </c>
      <c r="AC453" s="355">
        <f t="shared" si="1006"/>
        <v>1.7780000000000018</v>
      </c>
      <c r="AD453" s="355">
        <f t="shared" si="1006"/>
        <v>1.7410000000000017</v>
      </c>
      <c r="AE453" s="354">
        <f t="shared" si="1006"/>
        <v>1.7410000000000017</v>
      </c>
      <c r="AF453" s="355">
        <f t="shared" si="1006"/>
        <v>2.0900000000000016</v>
      </c>
      <c r="AG453" s="355">
        <f t="shared" si="1006"/>
        <v>1.8740000000000017</v>
      </c>
      <c r="AH453" s="355">
        <f t="shared" si="1006"/>
        <v>1.8400000000000016</v>
      </c>
      <c r="AI453" s="355">
        <f t="shared" si="1006"/>
        <v>1.7990000000000017</v>
      </c>
      <c r="AJ453" s="354">
        <f t="shared" si="1006"/>
        <v>1.7990000000000017</v>
      </c>
      <c r="AK453" s="355">
        <f t="shared" si="1006"/>
        <v>1.9100000000000015</v>
      </c>
      <c r="AL453" s="355">
        <f t="shared" si="1006"/>
        <v>1.8910000000000016</v>
      </c>
      <c r="AM453" s="355">
        <f t="shared" si="1006"/>
        <v>1.8630000000000015</v>
      </c>
      <c r="AN453" s="355">
        <f t="shared" si="1006"/>
        <v>1.8290000000000017</v>
      </c>
      <c r="AO453" s="354">
        <f t="shared" si="1006"/>
        <v>1.8290000000000017</v>
      </c>
      <c r="AP453" s="355">
        <f t="shared" si="1006"/>
        <v>2.4790000000000019</v>
      </c>
      <c r="AQ453" s="355">
        <f t="shared" si="1006"/>
        <v>2.4360000000000017</v>
      </c>
      <c r="AR453" s="355">
        <f t="shared" si="1006"/>
        <v>2.361000000000002</v>
      </c>
      <c r="AS453" s="355">
        <f t="shared" si="1006"/>
        <v>2.2940000000000023</v>
      </c>
      <c r="AT453" s="354">
        <f t="shared" si="1006"/>
        <v>2.2940000000000023</v>
      </c>
      <c r="AU453" s="355">
        <f t="shared" si="1006"/>
        <v>1.8100000000000023</v>
      </c>
      <c r="AV453" s="355">
        <f t="shared" si="1006"/>
        <v>1.7160000000000024</v>
      </c>
      <c r="AW453" s="355">
        <f t="shared" si="1006"/>
        <v>1.7160000000000024</v>
      </c>
      <c r="AX453" s="355">
        <f t="shared" si="1006"/>
        <v>1.7160000000000024</v>
      </c>
      <c r="AY453" s="354">
        <f t="shared" si="1006"/>
        <v>1.7160000000000024</v>
      </c>
      <c r="AZ453" s="355">
        <f t="shared" si="1006"/>
        <v>1.6850000000000025</v>
      </c>
      <c r="BA453" s="355">
        <f t="shared" si="1006"/>
        <v>1.6850000000000025</v>
      </c>
      <c r="BB453" s="355">
        <f t="shared" si="1006"/>
        <v>1.6850000000000025</v>
      </c>
      <c r="BC453" s="355">
        <f t="shared" si="1006"/>
        <v>1.6850000000000025</v>
      </c>
      <c r="BD453" s="354">
        <f t="shared" si="1006"/>
        <v>1.6850000000000025</v>
      </c>
      <c r="BE453" s="355">
        <f t="shared" si="1006"/>
        <v>1.5500000000000025</v>
      </c>
      <c r="BF453" s="355">
        <f t="shared" si="1006"/>
        <v>1.5500000000000025</v>
      </c>
      <c r="BG453" s="355">
        <f t="shared" si="1006"/>
        <v>1.5500000000000025</v>
      </c>
      <c r="BH453" s="355">
        <f t="shared" si="1006"/>
        <v>1.5500000000000025</v>
      </c>
      <c r="BI453" s="356">
        <f t="shared" si="1006"/>
        <v>1.5500000000000025</v>
      </c>
      <c r="BJ453" s="355"/>
      <c r="BK453" s="355"/>
      <c r="BL453" s="355"/>
      <c r="BM453" s="355"/>
      <c r="BN453" s="354"/>
      <c r="BO453" s="355"/>
      <c r="BP453" s="355"/>
      <c r="BQ453" s="355"/>
      <c r="BR453" s="355"/>
      <c r="BS453" s="354"/>
      <c r="BT453" s="354"/>
      <c r="BU453" s="354"/>
      <c r="BV453" s="354"/>
      <c r="BW453" s="2"/>
    </row>
    <row r="454" spans="1:75" ht="15" hidden="1" customHeight="1" outlineLevel="2" x14ac:dyDescent="0.2">
      <c r="A454" s="125"/>
      <c r="B454" s="85"/>
      <c r="C454" s="86"/>
      <c r="D454" s="86"/>
      <c r="E454" s="86"/>
      <c r="F454" s="86"/>
      <c r="G454" s="2"/>
      <c r="H454" s="2"/>
      <c r="I454" s="2"/>
      <c r="J454" s="2"/>
      <c r="K454" s="86"/>
      <c r="L454" s="2"/>
      <c r="M454" s="2"/>
      <c r="N454" s="2"/>
      <c r="O454" s="2"/>
      <c r="P454" s="86"/>
      <c r="Q454" s="2"/>
      <c r="R454" s="2"/>
      <c r="S454" s="2"/>
      <c r="T454" s="2"/>
      <c r="U454" s="86"/>
      <c r="V454" s="2"/>
      <c r="W454" s="2"/>
      <c r="X454" s="2"/>
      <c r="Y454" s="2"/>
      <c r="Z454" s="86"/>
      <c r="AA454" s="2"/>
      <c r="AB454" s="2"/>
      <c r="AC454" s="2"/>
      <c r="AD454" s="2"/>
      <c r="AE454" s="86"/>
      <c r="AF454" s="2"/>
      <c r="AG454" s="2"/>
      <c r="AH454" s="2"/>
      <c r="AI454" s="2"/>
      <c r="AJ454" s="86"/>
      <c r="AK454" s="2"/>
      <c r="AL454" s="2"/>
      <c r="AM454" s="2"/>
      <c r="AN454" s="2"/>
      <c r="AO454" s="86"/>
      <c r="AP454" s="2"/>
      <c r="AQ454" s="2"/>
      <c r="AR454" s="2"/>
      <c r="AS454" s="2"/>
      <c r="AT454" s="86"/>
      <c r="AU454" s="2"/>
      <c r="AV454" s="2"/>
      <c r="AW454" s="2"/>
      <c r="AX454" s="2"/>
      <c r="AY454" s="86"/>
      <c r="AZ454" s="2"/>
      <c r="BA454" s="2"/>
      <c r="BB454" s="2"/>
      <c r="BC454" s="2"/>
      <c r="BD454" s="86"/>
      <c r="BE454" s="2"/>
      <c r="BF454" s="2"/>
      <c r="BG454" s="2"/>
      <c r="BH454" s="2"/>
      <c r="BI454" s="90"/>
      <c r="BJ454" s="2"/>
      <c r="BK454" s="2"/>
      <c r="BL454" s="2"/>
      <c r="BM454" s="2"/>
      <c r="BN454" s="86"/>
      <c r="BO454" s="2"/>
      <c r="BP454" s="2"/>
      <c r="BQ454" s="2"/>
      <c r="BR454" s="2"/>
      <c r="BS454" s="86"/>
      <c r="BT454" s="86"/>
      <c r="BU454" s="86"/>
      <c r="BV454" s="86"/>
      <c r="BW454" s="2"/>
    </row>
    <row r="455" spans="1:75" ht="15" hidden="1" customHeight="1" outlineLevel="2" x14ac:dyDescent="0.2">
      <c r="A455" s="85" t="s">
        <v>753</v>
      </c>
      <c r="B455" s="85"/>
      <c r="C455" s="86">
        <f t="shared" ref="C455:G458" si="1007">C449</f>
        <v>9.4280000000000008</v>
      </c>
      <c r="D455" s="86">
        <f t="shared" ref="D455:J455" si="1008">C459</f>
        <v>10.254000000000001</v>
      </c>
      <c r="E455" s="86">
        <f t="shared" si="1008"/>
        <v>9.1590000000000007</v>
      </c>
      <c r="F455" s="86">
        <f t="shared" si="1008"/>
        <v>8.8270000000000017</v>
      </c>
      <c r="G455" s="2">
        <f t="shared" si="1008"/>
        <v>7.4140000000000015</v>
      </c>
      <c r="H455" s="2">
        <f t="shared" si="1008"/>
        <v>6.9160000000000021</v>
      </c>
      <c r="I455" s="2">
        <f t="shared" si="1008"/>
        <v>5.8270000000000017</v>
      </c>
      <c r="J455" s="2">
        <f t="shared" si="1008"/>
        <v>5.2650000000000023</v>
      </c>
      <c r="K455" s="86">
        <f>F459</f>
        <v>7.4140000000000015</v>
      </c>
      <c r="L455" s="2">
        <f>K459</f>
        <v>4.8230000000000022</v>
      </c>
      <c r="M455" s="2">
        <f t="shared" ref="M455:O455" si="1009">L459</f>
        <v>4.8400000000000016</v>
      </c>
      <c r="N455" s="2">
        <f t="shared" si="1009"/>
        <v>4.6780000000000017</v>
      </c>
      <c r="O455" s="2">
        <f t="shared" si="1009"/>
        <v>4.4670000000000014</v>
      </c>
      <c r="P455" s="86">
        <f>K459</f>
        <v>4.8230000000000022</v>
      </c>
      <c r="Q455" s="2">
        <f t="shared" ref="Q455:T455" si="1010">P459</f>
        <v>4.0230000000000015</v>
      </c>
      <c r="R455" s="2">
        <f t="shared" si="1010"/>
        <v>4.0430000000000019</v>
      </c>
      <c r="S455" s="2">
        <f t="shared" si="1010"/>
        <v>3.5680000000000018</v>
      </c>
      <c r="T455" s="2">
        <f t="shared" si="1010"/>
        <v>3.1380000000000021</v>
      </c>
      <c r="U455" s="86">
        <f>P459</f>
        <v>4.0230000000000015</v>
      </c>
      <c r="V455" s="2">
        <f t="shared" ref="V455:Y455" si="1011">U459</f>
        <v>3.0660000000000016</v>
      </c>
      <c r="W455" s="2">
        <f t="shared" si="1011"/>
        <v>2.7040000000000015</v>
      </c>
      <c r="X455" s="2">
        <f t="shared" si="1011"/>
        <v>2.6160000000000014</v>
      </c>
      <c r="Y455" s="2">
        <f t="shared" si="1011"/>
        <v>2.4020000000000015</v>
      </c>
      <c r="Z455" s="86">
        <f>U459</f>
        <v>3.0660000000000016</v>
      </c>
      <c r="AA455" s="2">
        <f t="shared" ref="AA455:AD455" si="1012">Z459</f>
        <v>1.9550000000000016</v>
      </c>
      <c r="AB455" s="2">
        <f t="shared" si="1012"/>
        <v>1.9270000000000018</v>
      </c>
      <c r="AC455" s="2">
        <f t="shared" si="1012"/>
        <v>1.8380000000000019</v>
      </c>
      <c r="AD455" s="2">
        <f t="shared" si="1012"/>
        <v>1.7780000000000018</v>
      </c>
      <c r="AE455" s="86">
        <f>Z459</f>
        <v>1.9550000000000016</v>
      </c>
      <c r="AF455" s="2">
        <f t="shared" ref="AF455:AI455" si="1013">AE459</f>
        <v>1.7410000000000017</v>
      </c>
      <c r="AG455" s="2">
        <f t="shared" si="1013"/>
        <v>2.0900000000000016</v>
      </c>
      <c r="AH455" s="2">
        <f t="shared" si="1013"/>
        <v>1.8740000000000017</v>
      </c>
      <c r="AI455" s="2">
        <f t="shared" si="1013"/>
        <v>1.8400000000000016</v>
      </c>
      <c r="AJ455" s="86">
        <f>AE459</f>
        <v>1.7410000000000017</v>
      </c>
      <c r="AK455" s="2">
        <f t="shared" ref="AK455:AN455" si="1014">AJ459</f>
        <v>1.7990000000000017</v>
      </c>
      <c r="AL455" s="2">
        <f t="shared" si="1014"/>
        <v>1.9100000000000015</v>
      </c>
      <c r="AM455" s="2">
        <f t="shared" si="1014"/>
        <v>1.8910000000000016</v>
      </c>
      <c r="AN455" s="2">
        <f t="shared" si="1014"/>
        <v>1.8630000000000018</v>
      </c>
      <c r="AO455" s="86">
        <f>AJ459</f>
        <v>1.7990000000000017</v>
      </c>
      <c r="AP455" s="2">
        <f t="shared" ref="AP455:AS455" si="1015">AO459</f>
        <v>1.8290000000000017</v>
      </c>
      <c r="AQ455" s="2">
        <f t="shared" si="1015"/>
        <v>2.4790000000000019</v>
      </c>
      <c r="AR455" s="2">
        <f t="shared" si="1015"/>
        <v>2.4360000000000017</v>
      </c>
      <c r="AS455" s="2">
        <f t="shared" si="1015"/>
        <v>2.3610000000000015</v>
      </c>
      <c r="AT455" s="86">
        <f>AO459</f>
        <v>1.8290000000000017</v>
      </c>
      <c r="AU455" s="2">
        <f t="shared" ref="AU455:AX455" si="1016">AT459</f>
        <v>2.2940000000000023</v>
      </c>
      <c r="AV455" s="2">
        <f t="shared" si="1016"/>
        <v>1.8100000000000023</v>
      </c>
      <c r="AW455" s="2">
        <f t="shared" si="1016"/>
        <v>1.7160000000000024</v>
      </c>
      <c r="AX455" s="2">
        <f t="shared" si="1016"/>
        <v>1.7160000000000024</v>
      </c>
      <c r="AY455" s="86">
        <f>AT459</f>
        <v>2.2940000000000023</v>
      </c>
      <c r="AZ455" s="2">
        <f t="shared" ref="AZ455:BC455" si="1017">AY459</f>
        <v>1.7160000000000024</v>
      </c>
      <c r="BA455" s="2">
        <f t="shared" si="1017"/>
        <v>1.6850000000000025</v>
      </c>
      <c r="BB455" s="2">
        <f t="shared" si="1017"/>
        <v>1.6850000000000025</v>
      </c>
      <c r="BC455" s="2">
        <f t="shared" si="1017"/>
        <v>1.6850000000000025</v>
      </c>
      <c r="BD455" s="86">
        <f>AY459</f>
        <v>1.7160000000000024</v>
      </c>
      <c r="BE455" s="2">
        <f t="shared" ref="BE455:BH455" si="1018">BD459</f>
        <v>1.6850000000000025</v>
      </c>
      <c r="BF455" s="2">
        <f t="shared" si="1018"/>
        <v>1.5500000000000025</v>
      </c>
      <c r="BG455" s="2">
        <f t="shared" si="1018"/>
        <v>1.5500000000000025</v>
      </c>
      <c r="BH455" s="2">
        <f t="shared" si="1018"/>
        <v>1.5500000000000025</v>
      </c>
      <c r="BI455" s="90">
        <f>BD459</f>
        <v>1.6850000000000025</v>
      </c>
      <c r="BJ455" s="2"/>
      <c r="BK455" s="2"/>
      <c r="BL455" s="2"/>
      <c r="BM455" s="2"/>
      <c r="BN455" s="86"/>
      <c r="BO455" s="2"/>
      <c r="BP455" s="2"/>
      <c r="BQ455" s="2"/>
      <c r="BR455" s="2"/>
      <c r="BS455" s="86"/>
      <c r="BT455" s="86"/>
      <c r="BU455" s="86"/>
      <c r="BV455" s="86"/>
      <c r="BW455" s="2"/>
    </row>
    <row r="456" spans="1:75" ht="15" hidden="1" customHeight="1" outlineLevel="2" x14ac:dyDescent="0.2">
      <c r="A456" s="85" t="s">
        <v>754</v>
      </c>
      <c r="B456" s="85"/>
      <c r="C456" s="86">
        <f t="shared" si="1007"/>
        <v>1.8169999999999999</v>
      </c>
      <c r="D456" s="86">
        <f t="shared" si="1007"/>
        <v>0.72899999999999998</v>
      </c>
      <c r="E456" s="86">
        <f t="shared" si="1007"/>
        <v>0.77500000000000002</v>
      </c>
      <c r="F456" s="86">
        <f t="shared" si="1007"/>
        <v>0.48499999999999999</v>
      </c>
      <c r="G456" s="2">
        <f t="shared" si="1007"/>
        <v>0.38600000000000001</v>
      </c>
      <c r="H456" s="2">
        <f t="shared" ref="H456:J458" si="1019">H450-G450</f>
        <v>0</v>
      </c>
      <c r="I456" s="2">
        <f t="shared" si="1019"/>
        <v>0</v>
      </c>
      <c r="J456" s="2">
        <f t="shared" si="1019"/>
        <v>0</v>
      </c>
      <c r="K456" s="86">
        <f t="shared" ref="K456:L458" si="1020">K450</f>
        <v>0.38600000000000001</v>
      </c>
      <c r="L456" s="2">
        <f t="shared" si="1020"/>
        <v>0.32900000000000001</v>
      </c>
      <c r="M456" s="2">
        <f t="shared" ref="M456:O458" si="1021">M450-L450</f>
        <v>1.0000000000000009E-3</v>
      </c>
      <c r="N456" s="2">
        <f t="shared" si="1021"/>
        <v>-1.0000000000000009E-3</v>
      </c>
      <c r="O456" s="2">
        <f t="shared" si="1021"/>
        <v>0</v>
      </c>
      <c r="P456" s="86">
        <f t="shared" ref="P456:Q458" si="1022">P450</f>
        <v>0.32900000000000001</v>
      </c>
      <c r="Q456" s="2">
        <f t="shared" si="1022"/>
        <v>0.312</v>
      </c>
      <c r="R456" s="2">
        <f t="shared" ref="R456:T458" si="1023">R450-Q450</f>
        <v>0</v>
      </c>
      <c r="S456" s="2">
        <f t="shared" si="1023"/>
        <v>-1.0000000000000009E-3</v>
      </c>
      <c r="T456" s="2">
        <f t="shared" si="1023"/>
        <v>0</v>
      </c>
      <c r="U456" s="86">
        <f t="shared" ref="U456:V458" si="1024">U450</f>
        <v>0.311</v>
      </c>
      <c r="V456" s="2">
        <f t="shared" si="1024"/>
        <v>0.22500000000000001</v>
      </c>
      <c r="W456" s="2">
        <f t="shared" ref="W456:Y458" si="1025">W450-V450</f>
        <v>0</v>
      </c>
      <c r="X456" s="2">
        <f t="shared" si="1025"/>
        <v>0</v>
      </c>
      <c r="Y456" s="2">
        <f t="shared" si="1025"/>
        <v>0</v>
      </c>
      <c r="Z456" s="86">
        <f t="shared" ref="Z456:AA458" si="1026">Z450</f>
        <v>0.22500000000000001</v>
      </c>
      <c r="AA456" s="2">
        <f t="shared" si="1026"/>
        <v>0.19400000000000001</v>
      </c>
      <c r="AB456" s="2">
        <f t="shared" ref="AB456:AD458" si="1027">AB450-AA450</f>
        <v>5.0000000000000044E-3</v>
      </c>
      <c r="AC456" s="2">
        <f t="shared" si="1027"/>
        <v>0</v>
      </c>
      <c r="AD456" s="2">
        <f t="shared" si="1027"/>
        <v>0</v>
      </c>
      <c r="AE456" s="86">
        <f t="shared" ref="AE456:AF458" si="1028">AE450</f>
        <v>0.19900000000000001</v>
      </c>
      <c r="AF456" s="2">
        <f t="shared" si="1028"/>
        <v>0.36899999999999999</v>
      </c>
      <c r="AG456" s="2">
        <f t="shared" ref="AG456:AI458" si="1029">AG450-AF450</f>
        <v>1.2000000000000011E-2</v>
      </c>
      <c r="AH456" s="2">
        <f t="shared" si="1029"/>
        <v>0</v>
      </c>
      <c r="AI456" s="2">
        <f t="shared" si="1029"/>
        <v>0</v>
      </c>
      <c r="AJ456" s="86">
        <f t="shared" ref="AJ456:AK458" si="1030">AJ450</f>
        <v>0.38100000000000001</v>
      </c>
      <c r="AK456" s="2">
        <f t="shared" si="1030"/>
        <v>0.3</v>
      </c>
      <c r="AL456" s="2">
        <f t="shared" ref="AL456:AN458" si="1031">AL450-AK450</f>
        <v>0</v>
      </c>
      <c r="AM456" s="2">
        <f t="shared" si="1031"/>
        <v>0</v>
      </c>
      <c r="AN456" s="2">
        <f t="shared" si="1031"/>
        <v>7.0000000000000062E-3</v>
      </c>
      <c r="AO456" s="86">
        <f t="shared" ref="AO456:AP458" si="1032">AO450</f>
        <v>0.307</v>
      </c>
      <c r="AP456" s="2">
        <f t="shared" si="1032"/>
        <v>0.65400000000000003</v>
      </c>
      <c r="AQ456" s="2">
        <f t="shared" ref="AQ456:AS458" si="1033">AQ450-AP450</f>
        <v>0</v>
      </c>
      <c r="AR456" s="2">
        <f t="shared" si="1033"/>
        <v>0</v>
      </c>
      <c r="AS456" s="2">
        <f t="shared" si="1033"/>
        <v>0</v>
      </c>
      <c r="AT456" s="86">
        <f t="shared" ref="AT456:AU458" si="1034">AT450</f>
        <v>0.65400000000000003</v>
      </c>
      <c r="AU456" s="2">
        <f t="shared" si="1034"/>
        <v>0</v>
      </c>
      <c r="AV456" s="2">
        <f t="shared" ref="AV456:AX458" si="1035">AV450-AU450</f>
        <v>0</v>
      </c>
      <c r="AW456" s="2">
        <f t="shared" si="1035"/>
        <v>0</v>
      </c>
      <c r="AX456" s="2">
        <f t="shared" si="1035"/>
        <v>0</v>
      </c>
      <c r="AY456" s="86">
        <f t="shared" ref="AY456:AZ458" si="1036">AY450</f>
        <v>0</v>
      </c>
      <c r="AZ456" s="2">
        <f t="shared" si="1036"/>
        <v>0</v>
      </c>
      <c r="BA456" s="2">
        <f t="shared" ref="BA456:BC458" si="1037">BA450-AZ450</f>
        <v>0</v>
      </c>
      <c r="BB456" s="2">
        <f t="shared" si="1037"/>
        <v>0</v>
      </c>
      <c r="BC456" s="2">
        <f t="shared" si="1037"/>
        <v>0</v>
      </c>
      <c r="BD456" s="86">
        <f t="shared" ref="BD456:BE458" si="1038">BD450</f>
        <v>0</v>
      </c>
      <c r="BE456" s="2">
        <f t="shared" si="1038"/>
        <v>0.04</v>
      </c>
      <c r="BF456" s="2">
        <f t="shared" ref="BF456:BH458" si="1039">BF450-BE450</f>
        <v>0</v>
      </c>
      <c r="BG456" s="2">
        <f t="shared" si="1039"/>
        <v>0</v>
      </c>
      <c r="BH456" s="2">
        <f t="shared" si="1039"/>
        <v>0</v>
      </c>
      <c r="BI456" s="90">
        <f t="shared" ref="BI456:BI458" si="1040">BI450</f>
        <v>0.04</v>
      </c>
      <c r="BJ456" s="2"/>
      <c r="BK456" s="2"/>
      <c r="BL456" s="2"/>
      <c r="BM456" s="2"/>
      <c r="BN456" s="86"/>
      <c r="BO456" s="2"/>
      <c r="BP456" s="2"/>
      <c r="BQ456" s="2"/>
      <c r="BR456" s="2"/>
      <c r="BS456" s="86"/>
      <c r="BT456" s="86"/>
      <c r="BU456" s="86"/>
      <c r="BV456" s="86"/>
      <c r="BW456" s="2"/>
    </row>
    <row r="457" spans="1:75" ht="15" hidden="1" customHeight="1" outlineLevel="2" x14ac:dyDescent="0.2">
      <c r="A457" s="85" t="s">
        <v>755</v>
      </c>
      <c r="B457" s="85"/>
      <c r="C457" s="86">
        <f t="shared" si="1007"/>
        <v>-0.182</v>
      </c>
      <c r="D457" s="86">
        <f t="shared" si="1007"/>
        <v>-1.4370000000000001</v>
      </c>
      <c r="E457" s="86">
        <f t="shared" si="1007"/>
        <v>-0.76700000000000002</v>
      </c>
      <c r="F457" s="86">
        <f t="shared" si="1007"/>
        <v>-1.696</v>
      </c>
      <c r="G457" s="2">
        <f t="shared" si="1007"/>
        <v>-0.79400000000000004</v>
      </c>
      <c r="H457" s="2">
        <f t="shared" si="1019"/>
        <v>-1.0249999999999999</v>
      </c>
      <c r="I457" s="2">
        <f t="shared" si="1019"/>
        <v>-0.53900000000000015</v>
      </c>
      <c r="J457" s="2">
        <f t="shared" si="1019"/>
        <v>-0.43299999999999983</v>
      </c>
      <c r="K457" s="86">
        <f t="shared" si="1020"/>
        <v>-2.7909999999999999</v>
      </c>
      <c r="L457" s="2">
        <f t="shared" si="1020"/>
        <v>-0.311</v>
      </c>
      <c r="M457" s="2">
        <f t="shared" si="1021"/>
        <v>-0.13800000000000001</v>
      </c>
      <c r="N457" s="2">
        <f t="shared" si="1021"/>
        <v>-0.19900000000000001</v>
      </c>
      <c r="O457" s="2">
        <f t="shared" si="1021"/>
        <v>-0.44000000000000006</v>
      </c>
      <c r="P457" s="86">
        <f t="shared" si="1022"/>
        <v>-1.0880000000000001</v>
      </c>
      <c r="Q457" s="2">
        <f t="shared" si="1022"/>
        <v>-0.28000000000000003</v>
      </c>
      <c r="R457" s="2">
        <f t="shared" si="1023"/>
        <v>-0.46399999999999997</v>
      </c>
      <c r="S457" s="2">
        <f t="shared" si="1023"/>
        <v>-0.38500000000000001</v>
      </c>
      <c r="T457" s="2">
        <f t="shared" si="1023"/>
        <v>-0.10099999999999998</v>
      </c>
      <c r="U457" s="86">
        <f t="shared" si="1024"/>
        <v>-1.23</v>
      </c>
      <c r="V457" s="2">
        <f t="shared" si="1024"/>
        <v>-0.55600000000000005</v>
      </c>
      <c r="W457" s="2">
        <f t="shared" si="1025"/>
        <v>-8.7999999999999967E-2</v>
      </c>
      <c r="X457" s="2">
        <f t="shared" si="1025"/>
        <v>-0.21299999999999997</v>
      </c>
      <c r="Y457" s="2">
        <f t="shared" si="1025"/>
        <v>-0.44700000000000006</v>
      </c>
      <c r="Z457" s="86">
        <f t="shared" si="1026"/>
        <v>-1.304</v>
      </c>
      <c r="AA457" s="2">
        <f t="shared" si="1026"/>
        <v>-0.19600000000000001</v>
      </c>
      <c r="AB457" s="2">
        <f t="shared" si="1027"/>
        <v>-9.2999999999999972E-2</v>
      </c>
      <c r="AC457" s="2">
        <f t="shared" si="1027"/>
        <v>-1.8000000000000016E-2</v>
      </c>
      <c r="AD457" s="2">
        <f t="shared" si="1027"/>
        <v>-3.7999999999999978E-2</v>
      </c>
      <c r="AE457" s="86">
        <f t="shared" si="1028"/>
        <v>-0.34499999999999997</v>
      </c>
      <c r="AF457" s="2">
        <f t="shared" si="1028"/>
        <v>-0.02</v>
      </c>
      <c r="AG457" s="2">
        <f t="shared" si="1029"/>
        <v>-0.191</v>
      </c>
      <c r="AH457" s="2">
        <f t="shared" si="1029"/>
        <v>-3.4000000000000002E-2</v>
      </c>
      <c r="AI457" s="2">
        <f t="shared" si="1029"/>
        <v>-4.0999999999999981E-2</v>
      </c>
      <c r="AJ457" s="86">
        <f t="shared" si="1030"/>
        <v>-0.28599999999999998</v>
      </c>
      <c r="AK457" s="2">
        <f t="shared" si="1030"/>
        <v>-0.189</v>
      </c>
      <c r="AL457" s="2">
        <f t="shared" si="1031"/>
        <v>-1.8999999999999989E-2</v>
      </c>
      <c r="AM457" s="2">
        <f t="shared" si="1031"/>
        <v>-1.100000000000001E-2</v>
      </c>
      <c r="AN457" s="2">
        <f t="shared" si="1031"/>
        <v>-4.1000000000000009E-2</v>
      </c>
      <c r="AO457" s="86">
        <f t="shared" si="1032"/>
        <v>-0.26</v>
      </c>
      <c r="AP457" s="2">
        <f t="shared" si="1032"/>
        <v>-4.0000000000000001E-3</v>
      </c>
      <c r="AQ457" s="2">
        <f t="shared" si="1033"/>
        <v>0</v>
      </c>
      <c r="AR457" s="2">
        <f t="shared" si="1033"/>
        <v>0</v>
      </c>
      <c r="AS457" s="2">
        <f t="shared" si="1033"/>
        <v>-1.3999999999999999E-2</v>
      </c>
      <c r="AT457" s="86">
        <f t="shared" si="1034"/>
        <v>-1.7999999999999999E-2</v>
      </c>
      <c r="AU457" s="2">
        <f t="shared" si="1034"/>
        <v>-0.48399999999999999</v>
      </c>
      <c r="AV457" s="2">
        <f t="shared" si="1035"/>
        <v>-9.2999999999999972E-2</v>
      </c>
      <c r="AW457" s="2">
        <f t="shared" si="1035"/>
        <v>0</v>
      </c>
      <c r="AX457" s="2">
        <f t="shared" si="1035"/>
        <v>0</v>
      </c>
      <c r="AY457" s="86">
        <f t="shared" si="1036"/>
        <v>-0.57699999999999996</v>
      </c>
      <c r="AZ457" s="2">
        <f t="shared" si="1036"/>
        <v>-2E-3</v>
      </c>
      <c r="BA457" s="2">
        <f t="shared" si="1037"/>
        <v>0</v>
      </c>
      <c r="BB457" s="2">
        <f t="shared" si="1037"/>
        <v>0</v>
      </c>
      <c r="BC457" s="2">
        <f t="shared" si="1037"/>
        <v>0</v>
      </c>
      <c r="BD457" s="86">
        <f t="shared" si="1038"/>
        <v>-2E-3</v>
      </c>
      <c r="BE457" s="2">
        <f t="shared" si="1038"/>
        <v>0</v>
      </c>
      <c r="BF457" s="2">
        <f t="shared" si="1039"/>
        <v>0</v>
      </c>
      <c r="BG457" s="2">
        <f t="shared" si="1039"/>
        <v>0</v>
      </c>
      <c r="BH457" s="2">
        <f t="shared" si="1039"/>
        <v>0</v>
      </c>
      <c r="BI457" s="90">
        <f t="shared" si="1040"/>
        <v>0</v>
      </c>
      <c r="BJ457" s="2"/>
      <c r="BK457" s="2"/>
      <c r="BL457" s="2"/>
      <c r="BM457" s="2"/>
      <c r="BN457" s="86"/>
      <c r="BO457" s="2"/>
      <c r="BP457" s="2"/>
      <c r="BQ457" s="2"/>
      <c r="BR457" s="2"/>
      <c r="BS457" s="86"/>
      <c r="BT457" s="86"/>
      <c r="BU457" s="86"/>
      <c r="BV457" s="86"/>
      <c r="BW457" s="2"/>
    </row>
    <row r="458" spans="1:75" ht="15" hidden="1" customHeight="1" outlineLevel="2" x14ac:dyDescent="0.2">
      <c r="A458" s="92" t="s">
        <v>756</v>
      </c>
      <c r="B458" s="92"/>
      <c r="C458" s="93">
        <f t="shared" si="1007"/>
        <v>-0.80900000000000005</v>
      </c>
      <c r="D458" s="93">
        <f t="shared" si="1007"/>
        <v>-0.38700000000000001</v>
      </c>
      <c r="E458" s="93">
        <f t="shared" si="1007"/>
        <v>-0.34</v>
      </c>
      <c r="F458" s="93">
        <f t="shared" si="1007"/>
        <v>-0.20200000000000001</v>
      </c>
      <c r="G458" s="94">
        <f t="shared" si="1007"/>
        <v>-0.09</v>
      </c>
      <c r="H458" s="94">
        <f t="shared" si="1019"/>
        <v>-6.4000000000000001E-2</v>
      </c>
      <c r="I458" s="94">
        <f t="shared" si="1019"/>
        <v>-2.2999999999999993E-2</v>
      </c>
      <c r="J458" s="94">
        <f t="shared" si="1019"/>
        <v>-9.000000000000008E-3</v>
      </c>
      <c r="K458" s="93">
        <f t="shared" si="1020"/>
        <v>-0.186</v>
      </c>
      <c r="L458" s="94">
        <f t="shared" si="1020"/>
        <v>-1E-3</v>
      </c>
      <c r="M458" s="94">
        <f t="shared" si="1021"/>
        <v>-2.4999999999999998E-2</v>
      </c>
      <c r="N458" s="94">
        <f t="shared" si="1021"/>
        <v>-1.0999999999999999E-2</v>
      </c>
      <c r="O458" s="94">
        <f t="shared" si="1021"/>
        <v>-4.0000000000000036E-3</v>
      </c>
      <c r="P458" s="93">
        <f t="shared" si="1022"/>
        <v>-4.1000000000000002E-2</v>
      </c>
      <c r="Q458" s="94">
        <f t="shared" si="1022"/>
        <v>-1.2E-2</v>
      </c>
      <c r="R458" s="94">
        <f t="shared" si="1023"/>
        <v>-1.0999999999999999E-2</v>
      </c>
      <c r="S458" s="94">
        <f t="shared" si="1023"/>
        <v>-4.4000000000000004E-2</v>
      </c>
      <c r="T458" s="94">
        <f t="shared" si="1023"/>
        <v>2.9000000000000005E-2</v>
      </c>
      <c r="U458" s="93">
        <f t="shared" si="1024"/>
        <v>-3.7999999999999999E-2</v>
      </c>
      <c r="V458" s="94">
        <f t="shared" si="1024"/>
        <v>-3.1E-2</v>
      </c>
      <c r="W458" s="94">
        <f t="shared" si="1025"/>
        <v>0</v>
      </c>
      <c r="X458" s="94">
        <f t="shared" si="1025"/>
        <v>-1.0000000000000009E-3</v>
      </c>
      <c r="Y458" s="94">
        <f t="shared" si="1025"/>
        <v>0</v>
      </c>
      <c r="Z458" s="93">
        <f t="shared" si="1026"/>
        <v>-3.2000000000000001E-2</v>
      </c>
      <c r="AA458" s="94">
        <f t="shared" si="1026"/>
        <v>-2.5999999999999999E-2</v>
      </c>
      <c r="AB458" s="94">
        <f t="shared" si="1027"/>
        <v>-1.0000000000000009E-3</v>
      </c>
      <c r="AC458" s="94">
        <f t="shared" si="1027"/>
        <v>-4.200000000000001E-2</v>
      </c>
      <c r="AD458" s="94">
        <f t="shared" si="1027"/>
        <v>1.0000000000000009E-3</v>
      </c>
      <c r="AE458" s="93">
        <f t="shared" si="1028"/>
        <v>-6.8000000000000005E-2</v>
      </c>
      <c r="AF458" s="94">
        <f t="shared" si="1028"/>
        <v>0</v>
      </c>
      <c r="AG458" s="94">
        <f t="shared" si="1029"/>
        <v>-3.6999999999999998E-2</v>
      </c>
      <c r="AH458" s="94">
        <f t="shared" si="1029"/>
        <v>0</v>
      </c>
      <c r="AI458" s="94">
        <f t="shared" si="1029"/>
        <v>0</v>
      </c>
      <c r="AJ458" s="93">
        <f t="shared" si="1030"/>
        <v>-3.6999999999999998E-2</v>
      </c>
      <c r="AK458" s="94">
        <f t="shared" si="1030"/>
        <v>0</v>
      </c>
      <c r="AL458" s="94">
        <f t="shared" si="1031"/>
        <v>0</v>
      </c>
      <c r="AM458" s="94">
        <f t="shared" si="1031"/>
        <v>-1.7000000000000001E-2</v>
      </c>
      <c r="AN458" s="94">
        <f t="shared" si="1031"/>
        <v>0</v>
      </c>
      <c r="AO458" s="93">
        <f t="shared" si="1032"/>
        <v>-1.7000000000000001E-2</v>
      </c>
      <c r="AP458" s="94">
        <f t="shared" si="1032"/>
        <v>0</v>
      </c>
      <c r="AQ458" s="94">
        <f t="shared" si="1033"/>
        <v>-4.2999999999999997E-2</v>
      </c>
      <c r="AR458" s="94">
        <f t="shared" si="1033"/>
        <v>-7.4999999999999997E-2</v>
      </c>
      <c r="AS458" s="94">
        <f t="shared" si="1033"/>
        <v>-5.3000000000000019E-2</v>
      </c>
      <c r="AT458" s="93">
        <f t="shared" si="1034"/>
        <v>-0.17100000000000001</v>
      </c>
      <c r="AU458" s="94">
        <f t="shared" si="1034"/>
        <v>0</v>
      </c>
      <c r="AV458" s="94">
        <f t="shared" si="1035"/>
        <v>-1E-3</v>
      </c>
      <c r="AW458" s="94">
        <f t="shared" si="1035"/>
        <v>0</v>
      </c>
      <c r="AX458" s="94">
        <f t="shared" si="1035"/>
        <v>0</v>
      </c>
      <c r="AY458" s="93">
        <f t="shared" si="1036"/>
        <v>-1E-3</v>
      </c>
      <c r="AZ458" s="94">
        <f t="shared" si="1036"/>
        <v>-2.9000000000000001E-2</v>
      </c>
      <c r="BA458" s="94">
        <f t="shared" si="1037"/>
        <v>0</v>
      </c>
      <c r="BB458" s="94">
        <f t="shared" si="1037"/>
        <v>0</v>
      </c>
      <c r="BC458" s="94">
        <f t="shared" si="1037"/>
        <v>0</v>
      </c>
      <c r="BD458" s="93">
        <f t="shared" si="1038"/>
        <v>-2.9000000000000001E-2</v>
      </c>
      <c r="BE458" s="94">
        <f t="shared" si="1038"/>
        <v>-0.17499999999999999</v>
      </c>
      <c r="BF458" s="94">
        <f t="shared" si="1039"/>
        <v>0</v>
      </c>
      <c r="BG458" s="94">
        <f t="shared" si="1039"/>
        <v>0</v>
      </c>
      <c r="BH458" s="94">
        <f t="shared" si="1039"/>
        <v>0</v>
      </c>
      <c r="BI458" s="97">
        <f t="shared" si="1040"/>
        <v>-0.17499999999999999</v>
      </c>
      <c r="BJ458" s="94"/>
      <c r="BK458" s="94"/>
      <c r="BL458" s="94"/>
      <c r="BM458" s="94"/>
      <c r="BN458" s="93"/>
      <c r="BO458" s="94"/>
      <c r="BP458" s="94"/>
      <c r="BQ458" s="94"/>
      <c r="BR458" s="94"/>
      <c r="BS458" s="93"/>
      <c r="BT458" s="93"/>
      <c r="BU458" s="93"/>
      <c r="BV458" s="93"/>
      <c r="BW458" s="2"/>
    </row>
    <row r="459" spans="1:75" ht="15" hidden="1" customHeight="1" outlineLevel="1" x14ac:dyDescent="0.2">
      <c r="A459" s="85" t="s">
        <v>757</v>
      </c>
      <c r="B459" s="85"/>
      <c r="C459" s="86">
        <f t="shared" ref="C459:BI459" si="1041">C455+C456+C457+C458</f>
        <v>10.254000000000001</v>
      </c>
      <c r="D459" s="86">
        <f t="shared" si="1041"/>
        <v>9.1590000000000007</v>
      </c>
      <c r="E459" s="86">
        <f t="shared" si="1041"/>
        <v>8.8270000000000017</v>
      </c>
      <c r="F459" s="86">
        <f t="shared" si="1041"/>
        <v>7.4140000000000015</v>
      </c>
      <c r="G459" s="2">
        <f t="shared" si="1041"/>
        <v>6.9160000000000021</v>
      </c>
      <c r="H459" s="2">
        <f t="shared" si="1041"/>
        <v>5.8270000000000017</v>
      </c>
      <c r="I459" s="2">
        <f t="shared" si="1041"/>
        <v>5.2650000000000023</v>
      </c>
      <c r="J459" s="2">
        <f t="shared" si="1041"/>
        <v>4.8230000000000022</v>
      </c>
      <c r="K459" s="86">
        <f t="shared" si="1041"/>
        <v>4.8230000000000022</v>
      </c>
      <c r="L459" s="2">
        <f t="shared" si="1041"/>
        <v>4.8400000000000016</v>
      </c>
      <c r="M459" s="2">
        <f t="shared" si="1041"/>
        <v>4.6780000000000017</v>
      </c>
      <c r="N459" s="2">
        <f t="shared" si="1041"/>
        <v>4.4670000000000014</v>
      </c>
      <c r="O459" s="2">
        <f t="shared" si="1041"/>
        <v>4.0230000000000015</v>
      </c>
      <c r="P459" s="86">
        <f t="shared" si="1041"/>
        <v>4.0230000000000015</v>
      </c>
      <c r="Q459" s="2">
        <f t="shared" si="1041"/>
        <v>4.0430000000000019</v>
      </c>
      <c r="R459" s="2">
        <f t="shared" si="1041"/>
        <v>3.5680000000000018</v>
      </c>
      <c r="S459" s="2">
        <f t="shared" si="1041"/>
        <v>3.1380000000000021</v>
      </c>
      <c r="T459" s="2">
        <f t="shared" si="1041"/>
        <v>3.0660000000000021</v>
      </c>
      <c r="U459" s="86">
        <f t="shared" si="1041"/>
        <v>3.0660000000000016</v>
      </c>
      <c r="V459" s="2">
        <f t="shared" si="1041"/>
        <v>2.7040000000000015</v>
      </c>
      <c r="W459" s="2">
        <f t="shared" si="1041"/>
        <v>2.6160000000000014</v>
      </c>
      <c r="X459" s="2">
        <f t="shared" si="1041"/>
        <v>2.4020000000000015</v>
      </c>
      <c r="Y459" s="2">
        <f t="shared" si="1041"/>
        <v>1.9550000000000014</v>
      </c>
      <c r="Z459" s="86">
        <f t="shared" si="1041"/>
        <v>1.9550000000000016</v>
      </c>
      <c r="AA459" s="2">
        <f t="shared" si="1041"/>
        <v>1.9270000000000018</v>
      </c>
      <c r="AB459" s="2">
        <f t="shared" si="1041"/>
        <v>1.8380000000000019</v>
      </c>
      <c r="AC459" s="2">
        <f t="shared" si="1041"/>
        <v>1.7780000000000018</v>
      </c>
      <c r="AD459" s="2">
        <f t="shared" si="1041"/>
        <v>1.7410000000000019</v>
      </c>
      <c r="AE459" s="86">
        <f t="shared" si="1041"/>
        <v>1.7410000000000017</v>
      </c>
      <c r="AF459" s="2">
        <f t="shared" si="1041"/>
        <v>2.0900000000000016</v>
      </c>
      <c r="AG459" s="2">
        <f t="shared" si="1041"/>
        <v>1.8740000000000017</v>
      </c>
      <c r="AH459" s="2">
        <f t="shared" si="1041"/>
        <v>1.8400000000000016</v>
      </c>
      <c r="AI459" s="2">
        <f t="shared" si="1041"/>
        <v>1.7990000000000017</v>
      </c>
      <c r="AJ459" s="86">
        <f t="shared" si="1041"/>
        <v>1.7990000000000017</v>
      </c>
      <c r="AK459" s="2">
        <f t="shared" si="1041"/>
        <v>1.9100000000000015</v>
      </c>
      <c r="AL459" s="2">
        <f t="shared" si="1041"/>
        <v>1.8910000000000016</v>
      </c>
      <c r="AM459" s="2">
        <f t="shared" si="1041"/>
        <v>1.8630000000000018</v>
      </c>
      <c r="AN459" s="2">
        <f t="shared" si="1041"/>
        <v>1.829000000000002</v>
      </c>
      <c r="AO459" s="86">
        <f t="shared" si="1041"/>
        <v>1.8290000000000017</v>
      </c>
      <c r="AP459" s="2">
        <f t="shared" si="1041"/>
        <v>2.4790000000000019</v>
      </c>
      <c r="AQ459" s="2">
        <f t="shared" si="1041"/>
        <v>2.4360000000000017</v>
      </c>
      <c r="AR459" s="2">
        <f t="shared" si="1041"/>
        <v>2.3610000000000015</v>
      </c>
      <c r="AS459" s="2">
        <f t="shared" si="1041"/>
        <v>2.2940000000000018</v>
      </c>
      <c r="AT459" s="86">
        <f t="shared" si="1041"/>
        <v>2.2940000000000023</v>
      </c>
      <c r="AU459" s="2">
        <f t="shared" si="1041"/>
        <v>1.8100000000000023</v>
      </c>
      <c r="AV459" s="2">
        <f t="shared" si="1041"/>
        <v>1.7160000000000024</v>
      </c>
      <c r="AW459" s="2">
        <f t="shared" si="1041"/>
        <v>1.7160000000000024</v>
      </c>
      <c r="AX459" s="2">
        <f t="shared" si="1041"/>
        <v>1.7160000000000024</v>
      </c>
      <c r="AY459" s="86">
        <f t="shared" si="1041"/>
        <v>1.7160000000000024</v>
      </c>
      <c r="AZ459" s="2">
        <f t="shared" si="1041"/>
        <v>1.6850000000000025</v>
      </c>
      <c r="BA459" s="2">
        <f t="shared" si="1041"/>
        <v>1.6850000000000025</v>
      </c>
      <c r="BB459" s="2">
        <f t="shared" si="1041"/>
        <v>1.6850000000000025</v>
      </c>
      <c r="BC459" s="2">
        <f t="shared" si="1041"/>
        <v>1.6850000000000025</v>
      </c>
      <c r="BD459" s="86">
        <f t="shared" si="1041"/>
        <v>1.6850000000000025</v>
      </c>
      <c r="BE459" s="2">
        <f t="shared" si="1041"/>
        <v>1.5500000000000025</v>
      </c>
      <c r="BF459" s="2">
        <f t="shared" si="1041"/>
        <v>1.5500000000000025</v>
      </c>
      <c r="BG459" s="2">
        <f t="shared" si="1041"/>
        <v>1.5500000000000025</v>
      </c>
      <c r="BH459" s="2">
        <f t="shared" si="1041"/>
        <v>1.5500000000000025</v>
      </c>
      <c r="BI459" s="90">
        <f t="shared" si="1041"/>
        <v>1.5500000000000025</v>
      </c>
      <c r="BJ459" s="2"/>
      <c r="BK459" s="2"/>
      <c r="BL459" s="2"/>
      <c r="BM459" s="2"/>
      <c r="BN459" s="86"/>
      <c r="BO459" s="2"/>
      <c r="BP459" s="2"/>
      <c r="BQ459" s="2"/>
      <c r="BR459" s="2"/>
      <c r="BS459" s="86"/>
      <c r="BT459" s="86"/>
      <c r="BU459" s="86"/>
      <c r="BV459" s="86"/>
      <c r="BW459" s="2"/>
    </row>
    <row r="460" spans="1:75" ht="15" hidden="1" customHeight="1" outlineLevel="2" x14ac:dyDescent="0.2">
      <c r="A460" s="85"/>
      <c r="B460" s="85"/>
      <c r="C460" s="86"/>
      <c r="D460" s="86"/>
      <c r="E460" s="86"/>
      <c r="F460" s="86"/>
      <c r="G460" s="2"/>
      <c r="H460" s="2"/>
      <c r="I460" s="2"/>
      <c r="J460" s="2"/>
      <c r="K460" s="86"/>
      <c r="L460" s="2"/>
      <c r="M460" s="2"/>
      <c r="N460" s="2"/>
      <c r="O460" s="2"/>
      <c r="P460" s="86"/>
      <c r="Q460" s="2"/>
      <c r="R460" s="2"/>
      <c r="S460" s="2"/>
      <c r="T460" s="2"/>
      <c r="U460" s="86"/>
      <c r="V460" s="2"/>
      <c r="W460" s="2"/>
      <c r="X460" s="2"/>
      <c r="Y460" s="2"/>
      <c r="Z460" s="86"/>
      <c r="AA460" s="2"/>
      <c r="AB460" s="2"/>
      <c r="AC460" s="2"/>
      <c r="AD460" s="2"/>
      <c r="AE460" s="86"/>
      <c r="AF460" s="2"/>
      <c r="AG460" s="2"/>
      <c r="AH460" s="2"/>
      <c r="AI460" s="2"/>
      <c r="AJ460" s="86"/>
      <c r="AK460" s="2"/>
      <c r="AL460" s="2"/>
      <c r="AM460" s="2"/>
      <c r="AN460" s="2"/>
      <c r="AO460" s="86"/>
      <c r="AP460" s="2"/>
      <c r="AQ460" s="2"/>
      <c r="AR460" s="2"/>
      <c r="AS460" s="2"/>
      <c r="AT460" s="86"/>
      <c r="AU460" s="2"/>
      <c r="AV460" s="2"/>
      <c r="AW460" s="2"/>
      <c r="AX460" s="2"/>
      <c r="AY460" s="86"/>
      <c r="AZ460" s="2"/>
      <c r="BA460" s="2"/>
      <c r="BB460" s="2"/>
      <c r="BC460" s="2"/>
      <c r="BD460" s="86"/>
      <c r="BE460" s="2"/>
      <c r="BF460" s="2"/>
      <c r="BG460" s="2"/>
      <c r="BH460" s="2"/>
      <c r="BI460" s="90"/>
      <c r="BJ460" s="2"/>
      <c r="BK460" s="2"/>
      <c r="BL460" s="2"/>
      <c r="BM460" s="2"/>
      <c r="BN460" s="86"/>
      <c r="BO460" s="2"/>
      <c r="BP460" s="2"/>
      <c r="BQ460" s="2"/>
      <c r="BR460" s="2"/>
      <c r="BS460" s="86"/>
      <c r="BT460" s="86"/>
      <c r="BU460" s="86"/>
      <c r="BV460" s="86"/>
      <c r="BW460" s="2"/>
    </row>
    <row r="461" spans="1:75" ht="15" hidden="1" customHeight="1" outlineLevel="2" x14ac:dyDescent="0.2">
      <c r="A461" s="397" t="s">
        <v>758</v>
      </c>
      <c r="B461" s="85"/>
      <c r="C461" s="398">
        <v>24.58</v>
      </c>
      <c r="D461" s="399">
        <f t="shared" ref="D461:G461" si="1042">C465</f>
        <v>22.4</v>
      </c>
      <c r="E461" s="399">
        <f t="shared" si="1042"/>
        <v>22.63</v>
      </c>
      <c r="F461" s="399">
        <f t="shared" si="1042"/>
        <v>23.51</v>
      </c>
      <c r="G461" s="400">
        <f t="shared" si="1042"/>
        <v>23.98</v>
      </c>
      <c r="H461" s="400">
        <f t="shared" ref="H461:I461" si="1043">G461</f>
        <v>23.98</v>
      </c>
      <c r="I461" s="400">
        <f t="shared" si="1043"/>
        <v>23.98</v>
      </c>
      <c r="J461" s="400">
        <f t="shared" ref="J461:J465" si="1044">K461</f>
        <v>23.98</v>
      </c>
      <c r="K461" s="399">
        <f>F465</f>
        <v>23.98</v>
      </c>
      <c r="L461" s="400">
        <f>K465</f>
        <v>23.7</v>
      </c>
      <c r="M461" s="400">
        <f t="shared" ref="M461:N461" si="1045">L461</f>
        <v>23.7</v>
      </c>
      <c r="N461" s="400">
        <f t="shared" si="1045"/>
        <v>23.7</v>
      </c>
      <c r="O461" s="400">
        <f t="shared" ref="O461:O465" si="1046">P461</f>
        <v>23.7</v>
      </c>
      <c r="P461" s="399">
        <f>K465</f>
        <v>23.7</v>
      </c>
      <c r="Q461" s="400">
        <f>P465</f>
        <v>26.34</v>
      </c>
      <c r="R461" s="400">
        <f t="shared" ref="R461:S461" si="1047">Q461</f>
        <v>26.34</v>
      </c>
      <c r="S461" s="400">
        <f t="shared" si="1047"/>
        <v>26.34</v>
      </c>
      <c r="T461" s="400">
        <f t="shared" ref="T461:T465" si="1048">U461</f>
        <v>26.34</v>
      </c>
      <c r="U461" s="399">
        <f>P465</f>
        <v>26.34</v>
      </c>
      <c r="V461" s="400">
        <f>U465</f>
        <v>30</v>
      </c>
      <c r="W461" s="400">
        <f t="shared" ref="W461:X461" si="1049">V461</f>
        <v>30</v>
      </c>
      <c r="X461" s="400">
        <f t="shared" si="1049"/>
        <v>30</v>
      </c>
      <c r="Y461" s="400">
        <f t="shared" ref="Y461:Y465" si="1050">Z461</f>
        <v>30</v>
      </c>
      <c r="Z461" s="399">
        <f>U465</f>
        <v>30</v>
      </c>
      <c r="AA461" s="400">
        <f>Z465</f>
        <v>37.65</v>
      </c>
      <c r="AB461" s="400">
        <f t="shared" ref="AB461:AC461" si="1051">AA461</f>
        <v>37.65</v>
      </c>
      <c r="AC461" s="400">
        <f t="shared" si="1051"/>
        <v>37.65</v>
      </c>
      <c r="AD461" s="400">
        <f t="shared" ref="AD461:AD465" si="1052">AE461</f>
        <v>37.65</v>
      </c>
      <c r="AE461" s="399">
        <f>Z465</f>
        <v>37.65</v>
      </c>
      <c r="AF461" s="400">
        <f>AE465</f>
        <v>42.25</v>
      </c>
      <c r="AG461" s="400">
        <f t="shared" ref="AG461:AH461" si="1053">AF461</f>
        <v>42.25</v>
      </c>
      <c r="AH461" s="400">
        <f t="shared" si="1053"/>
        <v>42.25</v>
      </c>
      <c r="AI461" s="400">
        <f t="shared" ref="AI461:AI465" si="1054">AJ461</f>
        <v>42.25</v>
      </c>
      <c r="AJ461" s="399">
        <f>AE465</f>
        <v>42.25</v>
      </c>
      <c r="AK461" s="400">
        <f>AJ465</f>
        <v>45.03</v>
      </c>
      <c r="AL461" s="400">
        <f t="shared" ref="AL461:AM461" si="1055">AK461</f>
        <v>45.03</v>
      </c>
      <c r="AM461" s="400">
        <f t="shared" si="1055"/>
        <v>45.03</v>
      </c>
      <c r="AN461" s="400">
        <f t="shared" ref="AN461:AN465" si="1056">AO461</f>
        <v>45.03</v>
      </c>
      <c r="AO461" s="399">
        <f>AJ465</f>
        <v>45.03</v>
      </c>
      <c r="AP461" s="400">
        <f>AO465</f>
        <v>47.32</v>
      </c>
      <c r="AQ461" s="400">
        <f t="shared" ref="AQ461:AR461" si="1057">AP461</f>
        <v>47.32</v>
      </c>
      <c r="AR461" s="400">
        <f t="shared" si="1057"/>
        <v>47.32</v>
      </c>
      <c r="AS461" s="400">
        <f t="shared" ref="AS461:AS465" si="1058">AT461</f>
        <v>47.32</v>
      </c>
      <c r="AT461" s="399">
        <f>AO465</f>
        <v>47.32</v>
      </c>
      <c r="AU461" s="400">
        <f>AT465</f>
        <v>45.35</v>
      </c>
      <c r="AV461" s="400">
        <f t="shared" ref="AV461:AW461" si="1059">AU461</f>
        <v>45.35</v>
      </c>
      <c r="AW461" s="400">
        <f t="shared" si="1059"/>
        <v>45.35</v>
      </c>
      <c r="AX461" s="400">
        <f>AY461</f>
        <v>45.35</v>
      </c>
      <c r="AY461" s="399">
        <f>AT465</f>
        <v>45.35</v>
      </c>
      <c r="AZ461" s="400">
        <f>AY465</f>
        <v>46.14</v>
      </c>
      <c r="BA461" s="400">
        <f t="shared" ref="BA461:BB461" si="1060">AZ461</f>
        <v>46.14</v>
      </c>
      <c r="BB461" s="400">
        <f t="shared" si="1060"/>
        <v>46.14</v>
      </c>
      <c r="BC461" s="400">
        <f>BD461</f>
        <v>46.14</v>
      </c>
      <c r="BD461" s="399">
        <f>AY465</f>
        <v>46.14</v>
      </c>
      <c r="BE461" s="400">
        <f>BD465</f>
        <v>46.11</v>
      </c>
      <c r="BF461" s="400">
        <f t="shared" ref="BF461:BG461" si="1061">BE461</f>
        <v>46.11</v>
      </c>
      <c r="BG461" s="400">
        <f t="shared" si="1061"/>
        <v>46.11</v>
      </c>
      <c r="BH461" s="400">
        <f t="shared" ref="BH461:BH465" si="1062">BI461</f>
        <v>46.11</v>
      </c>
      <c r="BI461" s="401">
        <f>BD465</f>
        <v>46.11</v>
      </c>
      <c r="BJ461" s="400"/>
      <c r="BK461" s="400"/>
      <c r="BL461" s="400"/>
      <c r="BM461" s="400"/>
      <c r="BN461" s="399"/>
      <c r="BO461" s="400"/>
      <c r="BP461" s="400"/>
      <c r="BQ461" s="400"/>
      <c r="BR461" s="400"/>
      <c r="BS461" s="399"/>
      <c r="BT461" s="399"/>
      <c r="BU461" s="399"/>
      <c r="BV461" s="399"/>
      <c r="BW461" s="2"/>
    </row>
    <row r="462" spans="1:75" ht="15" hidden="1" customHeight="1" outlineLevel="2" x14ac:dyDescent="0.2">
      <c r="A462" s="397" t="s">
        <v>759</v>
      </c>
      <c r="B462" s="85"/>
      <c r="C462" s="398">
        <v>10.45</v>
      </c>
      <c r="D462" s="398">
        <v>23.86</v>
      </c>
      <c r="E462" s="398">
        <v>30.74</v>
      </c>
      <c r="F462" s="398">
        <v>29.35</v>
      </c>
      <c r="G462" s="402">
        <v>35.619999999999997</v>
      </c>
      <c r="H462" s="402">
        <v>35.619999999999997</v>
      </c>
      <c r="I462" s="402">
        <v>35.619999999999997</v>
      </c>
      <c r="J462" s="400">
        <f t="shared" si="1044"/>
        <v>35.619999999999997</v>
      </c>
      <c r="K462" s="398">
        <v>35.619999999999997</v>
      </c>
      <c r="L462" s="402">
        <v>48.19</v>
      </c>
      <c r="M462" s="402">
        <v>48.19</v>
      </c>
      <c r="N462" s="402">
        <v>48.19</v>
      </c>
      <c r="O462" s="400">
        <f t="shared" si="1046"/>
        <v>48.19</v>
      </c>
      <c r="P462" s="398">
        <v>48.19</v>
      </c>
      <c r="Q462" s="402">
        <v>48.01</v>
      </c>
      <c r="R462" s="402">
        <v>48.01</v>
      </c>
      <c r="S462" s="402">
        <v>48.01</v>
      </c>
      <c r="T462" s="400">
        <f t="shared" si="1048"/>
        <v>48.01</v>
      </c>
      <c r="U462" s="398">
        <v>48.01</v>
      </c>
      <c r="V462" s="402">
        <v>50.26</v>
      </c>
      <c r="W462" s="402">
        <v>50.26</v>
      </c>
      <c r="X462" s="402">
        <v>50.26</v>
      </c>
      <c r="Y462" s="400">
        <f t="shared" si="1050"/>
        <v>50.26</v>
      </c>
      <c r="Z462" s="398">
        <v>50.26</v>
      </c>
      <c r="AA462" s="402">
        <v>61.59</v>
      </c>
      <c r="AB462" s="402">
        <v>61.49</v>
      </c>
      <c r="AC462" s="402">
        <v>61.49</v>
      </c>
      <c r="AD462" s="400">
        <f t="shared" si="1052"/>
        <v>61.49</v>
      </c>
      <c r="AE462" s="398">
        <v>61.49</v>
      </c>
      <c r="AF462" s="402">
        <v>47.06</v>
      </c>
      <c r="AG462" s="402">
        <v>47.22</v>
      </c>
      <c r="AH462" s="402">
        <v>47.22</v>
      </c>
      <c r="AI462" s="400">
        <f t="shared" si="1054"/>
        <v>47.22</v>
      </c>
      <c r="AJ462" s="398">
        <v>47.22</v>
      </c>
      <c r="AK462" s="402">
        <v>46.03</v>
      </c>
      <c r="AL462" s="402">
        <v>46.03</v>
      </c>
      <c r="AM462" s="402">
        <v>46.03</v>
      </c>
      <c r="AN462" s="400">
        <f t="shared" si="1056"/>
        <v>45.9</v>
      </c>
      <c r="AO462" s="398">
        <v>45.9</v>
      </c>
      <c r="AP462" s="402">
        <v>40.159999999999997</v>
      </c>
      <c r="AQ462" s="402">
        <v>40.159999999999997</v>
      </c>
      <c r="AR462" s="402">
        <v>40.159999999999997</v>
      </c>
      <c r="AS462" s="400">
        <f t="shared" si="1058"/>
        <v>40.159999999999997</v>
      </c>
      <c r="AT462" s="398">
        <v>40.159999999999997</v>
      </c>
      <c r="AU462" s="400"/>
      <c r="AV462" s="400"/>
      <c r="AW462" s="400"/>
      <c r="AX462" s="400"/>
      <c r="AY462" s="399"/>
      <c r="AZ462" s="400"/>
      <c r="BA462" s="400"/>
      <c r="BB462" s="400"/>
      <c r="BC462" s="400"/>
      <c r="BD462" s="399"/>
      <c r="BE462" s="402">
        <v>40.42</v>
      </c>
      <c r="BF462" s="402">
        <v>40.42</v>
      </c>
      <c r="BG462" s="402">
        <v>40.42</v>
      </c>
      <c r="BH462" s="400">
        <f t="shared" si="1062"/>
        <v>40.42</v>
      </c>
      <c r="BI462" s="403">
        <v>40.42</v>
      </c>
      <c r="BJ462" s="400"/>
      <c r="BK462" s="400"/>
      <c r="BL462" s="400"/>
      <c r="BM462" s="400"/>
      <c r="BN462" s="399"/>
      <c r="BO462" s="400"/>
      <c r="BP462" s="400"/>
      <c r="BQ462" s="400"/>
      <c r="BR462" s="400"/>
      <c r="BS462" s="399"/>
      <c r="BT462" s="399"/>
      <c r="BU462" s="399"/>
      <c r="BV462" s="399"/>
      <c r="BW462" s="2"/>
    </row>
    <row r="463" spans="1:75" ht="15" hidden="1" customHeight="1" outlineLevel="2" x14ac:dyDescent="0.2">
      <c r="A463" s="397" t="s">
        <v>760</v>
      </c>
      <c r="B463" s="85"/>
      <c r="C463" s="398">
        <v>9.25</v>
      </c>
      <c r="D463" s="398">
        <v>21.29</v>
      </c>
      <c r="E463" s="398">
        <v>21.08</v>
      </c>
      <c r="F463" s="398">
        <v>23.12</v>
      </c>
      <c r="G463" s="402">
        <v>25.22</v>
      </c>
      <c r="H463" s="402">
        <v>27.17</v>
      </c>
      <c r="I463" s="402">
        <v>26.67</v>
      </c>
      <c r="J463" s="400">
        <f t="shared" si="1044"/>
        <v>26.1</v>
      </c>
      <c r="K463" s="398">
        <v>26.1</v>
      </c>
      <c r="L463" s="402">
        <v>18.989999999999998</v>
      </c>
      <c r="M463" s="402">
        <v>19.22</v>
      </c>
      <c r="N463" s="402">
        <v>19.66</v>
      </c>
      <c r="O463" s="400">
        <f t="shared" si="1046"/>
        <v>21.06</v>
      </c>
      <c r="P463" s="398">
        <v>21.06</v>
      </c>
      <c r="Q463" s="402">
        <v>20.25</v>
      </c>
      <c r="R463" s="402">
        <v>22.71</v>
      </c>
      <c r="S463" s="402">
        <v>22.55</v>
      </c>
      <c r="T463" s="400">
        <f t="shared" si="1048"/>
        <v>22.77</v>
      </c>
      <c r="U463" s="398">
        <v>22.77</v>
      </c>
      <c r="V463" s="402">
        <v>20.95</v>
      </c>
      <c r="W463" s="402">
        <v>21.41</v>
      </c>
      <c r="X463" s="402">
        <v>22.06</v>
      </c>
      <c r="Y463" s="400">
        <f t="shared" si="1050"/>
        <v>21.76</v>
      </c>
      <c r="Z463" s="398">
        <v>21.76</v>
      </c>
      <c r="AA463" s="402">
        <v>27.39</v>
      </c>
      <c r="AB463" s="402">
        <v>26.68</v>
      </c>
      <c r="AC463" s="402">
        <v>26.37</v>
      </c>
      <c r="AD463" s="400">
        <f t="shared" si="1052"/>
        <v>26.19</v>
      </c>
      <c r="AE463" s="398">
        <v>26.19</v>
      </c>
      <c r="AF463" s="402">
        <v>27.11</v>
      </c>
      <c r="AG463" s="402">
        <v>30.03</v>
      </c>
      <c r="AH463" s="402">
        <v>29.97</v>
      </c>
      <c r="AI463" s="400">
        <f t="shared" si="1054"/>
        <v>30</v>
      </c>
      <c r="AJ463" s="398">
        <v>30</v>
      </c>
      <c r="AK463" s="402">
        <v>29.38</v>
      </c>
      <c r="AL463" s="402">
        <v>29.83</v>
      </c>
      <c r="AM463" s="402">
        <v>29.81</v>
      </c>
      <c r="AN463" s="400">
        <f t="shared" si="1056"/>
        <v>29.72</v>
      </c>
      <c r="AO463" s="398">
        <v>29.72</v>
      </c>
      <c r="AP463" s="402">
        <v>29.79</v>
      </c>
      <c r="AQ463" s="402">
        <v>29.79</v>
      </c>
      <c r="AR463" s="402">
        <v>29.79</v>
      </c>
      <c r="AS463" s="400">
        <f t="shared" si="1058"/>
        <v>34.380000000000003</v>
      </c>
      <c r="AT463" s="398">
        <v>34.380000000000003</v>
      </c>
      <c r="AU463" s="402">
        <v>42.18</v>
      </c>
      <c r="AV463" s="402">
        <v>42.97</v>
      </c>
      <c r="AW463" s="402">
        <v>42.97</v>
      </c>
      <c r="AX463" s="400">
        <f t="shared" ref="AX463:AX465" si="1063">AY463</f>
        <v>42.97</v>
      </c>
      <c r="AY463" s="398">
        <v>42.97</v>
      </c>
      <c r="AZ463" s="402">
        <v>40.159999999999997</v>
      </c>
      <c r="BA463" s="402">
        <v>40.159999999999997</v>
      </c>
      <c r="BB463" s="402">
        <v>40.159999999999997</v>
      </c>
      <c r="BC463" s="400">
        <f t="shared" ref="BC463:BC465" si="1064">BD463</f>
        <v>40.159999999999997</v>
      </c>
      <c r="BD463" s="398">
        <v>40.159999999999997</v>
      </c>
      <c r="BE463" s="400"/>
      <c r="BF463" s="400"/>
      <c r="BG463" s="400"/>
      <c r="BH463" s="400">
        <f t="shared" si="1062"/>
        <v>0</v>
      </c>
      <c r="BI463" s="401"/>
      <c r="BJ463" s="400"/>
      <c r="BK463" s="400"/>
      <c r="BL463" s="400"/>
      <c r="BM463" s="400"/>
      <c r="BN463" s="399"/>
      <c r="BO463" s="400"/>
      <c r="BP463" s="400"/>
      <c r="BQ463" s="400"/>
      <c r="BR463" s="400"/>
      <c r="BS463" s="399"/>
      <c r="BT463" s="399"/>
      <c r="BU463" s="399"/>
      <c r="BV463" s="399"/>
      <c r="BW463" s="2"/>
    </row>
    <row r="464" spans="1:75" ht="15" hidden="1" customHeight="1" outlineLevel="2" x14ac:dyDescent="0.2">
      <c r="A464" s="404" t="s">
        <v>761</v>
      </c>
      <c r="B464" s="92"/>
      <c r="C464" s="405">
        <v>23.97</v>
      </c>
      <c r="D464" s="405">
        <v>23.82</v>
      </c>
      <c r="E464" s="405">
        <v>21.1</v>
      </c>
      <c r="F464" s="405">
        <v>23.7</v>
      </c>
      <c r="G464" s="406">
        <v>25.84</v>
      </c>
      <c r="H464" s="406">
        <v>23.56</v>
      </c>
      <c r="I464" s="406">
        <v>23.36</v>
      </c>
      <c r="J464" s="407">
        <f t="shared" si="1044"/>
        <v>23.63</v>
      </c>
      <c r="K464" s="405">
        <v>23.63</v>
      </c>
      <c r="L464" s="406">
        <v>34.32</v>
      </c>
      <c r="M464" s="406">
        <v>30.26</v>
      </c>
      <c r="N464" s="406">
        <v>30.89</v>
      </c>
      <c r="O464" s="407">
        <f t="shared" si="1046"/>
        <v>30.96</v>
      </c>
      <c r="P464" s="405">
        <v>30.96</v>
      </c>
      <c r="Q464" s="406">
        <v>24.87</v>
      </c>
      <c r="R464" s="406">
        <v>19.96</v>
      </c>
      <c r="S464" s="406">
        <v>12.57</v>
      </c>
      <c r="T464" s="407">
        <f t="shared" si="1048"/>
        <v>24.08</v>
      </c>
      <c r="U464" s="405">
        <v>24.08</v>
      </c>
      <c r="V464" s="406">
        <v>40.97</v>
      </c>
      <c r="W464" s="406">
        <v>40.96</v>
      </c>
      <c r="X464" s="406">
        <v>40.96</v>
      </c>
      <c r="Y464" s="407">
        <f t="shared" si="1050"/>
        <v>40.86</v>
      </c>
      <c r="Z464" s="405">
        <v>40.86</v>
      </c>
      <c r="AA464" s="406">
        <v>46.54</v>
      </c>
      <c r="AB464" s="406">
        <v>44.86</v>
      </c>
      <c r="AC464" s="406">
        <v>46.06</v>
      </c>
      <c r="AD464" s="407">
        <f t="shared" si="1052"/>
        <v>45.5</v>
      </c>
      <c r="AE464" s="405">
        <v>45.5</v>
      </c>
      <c r="AF464" s="407"/>
      <c r="AG464" s="406">
        <v>51.71</v>
      </c>
      <c r="AH464" s="406">
        <v>50.01</v>
      </c>
      <c r="AI464" s="407">
        <f t="shared" si="1054"/>
        <v>50.33</v>
      </c>
      <c r="AJ464" s="405">
        <v>50.33</v>
      </c>
      <c r="AK464" s="407"/>
      <c r="AL464" s="407"/>
      <c r="AM464" s="406">
        <v>48.38</v>
      </c>
      <c r="AN464" s="407">
        <f t="shared" si="1056"/>
        <v>48.38</v>
      </c>
      <c r="AO464" s="405">
        <v>48.38</v>
      </c>
      <c r="AP464" s="407"/>
      <c r="AQ464" s="406">
        <v>48.21</v>
      </c>
      <c r="AR464" s="406">
        <v>47.15</v>
      </c>
      <c r="AS464" s="407">
        <f t="shared" si="1058"/>
        <v>47.75</v>
      </c>
      <c r="AT464" s="405">
        <v>47.75</v>
      </c>
      <c r="AU464" s="407"/>
      <c r="AV464" s="406">
        <v>61.59</v>
      </c>
      <c r="AW464" s="406">
        <v>61.59</v>
      </c>
      <c r="AX464" s="407">
        <f t="shared" si="1063"/>
        <v>61.5</v>
      </c>
      <c r="AY464" s="405">
        <v>61.5</v>
      </c>
      <c r="AZ464" s="406">
        <v>48.19</v>
      </c>
      <c r="BA464" s="406">
        <v>48.19</v>
      </c>
      <c r="BB464" s="406">
        <v>48.19</v>
      </c>
      <c r="BC464" s="407">
        <f t="shared" si="1064"/>
        <v>48.19</v>
      </c>
      <c r="BD464" s="405">
        <v>48.19</v>
      </c>
      <c r="BE464" s="406">
        <v>48.01</v>
      </c>
      <c r="BF464" s="406">
        <v>48.01</v>
      </c>
      <c r="BG464" s="406">
        <v>48.01</v>
      </c>
      <c r="BH464" s="407">
        <f t="shared" si="1062"/>
        <v>48.01</v>
      </c>
      <c r="BI464" s="408">
        <v>48.01</v>
      </c>
      <c r="BJ464" s="407"/>
      <c r="BK464" s="407"/>
      <c r="BL464" s="407"/>
      <c r="BM464" s="407"/>
      <c r="BN464" s="409"/>
      <c r="BO464" s="407"/>
      <c r="BP464" s="407"/>
      <c r="BQ464" s="407"/>
      <c r="BR464" s="407"/>
      <c r="BS464" s="409"/>
      <c r="BT464" s="409"/>
      <c r="BU464" s="409"/>
      <c r="BV464" s="409"/>
      <c r="BW464" s="2"/>
    </row>
    <row r="465" spans="1:75" ht="15" hidden="1" customHeight="1" outlineLevel="2" x14ac:dyDescent="0.2">
      <c r="A465" s="410" t="s">
        <v>762</v>
      </c>
      <c r="B465" s="353"/>
      <c r="C465" s="411">
        <v>22.4</v>
      </c>
      <c r="D465" s="411">
        <v>22.63</v>
      </c>
      <c r="E465" s="411">
        <v>23.51</v>
      </c>
      <c r="F465" s="411">
        <v>23.98</v>
      </c>
      <c r="G465" s="412">
        <v>24.47</v>
      </c>
      <c r="H465" s="412">
        <v>23.77</v>
      </c>
      <c r="I465" s="412">
        <v>23.65</v>
      </c>
      <c r="J465" s="413">
        <f t="shared" si="1044"/>
        <v>23.7</v>
      </c>
      <c r="K465" s="411">
        <v>23.7</v>
      </c>
      <c r="L465" s="412">
        <v>25.66</v>
      </c>
      <c r="M465" s="412">
        <v>25.82</v>
      </c>
      <c r="N465" s="412">
        <v>26.03</v>
      </c>
      <c r="O465" s="413">
        <f t="shared" si="1046"/>
        <v>26.34</v>
      </c>
      <c r="P465" s="411">
        <v>26.34</v>
      </c>
      <c r="Q465" s="412">
        <v>28.43</v>
      </c>
      <c r="R465" s="412">
        <v>29.02</v>
      </c>
      <c r="S465" s="412">
        <v>30.14</v>
      </c>
      <c r="T465" s="413">
        <f t="shared" si="1048"/>
        <v>30</v>
      </c>
      <c r="U465" s="411">
        <v>30</v>
      </c>
      <c r="V465" s="412">
        <v>33.42</v>
      </c>
      <c r="W465" s="412">
        <v>33.729999999999997</v>
      </c>
      <c r="X465" s="412">
        <v>34.590000000000003</v>
      </c>
      <c r="Y465" s="413">
        <f t="shared" si="1050"/>
        <v>37.65</v>
      </c>
      <c r="Z465" s="411">
        <v>37.65</v>
      </c>
      <c r="AA465" s="412">
        <v>40.98</v>
      </c>
      <c r="AB465" s="412">
        <v>41.82</v>
      </c>
      <c r="AC465" s="412">
        <v>41.88</v>
      </c>
      <c r="AD465" s="413">
        <f t="shared" si="1052"/>
        <v>42.25</v>
      </c>
      <c r="AE465" s="411">
        <v>42.25</v>
      </c>
      <c r="AF465" s="412">
        <v>43.25</v>
      </c>
      <c r="AG465" s="412">
        <v>44.43</v>
      </c>
      <c r="AH465" s="412">
        <v>44.7</v>
      </c>
      <c r="AI465" s="413">
        <f t="shared" si="1054"/>
        <v>45.03</v>
      </c>
      <c r="AJ465" s="411">
        <v>45.03</v>
      </c>
      <c r="AK465" s="412">
        <v>46.74</v>
      </c>
      <c r="AL465" s="412">
        <v>46.86</v>
      </c>
      <c r="AM465" s="412">
        <v>46.95</v>
      </c>
      <c r="AN465" s="413">
        <f t="shared" si="1056"/>
        <v>47.32</v>
      </c>
      <c r="AO465" s="411">
        <v>47.32</v>
      </c>
      <c r="AP465" s="412">
        <v>45.46</v>
      </c>
      <c r="AQ465" s="412">
        <v>45.41</v>
      </c>
      <c r="AR465" s="412">
        <v>45.38</v>
      </c>
      <c r="AS465" s="413">
        <f t="shared" si="1058"/>
        <v>45.35</v>
      </c>
      <c r="AT465" s="411">
        <v>45.35</v>
      </c>
      <c r="AU465" s="412">
        <v>46.2</v>
      </c>
      <c r="AV465" s="412">
        <v>46.14</v>
      </c>
      <c r="AW465" s="412">
        <v>46.14</v>
      </c>
      <c r="AX465" s="413">
        <f t="shared" si="1063"/>
        <v>46.14</v>
      </c>
      <c r="AY465" s="411">
        <v>46.14</v>
      </c>
      <c r="AZ465" s="412">
        <v>46.11</v>
      </c>
      <c r="BA465" s="412">
        <v>46.11</v>
      </c>
      <c r="BB465" s="412">
        <v>46.11</v>
      </c>
      <c r="BC465" s="413">
        <f t="shared" si="1064"/>
        <v>46.11</v>
      </c>
      <c r="BD465" s="411">
        <v>46.11</v>
      </c>
      <c r="BE465" s="412">
        <v>45.75</v>
      </c>
      <c r="BF465" s="412">
        <v>45.75</v>
      </c>
      <c r="BG465" s="412">
        <v>45.75</v>
      </c>
      <c r="BH465" s="413">
        <f t="shared" si="1062"/>
        <v>45.75</v>
      </c>
      <c r="BI465" s="414">
        <v>45.75</v>
      </c>
      <c r="BJ465" s="413"/>
      <c r="BK465" s="413"/>
      <c r="BL465" s="413"/>
      <c r="BM465" s="413"/>
      <c r="BN465" s="415"/>
      <c r="BO465" s="413"/>
      <c r="BP465" s="413"/>
      <c r="BQ465" s="413"/>
      <c r="BR465" s="413"/>
      <c r="BS465" s="415"/>
      <c r="BT465" s="415"/>
      <c r="BU465" s="415"/>
      <c r="BV465" s="415"/>
      <c r="BW465" s="2"/>
    </row>
    <row r="466" spans="1:75" ht="15" hidden="1" customHeight="1" outlineLevel="2" x14ac:dyDescent="0.2">
      <c r="A466" s="85"/>
      <c r="B466" s="85"/>
      <c r="C466" s="86"/>
      <c r="D466" s="86"/>
      <c r="E466" s="86"/>
      <c r="F466" s="86"/>
      <c r="G466" s="2"/>
      <c r="H466" s="2"/>
      <c r="I466" s="2"/>
      <c r="J466" s="2"/>
      <c r="K466" s="86"/>
      <c r="L466" s="2"/>
      <c r="M466" s="2"/>
      <c r="N466" s="2"/>
      <c r="O466" s="2"/>
      <c r="P466" s="86"/>
      <c r="Q466" s="2"/>
      <c r="R466" s="2"/>
      <c r="S466" s="2"/>
      <c r="T466" s="2"/>
      <c r="U466" s="86"/>
      <c r="V466" s="2"/>
      <c r="W466" s="2"/>
      <c r="X466" s="2"/>
      <c r="Y466" s="2"/>
      <c r="Z466" s="86"/>
      <c r="AA466" s="2"/>
      <c r="AB466" s="2"/>
      <c r="AC466" s="2"/>
      <c r="AD466" s="2"/>
      <c r="AE466" s="86"/>
      <c r="AF466" s="2"/>
      <c r="AG466" s="2"/>
      <c r="AH466" s="2"/>
      <c r="AI466" s="2"/>
      <c r="AJ466" s="86"/>
      <c r="AK466" s="2"/>
      <c r="AL466" s="2"/>
      <c r="AM466" s="2"/>
      <c r="AN466" s="2"/>
      <c r="AO466" s="86"/>
      <c r="AP466" s="2"/>
      <c r="AQ466" s="2"/>
      <c r="AR466" s="2"/>
      <c r="AS466" s="2"/>
      <c r="AT466" s="86"/>
      <c r="AU466" s="2"/>
      <c r="AV466" s="2"/>
      <c r="AW466" s="2"/>
      <c r="AX466" s="2"/>
      <c r="AY466" s="86"/>
      <c r="AZ466" s="2"/>
      <c r="BA466" s="2"/>
      <c r="BB466" s="2"/>
      <c r="BC466" s="2"/>
      <c r="BD466" s="86"/>
      <c r="BE466" s="2"/>
      <c r="BF466" s="2"/>
      <c r="BG466" s="2"/>
      <c r="BH466" s="2"/>
      <c r="BI466" s="90"/>
      <c r="BJ466" s="2"/>
      <c r="BK466" s="2"/>
      <c r="BL466" s="2"/>
      <c r="BM466" s="2"/>
      <c r="BN466" s="86"/>
      <c r="BO466" s="2"/>
      <c r="BP466" s="2"/>
      <c r="BQ466" s="2"/>
      <c r="BR466" s="2"/>
      <c r="BS466" s="86"/>
      <c r="BT466" s="86"/>
      <c r="BU466" s="86"/>
      <c r="BV466" s="86"/>
      <c r="BW466" s="2"/>
    </row>
    <row r="467" spans="1:75" ht="15" hidden="1" customHeight="1" outlineLevel="2" x14ac:dyDescent="0.2">
      <c r="A467" s="397" t="s">
        <v>763</v>
      </c>
      <c r="B467" s="85"/>
      <c r="C467" s="399">
        <f t="shared" ref="C467:R471" si="1065">C461</f>
        <v>24.58</v>
      </c>
      <c r="D467" s="399">
        <f t="shared" si="1065"/>
        <v>22.4</v>
      </c>
      <c r="E467" s="399">
        <f t="shared" si="1065"/>
        <v>22.63</v>
      </c>
      <c r="F467" s="399">
        <f t="shared" si="1065"/>
        <v>23.51</v>
      </c>
      <c r="G467" s="400">
        <f t="shared" ref="G467:J467" si="1066">F471</f>
        <v>23.98</v>
      </c>
      <c r="H467" s="400">
        <f t="shared" si="1066"/>
        <v>24.47</v>
      </c>
      <c r="I467" s="400">
        <f t="shared" si="1066"/>
        <v>23.77</v>
      </c>
      <c r="J467" s="400">
        <f t="shared" si="1066"/>
        <v>23.65</v>
      </c>
      <c r="K467" s="399">
        <f t="shared" ref="K467:L470" si="1067">K461</f>
        <v>23.98</v>
      </c>
      <c r="L467" s="400">
        <f>K471</f>
        <v>23.7</v>
      </c>
      <c r="M467" s="400">
        <f t="shared" ref="M467:O467" si="1068">L471</f>
        <v>25.66</v>
      </c>
      <c r="N467" s="400">
        <f t="shared" si="1068"/>
        <v>25.82</v>
      </c>
      <c r="O467" s="400">
        <f t="shared" si="1068"/>
        <v>26.03</v>
      </c>
      <c r="P467" s="399">
        <f t="shared" ref="P467:Q470" si="1069">P461</f>
        <v>23.7</v>
      </c>
      <c r="Q467" s="400">
        <f t="shared" ref="Q467:T467" si="1070">P471</f>
        <v>26.34</v>
      </c>
      <c r="R467" s="400">
        <f t="shared" si="1070"/>
        <v>28.43</v>
      </c>
      <c r="S467" s="400">
        <f t="shared" si="1070"/>
        <v>29.02</v>
      </c>
      <c r="T467" s="400">
        <f t="shared" si="1070"/>
        <v>30.14</v>
      </c>
      <c r="U467" s="399">
        <f t="shared" ref="U467:V470" si="1071">U461</f>
        <v>26.34</v>
      </c>
      <c r="V467" s="400">
        <f t="shared" ref="V467:Y467" si="1072">U471</f>
        <v>30</v>
      </c>
      <c r="W467" s="400">
        <f t="shared" si="1072"/>
        <v>33.42</v>
      </c>
      <c r="X467" s="400">
        <f t="shared" si="1072"/>
        <v>33.729999999999997</v>
      </c>
      <c r="Y467" s="400">
        <f t="shared" si="1072"/>
        <v>34.590000000000003</v>
      </c>
      <c r="Z467" s="399">
        <f t="shared" ref="Z467:AA470" si="1073">Z461</f>
        <v>30</v>
      </c>
      <c r="AA467" s="400">
        <f t="shared" ref="AA467:AD467" si="1074">Z471</f>
        <v>37.65</v>
      </c>
      <c r="AB467" s="400">
        <f t="shared" si="1074"/>
        <v>40.98</v>
      </c>
      <c r="AC467" s="400">
        <f t="shared" si="1074"/>
        <v>41.82</v>
      </c>
      <c r="AD467" s="400">
        <f t="shared" si="1074"/>
        <v>41.88</v>
      </c>
      <c r="AE467" s="399">
        <f t="shared" ref="AE467:AF470" si="1075">AE461</f>
        <v>37.65</v>
      </c>
      <c r="AF467" s="400">
        <f t="shared" ref="AF467:AI467" si="1076">AE471</f>
        <v>42.25</v>
      </c>
      <c r="AG467" s="400">
        <f t="shared" si="1076"/>
        <v>43.25</v>
      </c>
      <c r="AH467" s="400">
        <f t="shared" si="1076"/>
        <v>44.43</v>
      </c>
      <c r="AI467" s="400">
        <f t="shared" si="1076"/>
        <v>44.7</v>
      </c>
      <c r="AJ467" s="399">
        <f t="shared" ref="AJ467:AK470" si="1077">AJ461</f>
        <v>42.25</v>
      </c>
      <c r="AK467" s="400">
        <f t="shared" ref="AK467:AN467" si="1078">AJ471</f>
        <v>45.03</v>
      </c>
      <c r="AL467" s="400">
        <f t="shared" si="1078"/>
        <v>46.74</v>
      </c>
      <c r="AM467" s="400">
        <f t="shared" si="1078"/>
        <v>46.86</v>
      </c>
      <c r="AN467" s="400">
        <f t="shared" si="1078"/>
        <v>46.95</v>
      </c>
      <c r="AO467" s="399">
        <f t="shared" ref="AO467:AP470" si="1079">AO461</f>
        <v>45.03</v>
      </c>
      <c r="AP467" s="400">
        <f t="shared" ref="AP467:AS467" si="1080">AO471</f>
        <v>47.32</v>
      </c>
      <c r="AQ467" s="400">
        <f t="shared" si="1080"/>
        <v>45.46</v>
      </c>
      <c r="AR467" s="400">
        <f t="shared" si="1080"/>
        <v>45.41</v>
      </c>
      <c r="AS467" s="400">
        <f t="shared" si="1080"/>
        <v>45.38</v>
      </c>
      <c r="AT467" s="399">
        <f t="shared" ref="AT467:AU470" si="1081">AT461</f>
        <v>47.32</v>
      </c>
      <c r="AU467" s="400">
        <f t="shared" ref="AU467:AX467" si="1082">AT471</f>
        <v>45.35</v>
      </c>
      <c r="AV467" s="400">
        <f t="shared" si="1082"/>
        <v>46.2</v>
      </c>
      <c r="AW467" s="400">
        <f t="shared" si="1082"/>
        <v>46.14</v>
      </c>
      <c r="AX467" s="400">
        <f t="shared" si="1082"/>
        <v>46.14</v>
      </c>
      <c r="AY467" s="399">
        <f t="shared" ref="AY467:AZ470" si="1083">AY461</f>
        <v>45.35</v>
      </c>
      <c r="AZ467" s="400">
        <f t="shared" ref="AZ467:BC467" si="1084">AY471</f>
        <v>46.14</v>
      </c>
      <c r="BA467" s="400">
        <f t="shared" si="1084"/>
        <v>46.11</v>
      </c>
      <c r="BB467" s="400">
        <f t="shared" si="1084"/>
        <v>46.11</v>
      </c>
      <c r="BC467" s="400">
        <f t="shared" si="1084"/>
        <v>46.11</v>
      </c>
      <c r="BD467" s="399">
        <f t="shared" ref="BD467:BE470" si="1085">BD461</f>
        <v>46.14</v>
      </c>
      <c r="BE467" s="400">
        <f t="shared" ref="BE467:BH467" si="1086">BD471</f>
        <v>46.11</v>
      </c>
      <c r="BF467" s="400">
        <f t="shared" si="1086"/>
        <v>45.75</v>
      </c>
      <c r="BG467" s="400">
        <f t="shared" si="1086"/>
        <v>45.75</v>
      </c>
      <c r="BH467" s="400">
        <f t="shared" si="1086"/>
        <v>45.75</v>
      </c>
      <c r="BI467" s="401">
        <f t="shared" ref="BI467:BI470" si="1087">BI461</f>
        <v>46.11</v>
      </c>
      <c r="BJ467" s="400"/>
      <c r="BK467" s="400"/>
      <c r="BL467" s="400"/>
      <c r="BM467" s="400"/>
      <c r="BN467" s="399"/>
      <c r="BO467" s="400"/>
      <c r="BP467" s="400"/>
      <c r="BQ467" s="400"/>
      <c r="BR467" s="400"/>
      <c r="BS467" s="399"/>
      <c r="BT467" s="399"/>
      <c r="BU467" s="399"/>
      <c r="BV467" s="399"/>
      <c r="BW467" s="2"/>
    </row>
    <row r="468" spans="1:75" ht="15" hidden="1" customHeight="1" outlineLevel="2" x14ac:dyDescent="0.2">
      <c r="A468" s="397" t="s">
        <v>764</v>
      </c>
      <c r="B468" s="85"/>
      <c r="C468" s="399">
        <f t="shared" si="1065"/>
        <v>10.45</v>
      </c>
      <c r="D468" s="399">
        <f t="shared" si="1065"/>
        <v>23.86</v>
      </c>
      <c r="E468" s="399">
        <f t="shared" si="1065"/>
        <v>30.74</v>
      </c>
      <c r="F468" s="399">
        <f t="shared" si="1065"/>
        <v>29.35</v>
      </c>
      <c r="G468" s="400">
        <f t="shared" si="1065"/>
        <v>35.619999999999997</v>
      </c>
      <c r="H468" s="400">
        <f t="shared" ref="H468:J470" si="1088">IFERROR((H450*H462-G450*G462)/H456,0)</f>
        <v>0</v>
      </c>
      <c r="I468" s="400">
        <f t="shared" si="1088"/>
        <v>0</v>
      </c>
      <c r="J468" s="400">
        <f t="shared" si="1088"/>
        <v>0</v>
      </c>
      <c r="K468" s="399">
        <f t="shared" si="1067"/>
        <v>35.619999999999997</v>
      </c>
      <c r="L468" s="400">
        <f t="shared" si="1067"/>
        <v>48.19</v>
      </c>
      <c r="M468" s="400">
        <f t="shared" ref="M468:O470" si="1089">IFERROR((M450*M462-L450*L462)/M456,0)</f>
        <v>48.189999999999912</v>
      </c>
      <c r="N468" s="400">
        <f t="shared" si="1089"/>
        <v>48.189999999999912</v>
      </c>
      <c r="O468" s="400">
        <f t="shared" si="1089"/>
        <v>0</v>
      </c>
      <c r="P468" s="399">
        <f t="shared" si="1069"/>
        <v>48.19</v>
      </c>
      <c r="Q468" s="400">
        <f t="shared" si="1069"/>
        <v>48.01</v>
      </c>
      <c r="R468" s="400">
        <f t="shared" ref="R468:T470" si="1090">IFERROR((R450*R462-Q450*Q462)/R456,0)</f>
        <v>0</v>
      </c>
      <c r="S468" s="400">
        <f t="shared" si="1090"/>
        <v>48.010000000001398</v>
      </c>
      <c r="T468" s="400">
        <f t="shared" si="1090"/>
        <v>0</v>
      </c>
      <c r="U468" s="399">
        <f t="shared" si="1071"/>
        <v>48.01</v>
      </c>
      <c r="V468" s="400">
        <f t="shared" si="1071"/>
        <v>50.26</v>
      </c>
      <c r="W468" s="400">
        <f t="shared" ref="W468:Y470" si="1091">IFERROR((W450*W462-V450*V462)/W456,0)</f>
        <v>0</v>
      </c>
      <c r="X468" s="400">
        <f t="shared" si="1091"/>
        <v>0</v>
      </c>
      <c r="Y468" s="400">
        <f t="shared" si="1091"/>
        <v>0</v>
      </c>
      <c r="Z468" s="399">
        <f t="shared" si="1073"/>
        <v>50.26</v>
      </c>
      <c r="AA468" s="400">
        <f t="shared" si="1073"/>
        <v>61.59</v>
      </c>
      <c r="AB468" s="400">
        <f t="shared" ref="AB468:AD470" si="1092">IFERROR((AB450*AB462-AA450*AA462)/AB456,0)</f>
        <v>57.609999999999978</v>
      </c>
      <c r="AC468" s="400">
        <f t="shared" si="1092"/>
        <v>0</v>
      </c>
      <c r="AD468" s="400">
        <f t="shared" si="1092"/>
        <v>0</v>
      </c>
      <c r="AE468" s="399">
        <f t="shared" si="1075"/>
        <v>61.49</v>
      </c>
      <c r="AF468" s="400">
        <f t="shared" si="1075"/>
        <v>47.06</v>
      </c>
      <c r="AG468" s="400">
        <f t="shared" ref="AG468:AI470" si="1093">IFERROR((AG450*AG462-AF450*AF462)/AG456,0)</f>
        <v>52.13999999999988</v>
      </c>
      <c r="AH468" s="400">
        <f t="shared" si="1093"/>
        <v>0</v>
      </c>
      <c r="AI468" s="400">
        <f t="shared" si="1093"/>
        <v>0</v>
      </c>
      <c r="AJ468" s="399">
        <f t="shared" si="1077"/>
        <v>47.22</v>
      </c>
      <c r="AK468" s="400">
        <f t="shared" si="1077"/>
        <v>46.03</v>
      </c>
      <c r="AL468" s="400">
        <f t="shared" ref="AL468:AN470" si="1094">IFERROR((AL450*AL462-AK450*AK462)/AL456,0)</f>
        <v>0</v>
      </c>
      <c r="AM468" s="400">
        <f t="shared" si="1094"/>
        <v>0</v>
      </c>
      <c r="AN468" s="400">
        <f t="shared" si="1094"/>
        <v>40.328571428571294</v>
      </c>
      <c r="AO468" s="399">
        <f t="shared" si="1079"/>
        <v>45.9</v>
      </c>
      <c r="AP468" s="400">
        <f t="shared" si="1079"/>
        <v>40.159999999999997</v>
      </c>
      <c r="AQ468" s="400">
        <f t="shared" ref="AQ468:AS470" si="1095">IFERROR((AQ450*AQ462-AP450*AP462)/AQ456,0)</f>
        <v>0</v>
      </c>
      <c r="AR468" s="400">
        <f t="shared" si="1095"/>
        <v>0</v>
      </c>
      <c r="AS468" s="400">
        <f t="shared" si="1095"/>
        <v>0</v>
      </c>
      <c r="AT468" s="399">
        <f t="shared" si="1081"/>
        <v>40.159999999999997</v>
      </c>
      <c r="AU468" s="400">
        <f t="shared" si="1081"/>
        <v>0</v>
      </c>
      <c r="AV468" s="400">
        <f t="shared" ref="AV468:AX470" si="1096">IFERROR((AV450*AV462-AU450*AU462)/AV456,0)</f>
        <v>0</v>
      </c>
      <c r="AW468" s="400">
        <f t="shared" si="1096"/>
        <v>0</v>
      </c>
      <c r="AX468" s="400">
        <f t="shared" si="1096"/>
        <v>0</v>
      </c>
      <c r="AY468" s="399">
        <f t="shared" si="1083"/>
        <v>0</v>
      </c>
      <c r="AZ468" s="400">
        <f t="shared" si="1083"/>
        <v>0</v>
      </c>
      <c r="BA468" s="400">
        <f t="shared" ref="BA468:BC470" si="1097">IFERROR((BA450*BA462-AZ450*AZ462)/BA456,0)</f>
        <v>0</v>
      </c>
      <c r="BB468" s="400">
        <f t="shared" si="1097"/>
        <v>0</v>
      </c>
      <c r="BC468" s="400">
        <f t="shared" si="1097"/>
        <v>0</v>
      </c>
      <c r="BD468" s="399">
        <f t="shared" si="1085"/>
        <v>0</v>
      </c>
      <c r="BE468" s="400">
        <f t="shared" si="1085"/>
        <v>40.42</v>
      </c>
      <c r="BF468" s="400">
        <f t="shared" ref="BF468:BH470" si="1098">IFERROR((BF450*BF462-BE450*BE462)/BF456,0)</f>
        <v>0</v>
      </c>
      <c r="BG468" s="400">
        <f t="shared" si="1098"/>
        <v>0</v>
      </c>
      <c r="BH468" s="400">
        <f t="shared" si="1098"/>
        <v>0</v>
      </c>
      <c r="BI468" s="401">
        <f t="shared" si="1087"/>
        <v>40.42</v>
      </c>
      <c r="BJ468" s="400"/>
      <c r="BK468" s="400"/>
      <c r="BL468" s="400"/>
      <c r="BM468" s="400"/>
      <c r="BN468" s="399"/>
      <c r="BO468" s="400"/>
      <c r="BP468" s="400"/>
      <c r="BQ468" s="400"/>
      <c r="BR468" s="400"/>
      <c r="BS468" s="399"/>
      <c r="BT468" s="399"/>
      <c r="BU468" s="399"/>
      <c r="BV468" s="399"/>
      <c r="BW468" s="2"/>
    </row>
    <row r="469" spans="1:75" ht="15" hidden="1" customHeight="1" outlineLevel="2" x14ac:dyDescent="0.2">
      <c r="A469" s="397" t="s">
        <v>765</v>
      </c>
      <c r="B469" s="85"/>
      <c r="C469" s="399">
        <f t="shared" si="1065"/>
        <v>9.25</v>
      </c>
      <c r="D469" s="399">
        <f t="shared" si="1065"/>
        <v>21.29</v>
      </c>
      <c r="E469" s="399">
        <f t="shared" si="1065"/>
        <v>21.08</v>
      </c>
      <c r="F469" s="399">
        <f t="shared" si="1065"/>
        <v>23.12</v>
      </c>
      <c r="G469" s="400">
        <f t="shared" si="1065"/>
        <v>25.22</v>
      </c>
      <c r="H469" s="400">
        <f t="shared" si="1088"/>
        <v>28.680536585365854</v>
      </c>
      <c r="I469" s="400">
        <f t="shared" si="1088"/>
        <v>24.982615955473101</v>
      </c>
      <c r="J469" s="400">
        <f t="shared" si="1088"/>
        <v>22.995935334872986</v>
      </c>
      <c r="K469" s="399">
        <f t="shared" si="1067"/>
        <v>26.1</v>
      </c>
      <c r="L469" s="400">
        <f t="shared" si="1067"/>
        <v>18.989999999999998</v>
      </c>
      <c r="M469" s="400">
        <f t="shared" si="1089"/>
        <v>19.738333333333337</v>
      </c>
      <c r="N469" s="400">
        <f t="shared" si="1089"/>
        <v>20.652763819095476</v>
      </c>
      <c r="O469" s="400">
        <f t="shared" si="1089"/>
        <v>23.121818181818181</v>
      </c>
      <c r="P469" s="399">
        <f t="shared" si="1069"/>
        <v>21.06</v>
      </c>
      <c r="Q469" s="400">
        <f t="shared" si="1069"/>
        <v>20.25</v>
      </c>
      <c r="R469" s="400">
        <f t="shared" si="1090"/>
        <v>24.194482758620683</v>
      </c>
      <c r="S469" s="400">
        <f t="shared" si="1090"/>
        <v>22.240805194805201</v>
      </c>
      <c r="T469" s="400">
        <f t="shared" si="1090"/>
        <v>25.229207920792046</v>
      </c>
      <c r="U469" s="399">
        <f t="shared" si="1071"/>
        <v>22.77</v>
      </c>
      <c r="V469" s="400">
        <f t="shared" si="1071"/>
        <v>20.95</v>
      </c>
      <c r="W469" s="400">
        <f t="shared" si="1091"/>
        <v>24.31636363636364</v>
      </c>
      <c r="X469" s="400">
        <f t="shared" si="1091"/>
        <v>24.025258215962442</v>
      </c>
      <c r="Y469" s="400">
        <f t="shared" si="1091"/>
        <v>21.184832214765102</v>
      </c>
      <c r="Z469" s="399">
        <f t="shared" si="1073"/>
        <v>21.76</v>
      </c>
      <c r="AA469" s="400">
        <f t="shared" si="1073"/>
        <v>27.39</v>
      </c>
      <c r="AB469" s="400">
        <f t="shared" si="1092"/>
        <v>25.183655913978484</v>
      </c>
      <c r="AC469" s="400">
        <f t="shared" si="1092"/>
        <v>21.392777777777798</v>
      </c>
      <c r="AD469" s="400">
        <f t="shared" si="1092"/>
        <v>24.735789473684203</v>
      </c>
      <c r="AE469" s="399">
        <f t="shared" si="1075"/>
        <v>26.19</v>
      </c>
      <c r="AF469" s="400">
        <f t="shared" si="1075"/>
        <v>27.11</v>
      </c>
      <c r="AG469" s="400">
        <f t="shared" si="1093"/>
        <v>30.335759162303663</v>
      </c>
      <c r="AH469" s="400">
        <f t="shared" si="1093"/>
        <v>29.597647058823519</v>
      </c>
      <c r="AI469" s="400">
        <f t="shared" si="1093"/>
        <v>30.179268292682945</v>
      </c>
      <c r="AJ469" s="399">
        <f t="shared" si="1077"/>
        <v>30</v>
      </c>
      <c r="AK469" s="400">
        <f t="shared" si="1077"/>
        <v>29.38</v>
      </c>
      <c r="AL469" s="400">
        <f t="shared" si="1094"/>
        <v>34.306315789473693</v>
      </c>
      <c r="AM469" s="400">
        <f t="shared" si="1094"/>
        <v>29.431818181818194</v>
      </c>
      <c r="AN469" s="400">
        <f t="shared" si="1094"/>
        <v>29.239268292682919</v>
      </c>
      <c r="AO469" s="399">
        <f t="shared" si="1079"/>
        <v>29.72</v>
      </c>
      <c r="AP469" s="400">
        <f t="shared" si="1079"/>
        <v>29.79</v>
      </c>
      <c r="AQ469" s="400">
        <f t="shared" si="1095"/>
        <v>0</v>
      </c>
      <c r="AR469" s="400">
        <f t="shared" si="1095"/>
        <v>0</v>
      </c>
      <c r="AS469" s="400">
        <f t="shared" si="1095"/>
        <v>35.691428571428574</v>
      </c>
      <c r="AT469" s="399">
        <f t="shared" si="1081"/>
        <v>34.380000000000003</v>
      </c>
      <c r="AU469" s="400">
        <f t="shared" si="1081"/>
        <v>42.18</v>
      </c>
      <c r="AV469" s="400">
        <f t="shared" si="1096"/>
        <v>47.081397849462377</v>
      </c>
      <c r="AW469" s="400">
        <f t="shared" si="1096"/>
        <v>0</v>
      </c>
      <c r="AX469" s="400">
        <f t="shared" si="1096"/>
        <v>0</v>
      </c>
      <c r="AY469" s="399">
        <f t="shared" si="1083"/>
        <v>42.97</v>
      </c>
      <c r="AZ469" s="400">
        <f t="shared" si="1083"/>
        <v>40.159999999999997</v>
      </c>
      <c r="BA469" s="400">
        <f t="shared" si="1097"/>
        <v>0</v>
      </c>
      <c r="BB469" s="400">
        <f t="shared" si="1097"/>
        <v>0</v>
      </c>
      <c r="BC469" s="400">
        <f t="shared" si="1097"/>
        <v>0</v>
      </c>
      <c r="BD469" s="399">
        <f t="shared" si="1085"/>
        <v>40.159999999999997</v>
      </c>
      <c r="BE469" s="400">
        <f t="shared" si="1085"/>
        <v>0</v>
      </c>
      <c r="BF469" s="400">
        <f t="shared" si="1098"/>
        <v>0</v>
      </c>
      <c r="BG469" s="400">
        <f t="shared" si="1098"/>
        <v>0</v>
      </c>
      <c r="BH469" s="400">
        <f t="shared" si="1098"/>
        <v>0</v>
      </c>
      <c r="BI469" s="401">
        <f t="shared" si="1087"/>
        <v>0</v>
      </c>
      <c r="BJ469" s="400"/>
      <c r="BK469" s="400"/>
      <c r="BL469" s="400"/>
      <c r="BM469" s="400"/>
      <c r="BN469" s="399"/>
      <c r="BO469" s="400"/>
      <c r="BP469" s="400"/>
      <c r="BQ469" s="400"/>
      <c r="BR469" s="400"/>
      <c r="BS469" s="399"/>
      <c r="BT469" s="399"/>
      <c r="BU469" s="399"/>
      <c r="BV469" s="399"/>
      <c r="BW469" s="2"/>
    </row>
    <row r="470" spans="1:75" ht="15" hidden="1" customHeight="1" outlineLevel="2" x14ac:dyDescent="0.2">
      <c r="A470" s="404" t="s">
        <v>766</v>
      </c>
      <c r="B470" s="92"/>
      <c r="C470" s="409">
        <f t="shared" si="1065"/>
        <v>23.97</v>
      </c>
      <c r="D470" s="409">
        <f t="shared" si="1065"/>
        <v>23.82</v>
      </c>
      <c r="E470" s="409">
        <f t="shared" si="1065"/>
        <v>21.1</v>
      </c>
      <c r="F470" s="409">
        <f t="shared" si="1065"/>
        <v>23.7</v>
      </c>
      <c r="G470" s="407">
        <f t="shared" si="1065"/>
        <v>25.84</v>
      </c>
      <c r="H470" s="407">
        <f t="shared" si="1088"/>
        <v>20.353749999999998</v>
      </c>
      <c r="I470" s="407">
        <f t="shared" si="1088"/>
        <v>22.020869565217389</v>
      </c>
      <c r="J470" s="407">
        <f t="shared" si="1088"/>
        <v>28.939999999999991</v>
      </c>
      <c r="K470" s="409">
        <f t="shared" si="1067"/>
        <v>23.63</v>
      </c>
      <c r="L470" s="407">
        <f t="shared" si="1067"/>
        <v>34.32</v>
      </c>
      <c r="M470" s="407">
        <f t="shared" si="1089"/>
        <v>30.097600000000003</v>
      </c>
      <c r="N470" s="407">
        <f t="shared" si="1089"/>
        <v>32.379090909090912</v>
      </c>
      <c r="O470" s="407">
        <f t="shared" si="1089"/>
        <v>31.607499999999984</v>
      </c>
      <c r="P470" s="409">
        <f t="shared" si="1069"/>
        <v>30.96</v>
      </c>
      <c r="Q470" s="407">
        <f t="shared" si="1069"/>
        <v>24.87</v>
      </c>
      <c r="R470" s="407">
        <f t="shared" si="1090"/>
        <v>14.60363636363636</v>
      </c>
      <c r="S470" s="407">
        <f t="shared" si="1090"/>
        <v>8.7070454545454563</v>
      </c>
      <c r="T470" s="407">
        <f t="shared" si="1090"/>
        <v>-2.5120689655172361</v>
      </c>
      <c r="U470" s="409">
        <f t="shared" si="1071"/>
        <v>24.08</v>
      </c>
      <c r="V470" s="407">
        <f t="shared" si="1071"/>
        <v>40.97</v>
      </c>
      <c r="W470" s="407">
        <f t="shared" si="1091"/>
        <v>0</v>
      </c>
      <c r="X470" s="407">
        <f t="shared" si="1091"/>
        <v>40.960000000000072</v>
      </c>
      <c r="Y470" s="407">
        <f t="shared" si="1091"/>
        <v>0</v>
      </c>
      <c r="Z470" s="409">
        <f t="shared" si="1073"/>
        <v>40.86</v>
      </c>
      <c r="AA470" s="407">
        <f t="shared" si="1073"/>
        <v>46.54</v>
      </c>
      <c r="AB470" s="407">
        <f t="shared" si="1092"/>
        <v>1.1799999999999577</v>
      </c>
      <c r="AC470" s="407">
        <f t="shared" si="1092"/>
        <v>46.831428571428575</v>
      </c>
      <c r="AD470" s="407">
        <f t="shared" si="1092"/>
        <v>84.140000000000029</v>
      </c>
      <c r="AE470" s="409">
        <f t="shared" si="1075"/>
        <v>45.5</v>
      </c>
      <c r="AF470" s="407">
        <f t="shared" si="1075"/>
        <v>0</v>
      </c>
      <c r="AG470" s="407">
        <f t="shared" si="1093"/>
        <v>51.71</v>
      </c>
      <c r="AH470" s="407">
        <f t="shared" si="1093"/>
        <v>0</v>
      </c>
      <c r="AI470" s="407">
        <f t="shared" si="1093"/>
        <v>0</v>
      </c>
      <c r="AJ470" s="409">
        <f t="shared" si="1077"/>
        <v>50.33</v>
      </c>
      <c r="AK470" s="407">
        <f t="shared" si="1077"/>
        <v>0</v>
      </c>
      <c r="AL470" s="407">
        <f t="shared" si="1094"/>
        <v>0</v>
      </c>
      <c r="AM470" s="407">
        <f t="shared" si="1094"/>
        <v>48.38</v>
      </c>
      <c r="AN470" s="407">
        <f t="shared" si="1094"/>
        <v>0</v>
      </c>
      <c r="AO470" s="409">
        <f t="shared" si="1079"/>
        <v>48.38</v>
      </c>
      <c r="AP470" s="407">
        <f t="shared" si="1079"/>
        <v>0</v>
      </c>
      <c r="AQ470" s="407">
        <f t="shared" si="1095"/>
        <v>48.209999999999994</v>
      </c>
      <c r="AR470" s="407">
        <f t="shared" si="1095"/>
        <v>46.54226666666667</v>
      </c>
      <c r="AS470" s="407">
        <f t="shared" si="1095"/>
        <v>49.085849056603763</v>
      </c>
      <c r="AT470" s="409">
        <f t="shared" si="1081"/>
        <v>47.75</v>
      </c>
      <c r="AU470" s="407">
        <f t="shared" si="1081"/>
        <v>0</v>
      </c>
      <c r="AV470" s="407">
        <f t="shared" si="1096"/>
        <v>61.59</v>
      </c>
      <c r="AW470" s="407">
        <f t="shared" si="1096"/>
        <v>0</v>
      </c>
      <c r="AX470" s="407">
        <f t="shared" si="1096"/>
        <v>0</v>
      </c>
      <c r="AY470" s="409">
        <f t="shared" si="1083"/>
        <v>61.5</v>
      </c>
      <c r="AZ470" s="407">
        <f t="shared" si="1083"/>
        <v>48.19</v>
      </c>
      <c r="BA470" s="407">
        <f t="shared" si="1097"/>
        <v>0</v>
      </c>
      <c r="BB470" s="407">
        <f t="shared" si="1097"/>
        <v>0</v>
      </c>
      <c r="BC470" s="407">
        <f t="shared" si="1097"/>
        <v>0</v>
      </c>
      <c r="BD470" s="409">
        <f t="shared" si="1085"/>
        <v>48.19</v>
      </c>
      <c r="BE470" s="407">
        <f t="shared" si="1085"/>
        <v>48.01</v>
      </c>
      <c r="BF470" s="407">
        <f t="shared" si="1098"/>
        <v>0</v>
      </c>
      <c r="BG470" s="407">
        <f t="shared" si="1098"/>
        <v>0</v>
      </c>
      <c r="BH470" s="407">
        <f t="shared" si="1098"/>
        <v>0</v>
      </c>
      <c r="BI470" s="416">
        <f t="shared" si="1087"/>
        <v>48.01</v>
      </c>
      <c r="BJ470" s="407"/>
      <c r="BK470" s="407"/>
      <c r="BL470" s="407"/>
      <c r="BM470" s="407"/>
      <c r="BN470" s="409"/>
      <c r="BO470" s="407"/>
      <c r="BP470" s="407"/>
      <c r="BQ470" s="407"/>
      <c r="BR470" s="407"/>
      <c r="BS470" s="409"/>
      <c r="BT470" s="409"/>
      <c r="BU470" s="409"/>
      <c r="BV470" s="409"/>
      <c r="BW470" s="2"/>
    </row>
    <row r="471" spans="1:75" ht="15" hidden="1" customHeight="1" outlineLevel="1" x14ac:dyDescent="0.2">
      <c r="A471" s="404" t="s">
        <v>767</v>
      </c>
      <c r="B471" s="92"/>
      <c r="C471" s="409">
        <f t="shared" si="1065"/>
        <v>22.4</v>
      </c>
      <c r="D471" s="409">
        <f t="shared" si="1065"/>
        <v>22.63</v>
      </c>
      <c r="E471" s="409">
        <f t="shared" si="1065"/>
        <v>23.51</v>
      </c>
      <c r="F471" s="409">
        <f t="shared" si="1065"/>
        <v>23.98</v>
      </c>
      <c r="G471" s="407">
        <f t="shared" si="1065"/>
        <v>24.47</v>
      </c>
      <c r="H471" s="407">
        <f t="shared" si="1065"/>
        <v>23.77</v>
      </c>
      <c r="I471" s="407">
        <f t="shared" si="1065"/>
        <v>23.65</v>
      </c>
      <c r="J471" s="407">
        <f t="shared" si="1065"/>
        <v>23.7</v>
      </c>
      <c r="K471" s="409">
        <f t="shared" si="1065"/>
        <v>23.7</v>
      </c>
      <c r="L471" s="407">
        <f t="shared" si="1065"/>
        <v>25.66</v>
      </c>
      <c r="M471" s="407">
        <f t="shared" si="1065"/>
        <v>25.82</v>
      </c>
      <c r="N471" s="407">
        <f t="shared" si="1065"/>
        <v>26.03</v>
      </c>
      <c r="O471" s="407">
        <f t="shared" si="1065"/>
        <v>26.34</v>
      </c>
      <c r="P471" s="409">
        <f t="shared" si="1065"/>
        <v>26.34</v>
      </c>
      <c r="Q471" s="407">
        <f t="shared" si="1065"/>
        <v>28.43</v>
      </c>
      <c r="R471" s="407">
        <f t="shared" si="1065"/>
        <v>29.02</v>
      </c>
      <c r="S471" s="407">
        <f t="shared" ref="S471:BI471" si="1099">S465</f>
        <v>30.14</v>
      </c>
      <c r="T471" s="407">
        <f t="shared" si="1099"/>
        <v>30</v>
      </c>
      <c r="U471" s="409">
        <f t="shared" si="1099"/>
        <v>30</v>
      </c>
      <c r="V471" s="407">
        <f t="shared" si="1099"/>
        <v>33.42</v>
      </c>
      <c r="W471" s="407">
        <f t="shared" si="1099"/>
        <v>33.729999999999997</v>
      </c>
      <c r="X471" s="407">
        <f t="shared" si="1099"/>
        <v>34.590000000000003</v>
      </c>
      <c r="Y471" s="407">
        <f t="shared" si="1099"/>
        <v>37.65</v>
      </c>
      <c r="Z471" s="409">
        <f t="shared" si="1099"/>
        <v>37.65</v>
      </c>
      <c r="AA471" s="407">
        <f t="shared" si="1099"/>
        <v>40.98</v>
      </c>
      <c r="AB471" s="407">
        <f t="shared" si="1099"/>
        <v>41.82</v>
      </c>
      <c r="AC471" s="407">
        <f t="shared" si="1099"/>
        <v>41.88</v>
      </c>
      <c r="AD471" s="407">
        <f t="shared" si="1099"/>
        <v>42.25</v>
      </c>
      <c r="AE471" s="409">
        <f t="shared" si="1099"/>
        <v>42.25</v>
      </c>
      <c r="AF471" s="407">
        <f t="shared" si="1099"/>
        <v>43.25</v>
      </c>
      <c r="AG471" s="407">
        <f t="shared" si="1099"/>
        <v>44.43</v>
      </c>
      <c r="AH471" s="407">
        <f t="shared" si="1099"/>
        <v>44.7</v>
      </c>
      <c r="AI471" s="407">
        <f t="shared" si="1099"/>
        <v>45.03</v>
      </c>
      <c r="AJ471" s="409">
        <f t="shared" si="1099"/>
        <v>45.03</v>
      </c>
      <c r="AK471" s="407">
        <f t="shared" si="1099"/>
        <v>46.74</v>
      </c>
      <c r="AL471" s="407">
        <f t="shared" si="1099"/>
        <v>46.86</v>
      </c>
      <c r="AM471" s="407">
        <f t="shared" si="1099"/>
        <v>46.95</v>
      </c>
      <c r="AN471" s="407">
        <f t="shared" si="1099"/>
        <v>47.32</v>
      </c>
      <c r="AO471" s="409">
        <f t="shared" si="1099"/>
        <v>47.32</v>
      </c>
      <c r="AP471" s="407">
        <f t="shared" si="1099"/>
        <v>45.46</v>
      </c>
      <c r="AQ471" s="407">
        <f t="shared" si="1099"/>
        <v>45.41</v>
      </c>
      <c r="AR471" s="407">
        <f t="shared" si="1099"/>
        <v>45.38</v>
      </c>
      <c r="AS471" s="407">
        <f t="shared" si="1099"/>
        <v>45.35</v>
      </c>
      <c r="AT471" s="409">
        <f t="shared" si="1099"/>
        <v>45.35</v>
      </c>
      <c r="AU471" s="407">
        <f t="shared" si="1099"/>
        <v>46.2</v>
      </c>
      <c r="AV471" s="407">
        <f t="shared" si="1099"/>
        <v>46.14</v>
      </c>
      <c r="AW471" s="407">
        <f t="shared" si="1099"/>
        <v>46.14</v>
      </c>
      <c r="AX471" s="407">
        <f t="shared" si="1099"/>
        <v>46.14</v>
      </c>
      <c r="AY471" s="409">
        <f t="shared" si="1099"/>
        <v>46.14</v>
      </c>
      <c r="AZ471" s="407">
        <f t="shared" si="1099"/>
        <v>46.11</v>
      </c>
      <c r="BA471" s="407">
        <f t="shared" si="1099"/>
        <v>46.11</v>
      </c>
      <c r="BB471" s="407">
        <f t="shared" si="1099"/>
        <v>46.11</v>
      </c>
      <c r="BC471" s="407">
        <f t="shared" si="1099"/>
        <v>46.11</v>
      </c>
      <c r="BD471" s="409">
        <f t="shared" si="1099"/>
        <v>46.11</v>
      </c>
      <c r="BE471" s="407">
        <f t="shared" si="1099"/>
        <v>45.75</v>
      </c>
      <c r="BF471" s="407">
        <f t="shared" si="1099"/>
        <v>45.75</v>
      </c>
      <c r="BG471" s="407">
        <f t="shared" si="1099"/>
        <v>45.75</v>
      </c>
      <c r="BH471" s="407">
        <f t="shared" si="1099"/>
        <v>45.75</v>
      </c>
      <c r="BI471" s="416">
        <f t="shared" si="1099"/>
        <v>45.75</v>
      </c>
      <c r="BJ471" s="407"/>
      <c r="BK471" s="407"/>
      <c r="BL471" s="407"/>
      <c r="BM471" s="407"/>
      <c r="BN471" s="409"/>
      <c r="BO471" s="407"/>
      <c r="BP471" s="407"/>
      <c r="BQ471" s="407"/>
      <c r="BR471" s="407"/>
      <c r="BS471" s="409"/>
      <c r="BT471" s="409"/>
      <c r="BU471" s="409"/>
      <c r="BV471" s="409"/>
      <c r="BW471" s="2"/>
    </row>
    <row r="472" spans="1:75" ht="15" hidden="1" customHeight="1" outlineLevel="1" x14ac:dyDescent="0.2">
      <c r="A472" s="102" t="s">
        <v>768</v>
      </c>
      <c r="B472" s="102"/>
      <c r="C472" s="103">
        <f t="shared" ref="C472:BI472" si="1100">IF(C430&gt;C471,(1-C471/C430)*C459,0)</f>
        <v>0</v>
      </c>
      <c r="D472" s="103">
        <f t="shared" si="1100"/>
        <v>2.513659506252004</v>
      </c>
      <c r="E472" s="103">
        <f t="shared" si="1100"/>
        <v>1.7563775127768315</v>
      </c>
      <c r="F472" s="103">
        <f t="shared" si="1100"/>
        <v>1.97872882910425</v>
      </c>
      <c r="G472" s="106">
        <f t="shared" si="1100"/>
        <v>2.4612877072913939</v>
      </c>
      <c r="H472" s="106">
        <f t="shared" si="1100"/>
        <v>2.5549047956532021</v>
      </c>
      <c r="I472" s="106">
        <f t="shared" si="1100"/>
        <v>2.4318430034129705</v>
      </c>
      <c r="J472" s="106">
        <f t="shared" si="1100"/>
        <v>2.4627873219079097</v>
      </c>
      <c r="K472" s="103">
        <f t="shared" si="1100"/>
        <v>2.4627873219079097</v>
      </c>
      <c r="L472" s="106">
        <f t="shared" si="1100"/>
        <v>2.2325173210161671</v>
      </c>
      <c r="M472" s="106">
        <f t="shared" si="1100"/>
        <v>2.075975872468764</v>
      </c>
      <c r="N472" s="106">
        <f t="shared" si="1100"/>
        <v>1.9370607049608362</v>
      </c>
      <c r="O472" s="106">
        <f t="shared" si="1100"/>
        <v>1.9415657041838545</v>
      </c>
      <c r="P472" s="103">
        <f t="shared" si="1100"/>
        <v>1.9415657041838545</v>
      </c>
      <c r="Q472" s="106">
        <f t="shared" si="1100"/>
        <v>1.7195213260561966</v>
      </c>
      <c r="R472" s="106">
        <f t="shared" si="1100"/>
        <v>1.6565479047443243</v>
      </c>
      <c r="S472" s="106">
        <f t="shared" si="1100"/>
        <v>1.3681773952095817</v>
      </c>
      <c r="T472" s="106">
        <f t="shared" si="1100"/>
        <v>1.0892108317214708</v>
      </c>
      <c r="U472" s="103">
        <f t="shared" si="1100"/>
        <v>1.0892108317214706</v>
      </c>
      <c r="V472" s="106">
        <f t="shared" si="1100"/>
        <v>0.9567517401392116</v>
      </c>
      <c r="W472" s="106">
        <f t="shared" si="1100"/>
        <v>0.74853587301587377</v>
      </c>
      <c r="X472" s="106">
        <f t="shared" si="1100"/>
        <v>0.80297806004618977</v>
      </c>
      <c r="Y472" s="106">
        <f t="shared" si="1100"/>
        <v>0.72577905811623311</v>
      </c>
      <c r="Z472" s="103">
        <f t="shared" si="1100"/>
        <v>0.72577905811623322</v>
      </c>
      <c r="AA472" s="106">
        <f t="shared" si="1100"/>
        <v>0.67710351377018108</v>
      </c>
      <c r="AB472" s="106">
        <f t="shared" si="1100"/>
        <v>0.30100419916016824</v>
      </c>
      <c r="AC472" s="106">
        <f t="shared" si="1100"/>
        <v>1.8485822306238183E-2</v>
      </c>
      <c r="AD472" s="106">
        <f t="shared" si="1100"/>
        <v>0.21428248235782507</v>
      </c>
      <c r="AE472" s="103">
        <f t="shared" si="1100"/>
        <v>0.21428248235782504</v>
      </c>
      <c r="AF472" s="106">
        <f t="shared" si="1100"/>
        <v>0.18579734569201611</v>
      </c>
      <c r="AG472" s="106">
        <f t="shared" si="1100"/>
        <v>0.38078228120516522</v>
      </c>
      <c r="AH472" s="106">
        <f t="shared" si="1100"/>
        <v>0.27307296627929156</v>
      </c>
      <c r="AI472" s="106">
        <f t="shared" si="1100"/>
        <v>0</v>
      </c>
      <c r="AJ472" s="103">
        <f t="shared" si="1100"/>
        <v>0</v>
      </c>
      <c r="AK472" s="106">
        <f t="shared" si="1100"/>
        <v>7.2720724428894976E-2</v>
      </c>
      <c r="AL472" s="106">
        <f t="shared" si="1100"/>
        <v>0</v>
      </c>
      <c r="AM472" s="106">
        <f t="shared" si="1100"/>
        <v>0</v>
      </c>
      <c r="AN472" s="106">
        <f t="shared" si="1100"/>
        <v>0</v>
      </c>
      <c r="AO472" s="103">
        <f t="shared" si="1100"/>
        <v>0</v>
      </c>
      <c r="AP472" s="106">
        <f t="shared" si="1100"/>
        <v>0</v>
      </c>
      <c r="AQ472" s="106">
        <f t="shared" si="1100"/>
        <v>0</v>
      </c>
      <c r="AR472" s="106">
        <f t="shared" si="1100"/>
        <v>0</v>
      </c>
      <c r="AS472" s="106">
        <f t="shared" si="1100"/>
        <v>0</v>
      </c>
      <c r="AT472" s="103">
        <f t="shared" si="1100"/>
        <v>0</v>
      </c>
      <c r="AU472" s="106">
        <f t="shared" si="1100"/>
        <v>0.37270195943623269</v>
      </c>
      <c r="AV472" s="106">
        <f t="shared" si="1100"/>
        <v>0.2341313868613141</v>
      </c>
      <c r="AW472" s="106">
        <f t="shared" si="1100"/>
        <v>0.12675391409072673</v>
      </c>
      <c r="AX472" s="106">
        <f t="shared" si="1100"/>
        <v>0</v>
      </c>
      <c r="AY472" s="103">
        <f t="shared" si="1100"/>
        <v>0</v>
      </c>
      <c r="AZ472" s="106">
        <f t="shared" si="1100"/>
        <v>0</v>
      </c>
      <c r="BA472" s="106">
        <f t="shared" si="1100"/>
        <v>0</v>
      </c>
      <c r="BB472" s="106">
        <f t="shared" si="1100"/>
        <v>0</v>
      </c>
      <c r="BC472" s="106">
        <f t="shared" si="1100"/>
        <v>0</v>
      </c>
      <c r="BD472" s="103">
        <f t="shared" si="1100"/>
        <v>0</v>
      </c>
      <c r="BE472" s="106">
        <f t="shared" si="1100"/>
        <v>0</v>
      </c>
      <c r="BF472" s="106">
        <f t="shared" si="1100"/>
        <v>0</v>
      </c>
      <c r="BG472" s="106">
        <f t="shared" si="1100"/>
        <v>0</v>
      </c>
      <c r="BH472" s="106">
        <f t="shared" si="1100"/>
        <v>0</v>
      </c>
      <c r="BI472" s="115">
        <f t="shared" si="1100"/>
        <v>0</v>
      </c>
      <c r="BJ472" s="106"/>
      <c r="BK472" s="106"/>
      <c r="BL472" s="106"/>
      <c r="BM472" s="106"/>
      <c r="BN472" s="103"/>
      <c r="BO472" s="106"/>
      <c r="BP472" s="106"/>
      <c r="BQ472" s="106"/>
      <c r="BR472" s="106"/>
      <c r="BS472" s="103"/>
      <c r="BT472" s="103"/>
      <c r="BU472" s="103"/>
      <c r="BV472" s="103"/>
      <c r="BW472" s="2"/>
    </row>
    <row r="473" spans="1:75" ht="15" hidden="1" customHeight="1" outlineLevel="1" x14ac:dyDescent="0.2">
      <c r="A473" s="397"/>
      <c r="B473" s="85"/>
      <c r="C473" s="399"/>
      <c r="D473" s="399"/>
      <c r="E473" s="399"/>
      <c r="F473" s="399"/>
      <c r="G473" s="400"/>
      <c r="H473" s="400"/>
      <c r="I473" s="400"/>
      <c r="J473" s="400"/>
      <c r="K473" s="399"/>
      <c r="L473" s="400"/>
      <c r="M473" s="400"/>
      <c r="N473" s="400"/>
      <c r="O473" s="400"/>
      <c r="P473" s="399"/>
      <c r="Q473" s="400"/>
      <c r="R473" s="400"/>
      <c r="S473" s="400"/>
      <c r="T473" s="400"/>
      <c r="U473" s="399"/>
      <c r="V473" s="400"/>
      <c r="W473" s="400"/>
      <c r="X473" s="400"/>
      <c r="Y473" s="400"/>
      <c r="Z473" s="399"/>
      <c r="AA473" s="400"/>
      <c r="AB473" s="400"/>
      <c r="AC473" s="400"/>
      <c r="AD473" s="400"/>
      <c r="AE473" s="399"/>
      <c r="AF473" s="400"/>
      <c r="AG473" s="400"/>
      <c r="AH473" s="400"/>
      <c r="AI473" s="400"/>
      <c r="AJ473" s="399"/>
      <c r="AK473" s="400"/>
      <c r="AL473" s="400"/>
      <c r="AM473" s="400"/>
      <c r="AN473" s="400"/>
      <c r="AO473" s="399"/>
      <c r="AP473" s="400"/>
      <c r="AQ473" s="400"/>
      <c r="AR473" s="400"/>
      <c r="AS473" s="400"/>
      <c r="AT473" s="399"/>
      <c r="AU473" s="400"/>
      <c r="AV473" s="400"/>
      <c r="AW473" s="400"/>
      <c r="AX473" s="400"/>
      <c r="AY473" s="399"/>
      <c r="AZ473" s="400"/>
      <c r="BA473" s="400"/>
      <c r="BB473" s="400"/>
      <c r="BC473" s="400"/>
      <c r="BD473" s="399"/>
      <c r="BE473" s="400"/>
      <c r="BF473" s="400"/>
      <c r="BG473" s="400"/>
      <c r="BH473" s="400"/>
      <c r="BI473" s="401"/>
      <c r="BJ473" s="400"/>
      <c r="BK473" s="400"/>
      <c r="BL473" s="400"/>
      <c r="BM473" s="400"/>
      <c r="BN473" s="399"/>
      <c r="BO473" s="400"/>
      <c r="BP473" s="400"/>
      <c r="BQ473" s="400"/>
      <c r="BR473" s="400"/>
      <c r="BS473" s="399"/>
      <c r="BT473" s="399"/>
      <c r="BU473" s="399"/>
      <c r="BV473" s="399"/>
      <c r="BW473" s="2"/>
    </row>
    <row r="474" spans="1:75" ht="15" hidden="1" customHeight="1" outlineLevel="1" x14ac:dyDescent="0.2">
      <c r="A474" s="108" t="s">
        <v>769</v>
      </c>
      <c r="B474" s="108"/>
      <c r="C474" s="316">
        <v>4.5490000000000004</v>
      </c>
      <c r="D474" s="316">
        <v>4.0970000000000004</v>
      </c>
      <c r="E474" s="316">
        <v>4.5620000000000003</v>
      </c>
      <c r="F474" s="316">
        <v>4.0570000000000004</v>
      </c>
      <c r="G474" s="317">
        <v>3.802</v>
      </c>
      <c r="H474" s="317">
        <v>2.9350000000000001</v>
      </c>
      <c r="I474" s="317">
        <v>2.6459999999999999</v>
      </c>
      <c r="J474" s="110">
        <f t="shared" ref="J474:J475" si="1101">K474</f>
        <v>2.4489999999999998</v>
      </c>
      <c r="K474" s="316">
        <v>2.4489999999999998</v>
      </c>
      <c r="L474" s="317">
        <v>2.7080000000000002</v>
      </c>
      <c r="M474" s="317">
        <v>2.649</v>
      </c>
      <c r="N474" s="317">
        <v>2.556</v>
      </c>
      <c r="O474" s="110">
        <f t="shared" ref="O474:O475" si="1102">P474</f>
        <v>2.1850000000000001</v>
      </c>
      <c r="P474" s="316">
        <v>2.1850000000000001</v>
      </c>
      <c r="Q474" s="317">
        <v>2.4340000000000002</v>
      </c>
      <c r="R474" s="317">
        <v>2.0609999999999999</v>
      </c>
      <c r="S474" s="317">
        <v>1.7789999999999999</v>
      </c>
      <c r="T474" s="110">
        <f t="shared" ref="T474:T475" si="1103">U474</f>
        <v>1.798</v>
      </c>
      <c r="U474" s="316">
        <v>1.798</v>
      </c>
      <c r="V474" s="317">
        <v>1.6719999999999999</v>
      </c>
      <c r="W474" s="317">
        <v>1.651</v>
      </c>
      <c r="X474" s="317">
        <v>1.51</v>
      </c>
      <c r="Y474" s="110">
        <f t="shared" ref="Y474:Y475" si="1104">Z474</f>
        <v>1.0640000000000001</v>
      </c>
      <c r="Z474" s="316">
        <v>1.0640000000000001</v>
      </c>
      <c r="AA474" s="317">
        <v>1.1879999999999999</v>
      </c>
      <c r="AB474" s="317">
        <v>1.0960000000000001</v>
      </c>
      <c r="AC474" s="317">
        <v>1.073</v>
      </c>
      <c r="AD474" s="110">
        <f t="shared" ref="AD474:AD475" si="1105">AE474</f>
        <v>1.036</v>
      </c>
      <c r="AE474" s="316">
        <v>1.036</v>
      </c>
      <c r="AF474" s="317">
        <v>1.2749999999999999</v>
      </c>
      <c r="AG474" s="317">
        <v>1.085</v>
      </c>
      <c r="AH474" s="317">
        <v>1.0509999999999999</v>
      </c>
      <c r="AI474" s="110">
        <f t="shared" ref="AI474:AI475" si="1106">AJ474</f>
        <v>1.01</v>
      </c>
      <c r="AJ474" s="316">
        <v>1.01</v>
      </c>
      <c r="AK474" s="317">
        <v>1.071</v>
      </c>
      <c r="AL474" s="317">
        <v>1.0549999999999999</v>
      </c>
      <c r="AM474" s="317">
        <v>1.028</v>
      </c>
      <c r="AN474" s="110">
        <f t="shared" ref="AN474:AN475" si="1107">AO474</f>
        <v>0.98599999999999999</v>
      </c>
      <c r="AO474" s="316">
        <v>0.98599999999999999</v>
      </c>
      <c r="AP474" s="317">
        <v>1.2390000000000001</v>
      </c>
      <c r="AQ474" s="317">
        <v>1.214</v>
      </c>
      <c r="AR474" s="317">
        <v>1.1879999999999999</v>
      </c>
      <c r="AS474" s="110">
        <f t="shared" ref="AS474:AS475" si="1108">AT474</f>
        <v>1.121</v>
      </c>
      <c r="AT474" s="316">
        <v>1.121</v>
      </c>
      <c r="AU474" s="317">
        <v>0.95299999999999996</v>
      </c>
      <c r="AV474" s="317">
        <v>0.86099999999999999</v>
      </c>
      <c r="AW474" s="317">
        <v>0.86399999999999999</v>
      </c>
      <c r="AX474" s="110">
        <f t="shared" ref="AX474:AX475" si="1109">AY474</f>
        <v>0.86399999999999999</v>
      </c>
      <c r="AY474" s="316">
        <v>0.86399999999999999</v>
      </c>
      <c r="AZ474" s="317">
        <v>1.1140000000000001</v>
      </c>
      <c r="BA474" s="317">
        <v>1.117</v>
      </c>
      <c r="BB474" s="317">
        <v>1.119</v>
      </c>
      <c r="BC474" s="110">
        <f t="shared" ref="BC474:BC475" si="1110">BD474</f>
        <v>1.119</v>
      </c>
      <c r="BD474" s="316">
        <v>1.119</v>
      </c>
      <c r="BE474" s="317">
        <v>1.1950000000000001</v>
      </c>
      <c r="BF474" s="317">
        <v>1.198</v>
      </c>
      <c r="BG474" s="317">
        <v>1.1990000000000001</v>
      </c>
      <c r="BH474" s="110">
        <f t="shared" ref="BH474:BH475" si="1111">BI474</f>
        <v>1.1990000000000001</v>
      </c>
      <c r="BI474" s="318">
        <v>1.1990000000000001</v>
      </c>
      <c r="BJ474" s="110"/>
      <c r="BK474" s="110"/>
      <c r="BL474" s="110"/>
      <c r="BM474" s="110"/>
      <c r="BN474" s="109"/>
      <c r="BO474" s="110"/>
      <c r="BP474" s="110"/>
      <c r="BQ474" s="110"/>
      <c r="BR474" s="110"/>
      <c r="BS474" s="109"/>
      <c r="BT474" s="109"/>
      <c r="BU474" s="109"/>
      <c r="BV474" s="109"/>
      <c r="BW474" s="2"/>
    </row>
    <row r="475" spans="1:75" ht="15" hidden="1" customHeight="1" outlineLevel="1" x14ac:dyDescent="0.2">
      <c r="A475" s="380" t="s">
        <v>770</v>
      </c>
      <c r="B475" s="108"/>
      <c r="C475" s="417">
        <v>25.45</v>
      </c>
      <c r="D475" s="417">
        <v>27.1</v>
      </c>
      <c r="E475" s="417">
        <v>27</v>
      </c>
      <c r="F475" s="417">
        <v>27.29</v>
      </c>
      <c r="G475" s="418">
        <v>26.86</v>
      </c>
      <c r="H475" s="418">
        <v>25.8</v>
      </c>
      <c r="I475" s="418">
        <v>24.97</v>
      </c>
      <c r="J475" s="382">
        <f t="shared" si="1101"/>
        <v>23.84</v>
      </c>
      <c r="K475" s="417">
        <v>23.84</v>
      </c>
      <c r="L475" s="418">
        <v>23.76</v>
      </c>
      <c r="M475" s="418">
        <v>23.74</v>
      </c>
      <c r="N475" s="418">
        <v>23.56</v>
      </c>
      <c r="O475" s="382">
        <f t="shared" si="1102"/>
        <v>23.36</v>
      </c>
      <c r="P475" s="417">
        <v>23.36</v>
      </c>
      <c r="Q475" s="418">
        <v>24.64</v>
      </c>
      <c r="R475" s="418">
        <v>24.4</v>
      </c>
      <c r="S475" s="418">
        <v>24.2</v>
      </c>
      <c r="T475" s="382">
        <f t="shared" si="1103"/>
        <v>23.91</v>
      </c>
      <c r="U475" s="417">
        <v>23.91</v>
      </c>
      <c r="V475" s="418">
        <v>27.65</v>
      </c>
      <c r="W475" s="418">
        <v>27.92</v>
      </c>
      <c r="X475" s="418">
        <v>28.59</v>
      </c>
      <c r="Y475" s="382">
        <f t="shared" si="1104"/>
        <v>31.69</v>
      </c>
      <c r="Z475" s="417">
        <v>31.69</v>
      </c>
      <c r="AA475" s="418">
        <v>34.799999999999997</v>
      </c>
      <c r="AB475" s="418">
        <v>35.61</v>
      </c>
      <c r="AC475" s="418">
        <v>35.909999999999997</v>
      </c>
      <c r="AD475" s="382">
        <f t="shared" si="1105"/>
        <v>36.31</v>
      </c>
      <c r="AE475" s="417">
        <v>36.31</v>
      </c>
      <c r="AF475" s="418">
        <v>38.659999999999997</v>
      </c>
      <c r="AG475" s="418">
        <v>40.119999999999997</v>
      </c>
      <c r="AH475" s="418">
        <v>40.479999999999997</v>
      </c>
      <c r="AI475" s="382">
        <f t="shared" si="1106"/>
        <v>40.89</v>
      </c>
      <c r="AJ475" s="417">
        <v>40.89</v>
      </c>
      <c r="AK475" s="418">
        <v>45.03</v>
      </c>
      <c r="AL475" s="418">
        <v>45.24</v>
      </c>
      <c r="AM475" s="418">
        <v>45.37</v>
      </c>
      <c r="AN475" s="382">
        <f t="shared" si="1107"/>
        <v>46.04</v>
      </c>
      <c r="AO475" s="417">
        <v>46.04</v>
      </c>
      <c r="AP475" s="418">
        <v>46.79</v>
      </c>
      <c r="AQ475" s="418">
        <v>46.77</v>
      </c>
      <c r="AR475" s="418">
        <v>46.74</v>
      </c>
      <c r="AS475" s="382">
        <f t="shared" si="1108"/>
        <v>46.77</v>
      </c>
      <c r="AT475" s="417">
        <v>46.77</v>
      </c>
      <c r="AU475" s="418">
        <v>48.8</v>
      </c>
      <c r="AV475" s="418">
        <v>48.98</v>
      </c>
      <c r="AW475" s="418">
        <v>48.97</v>
      </c>
      <c r="AX475" s="382">
        <f t="shared" si="1109"/>
        <v>48.97</v>
      </c>
      <c r="AY475" s="417">
        <v>48.97</v>
      </c>
      <c r="AZ475" s="418">
        <v>48.09</v>
      </c>
      <c r="BA475" s="418">
        <v>48.1</v>
      </c>
      <c r="BB475" s="418">
        <v>48.1</v>
      </c>
      <c r="BC475" s="382">
        <f t="shared" si="1110"/>
        <v>48.1</v>
      </c>
      <c r="BD475" s="417">
        <v>48.1</v>
      </c>
      <c r="BE475" s="418">
        <v>47.11</v>
      </c>
      <c r="BF475" s="418">
        <v>47.12</v>
      </c>
      <c r="BG475" s="418">
        <v>47.11</v>
      </c>
      <c r="BH475" s="382">
        <f t="shared" si="1111"/>
        <v>47.11</v>
      </c>
      <c r="BI475" s="419">
        <v>47.11</v>
      </c>
      <c r="BJ475" s="382"/>
      <c r="BK475" s="382"/>
      <c r="BL475" s="382"/>
      <c r="BM475" s="382"/>
      <c r="BN475" s="381"/>
      <c r="BO475" s="382"/>
      <c r="BP475" s="382"/>
      <c r="BQ475" s="382"/>
      <c r="BR475" s="382"/>
      <c r="BS475" s="381"/>
      <c r="BT475" s="381"/>
      <c r="BU475" s="381"/>
      <c r="BV475" s="381"/>
      <c r="BW475" s="2"/>
    </row>
    <row r="476" spans="1:75" ht="15" hidden="1" customHeight="1" outlineLevel="1" x14ac:dyDescent="0.2">
      <c r="A476" s="397"/>
      <c r="B476" s="85"/>
      <c r="C476" s="399"/>
      <c r="D476" s="399"/>
      <c r="E476" s="399"/>
      <c r="F476" s="399"/>
      <c r="G476" s="400"/>
      <c r="H476" s="400"/>
      <c r="I476" s="400"/>
      <c r="J476" s="400"/>
      <c r="K476" s="399"/>
      <c r="L476" s="400"/>
      <c r="M476" s="400"/>
      <c r="N476" s="400"/>
      <c r="O476" s="400"/>
      <c r="P476" s="399"/>
      <c r="Q476" s="400"/>
      <c r="R476" s="400"/>
      <c r="S476" s="400"/>
      <c r="T476" s="400"/>
      <c r="U476" s="399"/>
      <c r="V476" s="400"/>
      <c r="W476" s="400"/>
      <c r="X476" s="400"/>
      <c r="Y476" s="400"/>
      <c r="Z476" s="399"/>
      <c r="AA476" s="400"/>
      <c r="AB476" s="400"/>
      <c r="AC476" s="400"/>
      <c r="AD476" s="400"/>
      <c r="AE476" s="399"/>
      <c r="AF476" s="400"/>
      <c r="AG476" s="400"/>
      <c r="AH476" s="400"/>
      <c r="AI476" s="400"/>
      <c r="AJ476" s="399"/>
      <c r="AK476" s="400"/>
      <c r="AL476" s="400"/>
      <c r="AM476" s="400"/>
      <c r="AN476" s="400"/>
      <c r="AO476" s="399"/>
      <c r="AP476" s="400"/>
      <c r="AQ476" s="400"/>
      <c r="AR476" s="400"/>
      <c r="AS476" s="400"/>
      <c r="AT476" s="399"/>
      <c r="AU476" s="400"/>
      <c r="AV476" s="400"/>
      <c r="AW476" s="400"/>
      <c r="AX476" s="400"/>
      <c r="AY476" s="399"/>
      <c r="AZ476" s="400"/>
      <c r="BA476" s="400"/>
      <c r="BB476" s="400"/>
      <c r="BC476" s="400"/>
      <c r="BD476" s="399"/>
      <c r="BE476" s="400"/>
      <c r="BF476" s="400"/>
      <c r="BG476" s="400"/>
      <c r="BH476" s="400"/>
      <c r="BI476" s="401"/>
      <c r="BJ476" s="400"/>
      <c r="BK476" s="400"/>
      <c r="BL476" s="400"/>
      <c r="BM476" s="400"/>
      <c r="BN476" s="399"/>
      <c r="BO476" s="400"/>
      <c r="BP476" s="400"/>
      <c r="BQ476" s="400"/>
      <c r="BR476" s="400"/>
      <c r="BS476" s="399"/>
      <c r="BT476" s="399"/>
      <c r="BU476" s="399"/>
      <c r="BV476" s="399"/>
      <c r="BW476" s="2"/>
    </row>
    <row r="477" spans="1:75" ht="15" hidden="1" customHeight="1" outlineLevel="1" x14ac:dyDescent="0.2">
      <c r="A477" s="85" t="s">
        <v>771</v>
      </c>
      <c r="B477" s="85"/>
      <c r="C477" s="87">
        <v>0.623</v>
      </c>
      <c r="D477" s="87">
        <v>0.53700000000000003</v>
      </c>
      <c r="E477" s="87">
        <v>0.82599999999999996</v>
      </c>
      <c r="F477" s="87">
        <v>1.3160000000000001</v>
      </c>
      <c r="G477" s="88">
        <v>1.446</v>
      </c>
      <c r="H477" s="88">
        <v>1.478</v>
      </c>
      <c r="I477" s="88">
        <v>1.571</v>
      </c>
      <c r="J477" s="2">
        <f t="shared" ref="J477:J478" si="1112">K477</f>
        <v>1.6719999999999999</v>
      </c>
      <c r="K477" s="87">
        <v>1.6719999999999999</v>
      </c>
      <c r="L477" s="88">
        <v>1.77</v>
      </c>
      <c r="M477" s="88">
        <v>1.7569999999999999</v>
      </c>
      <c r="N477" s="88">
        <v>1.774</v>
      </c>
      <c r="O477" s="2">
        <f t="shared" ref="O477:O478" si="1113">P477</f>
        <v>1.8199999999999998</v>
      </c>
      <c r="P477" s="87">
        <v>1.8199999999999998</v>
      </c>
      <c r="Q477" s="88">
        <v>1.865</v>
      </c>
      <c r="R477" s="88">
        <v>1.8280000000000001</v>
      </c>
      <c r="S477" s="88">
        <v>1.887</v>
      </c>
      <c r="T477" s="2">
        <f t="shared" ref="T477:T478" si="1114">U477</f>
        <v>1.891</v>
      </c>
      <c r="U477" s="87">
        <v>1.891</v>
      </c>
      <c r="V477" s="88">
        <v>1.9159999999999999</v>
      </c>
      <c r="W477" s="88">
        <v>1.885</v>
      </c>
      <c r="X477" s="88">
        <v>1.907</v>
      </c>
      <c r="Y477" s="2">
        <f t="shared" ref="Y477:Y478" si="1115">Z477</f>
        <v>1.861</v>
      </c>
      <c r="Z477" s="87">
        <v>1.861</v>
      </c>
      <c r="AA477" s="88">
        <v>1.8340000000000001</v>
      </c>
      <c r="AB477" s="88">
        <v>1.778</v>
      </c>
      <c r="AC477" s="88">
        <v>1.762</v>
      </c>
      <c r="AD477" s="2">
        <f t="shared" ref="AD477:AD478" si="1116">AE477</f>
        <v>1.694</v>
      </c>
      <c r="AE477" s="87">
        <v>1.694</v>
      </c>
      <c r="AF477" s="88">
        <v>1.7529999999999999</v>
      </c>
      <c r="AG477" s="88">
        <v>1.716</v>
      </c>
      <c r="AH477" s="88">
        <v>1.6659999999999999</v>
      </c>
      <c r="AI477" s="2">
        <f t="shared" ref="AI477:AI478" si="1117">AJ477</f>
        <v>1.702</v>
      </c>
      <c r="AJ477" s="87">
        <v>1.702</v>
      </c>
      <c r="AK477" s="88">
        <v>1.798</v>
      </c>
      <c r="AL477" s="88">
        <v>1.8029999999999999</v>
      </c>
      <c r="AM477" s="88">
        <v>1.756</v>
      </c>
      <c r="AN477" s="2">
        <f t="shared" ref="AN477:AN478" si="1118">AO477</f>
        <v>1.764</v>
      </c>
      <c r="AO477" s="87">
        <v>1.764</v>
      </c>
      <c r="AP477" s="88">
        <v>2.0649999999999999</v>
      </c>
      <c r="AQ477" s="88">
        <v>1.9970000000000001</v>
      </c>
      <c r="AR477" s="88">
        <v>1.885</v>
      </c>
      <c r="AS477" s="2">
        <f t="shared" ref="AS477:AS478" si="1119">AT477</f>
        <v>2.008</v>
      </c>
      <c r="AT477" s="87">
        <v>2.008</v>
      </c>
      <c r="AU477" s="88">
        <v>2.1019999999999999</v>
      </c>
      <c r="AV477" s="88">
        <v>2.1120000000000001</v>
      </c>
      <c r="AW477" s="88">
        <v>2.1280000000000001</v>
      </c>
      <c r="AX477" s="2">
        <f t="shared" ref="AX477:AX478" si="1120">AY477</f>
        <v>2.1230000000000002</v>
      </c>
      <c r="AY477" s="87">
        <v>2.1230000000000002</v>
      </c>
      <c r="AZ477" s="88">
        <v>2.4729999999999999</v>
      </c>
      <c r="BA477" s="88">
        <v>2.3959999999999999</v>
      </c>
      <c r="BB477" s="88">
        <v>2.44</v>
      </c>
      <c r="BC477" s="2">
        <f t="shared" ref="BC477:BC478" si="1121">BD477</f>
        <v>2.512</v>
      </c>
      <c r="BD477" s="87">
        <v>2.512</v>
      </c>
      <c r="BE477" s="88">
        <v>2.786</v>
      </c>
      <c r="BF477" s="88">
        <v>2.8479999999999999</v>
      </c>
      <c r="BG477" s="88">
        <v>2.83</v>
      </c>
      <c r="BH477" s="2">
        <f t="shared" ref="BH477:BH478" si="1122">BI477</f>
        <v>2.8860000000000001</v>
      </c>
      <c r="BI477" s="89">
        <v>2.8860000000000001</v>
      </c>
      <c r="BJ477" s="2"/>
      <c r="BK477" s="2"/>
      <c r="BL477" s="2"/>
      <c r="BM477" s="2"/>
      <c r="BN477" s="86"/>
      <c r="BO477" s="2"/>
      <c r="BP477" s="2"/>
      <c r="BQ477" s="2"/>
      <c r="BR477" s="2"/>
      <c r="BS477" s="86"/>
      <c r="BT477" s="86"/>
      <c r="BU477" s="86"/>
      <c r="BV477" s="86"/>
      <c r="BW477" s="2"/>
    </row>
    <row r="478" spans="1:75" ht="15" hidden="1" customHeight="1" outlineLevel="1" x14ac:dyDescent="0.2">
      <c r="A478" s="397" t="s">
        <v>772</v>
      </c>
      <c r="B478" s="85"/>
      <c r="C478" s="398">
        <v>16.32</v>
      </c>
      <c r="D478" s="398">
        <v>14.72</v>
      </c>
      <c r="E478" s="398">
        <v>20.399999999999999</v>
      </c>
      <c r="F478" s="398">
        <v>26.91</v>
      </c>
      <c r="G478" s="402">
        <v>30.37</v>
      </c>
      <c r="H478" s="402">
        <v>30.77</v>
      </c>
      <c r="I478" s="402">
        <v>31.75</v>
      </c>
      <c r="J478" s="400">
        <f t="shared" si="1112"/>
        <v>32.81</v>
      </c>
      <c r="K478" s="398">
        <v>32.81</v>
      </c>
      <c r="L478" s="402">
        <v>36.200000000000003</v>
      </c>
      <c r="M478" s="402">
        <v>36.299999999999997</v>
      </c>
      <c r="N478" s="402">
        <v>36.630000000000003</v>
      </c>
      <c r="O478" s="400">
        <f t="shared" si="1113"/>
        <v>37.119999999999997</v>
      </c>
      <c r="P478" s="398">
        <v>37.119999999999997</v>
      </c>
      <c r="Q478" s="402">
        <v>40.14</v>
      </c>
      <c r="R478" s="402">
        <v>40.340000000000003</v>
      </c>
      <c r="S478" s="402">
        <v>41.07</v>
      </c>
      <c r="T478" s="400">
        <f t="shared" si="1114"/>
        <v>41.31</v>
      </c>
      <c r="U478" s="398">
        <v>41.31</v>
      </c>
      <c r="V478" s="402">
        <v>43.66</v>
      </c>
      <c r="W478" s="402">
        <v>43.7</v>
      </c>
      <c r="X478" s="402">
        <v>44.25</v>
      </c>
      <c r="Y478" s="400">
        <f t="shared" si="1115"/>
        <v>45.11</v>
      </c>
      <c r="Z478" s="398">
        <v>45.11</v>
      </c>
      <c r="AA478" s="402">
        <v>48.2</v>
      </c>
      <c r="AB478" s="402">
        <v>49.05</v>
      </c>
      <c r="AC478" s="402">
        <v>49.12</v>
      </c>
      <c r="AD478" s="400">
        <f t="shared" si="1116"/>
        <v>46.38</v>
      </c>
      <c r="AE478" s="398">
        <v>46.38</v>
      </c>
      <c r="AF478" s="402">
        <v>47.11</v>
      </c>
      <c r="AG478" s="402">
        <v>47.36</v>
      </c>
      <c r="AH478" s="402">
        <v>47.79</v>
      </c>
      <c r="AI478" s="400">
        <f t="shared" si="1117"/>
        <v>48.08</v>
      </c>
      <c r="AJ478" s="398">
        <v>48.08</v>
      </c>
      <c r="AK478" s="402">
        <v>47.91</v>
      </c>
      <c r="AL478" s="402">
        <v>47.89</v>
      </c>
      <c r="AM478" s="402">
        <v>48.01</v>
      </c>
      <c r="AN478" s="400">
        <f t="shared" si="1118"/>
        <v>47.76</v>
      </c>
      <c r="AO478" s="398">
        <v>47.76</v>
      </c>
      <c r="AP478" s="402">
        <v>44.96</v>
      </c>
      <c r="AQ478" s="402">
        <v>44.87</v>
      </c>
      <c r="AR478" s="402">
        <v>44.79</v>
      </c>
      <c r="AS478" s="400">
        <f t="shared" si="1119"/>
        <v>43.7</v>
      </c>
      <c r="AT478" s="398">
        <v>43.7</v>
      </c>
      <c r="AU478" s="402">
        <v>44.08</v>
      </c>
      <c r="AV478" s="402">
        <v>44.69</v>
      </c>
      <c r="AW478" s="402">
        <v>45.08</v>
      </c>
      <c r="AX478" s="400">
        <f t="shared" si="1120"/>
        <v>44.82</v>
      </c>
      <c r="AY478" s="398">
        <v>44.82</v>
      </c>
      <c r="AZ478" s="402">
        <v>43.13</v>
      </c>
      <c r="BA478" s="402">
        <v>43.07</v>
      </c>
      <c r="BB478" s="402">
        <v>42.47</v>
      </c>
      <c r="BC478" s="400">
        <f t="shared" si="1121"/>
        <v>41.93</v>
      </c>
      <c r="BD478" s="398">
        <v>41.93</v>
      </c>
      <c r="BE478" s="402">
        <v>41.38</v>
      </c>
      <c r="BF478" s="402">
        <v>41.05</v>
      </c>
      <c r="BG478" s="402">
        <v>40.81</v>
      </c>
      <c r="BH478" s="400">
        <f t="shared" si="1122"/>
        <v>40.28</v>
      </c>
      <c r="BI478" s="403">
        <v>40.28</v>
      </c>
      <c r="BJ478" s="400"/>
      <c r="BK478" s="400"/>
      <c r="BL478" s="400"/>
      <c r="BM478" s="400"/>
      <c r="BN478" s="399"/>
      <c r="BO478" s="400"/>
      <c r="BP478" s="400"/>
      <c r="BQ478" s="400"/>
      <c r="BR478" s="400"/>
      <c r="BS478" s="399"/>
      <c r="BT478" s="399"/>
      <c r="BU478" s="399"/>
      <c r="BV478" s="399"/>
      <c r="BW478" s="2"/>
    </row>
    <row r="479" spans="1:75" ht="15" hidden="1" customHeight="1" outlineLevel="2" x14ac:dyDescent="0.2">
      <c r="A479" s="397"/>
      <c r="B479" s="85"/>
      <c r="C479" s="399"/>
      <c r="D479" s="399"/>
      <c r="E479" s="399"/>
      <c r="F479" s="399"/>
      <c r="G479" s="400"/>
      <c r="H479" s="400"/>
      <c r="I479" s="400"/>
      <c r="J479" s="400"/>
      <c r="K479" s="399"/>
      <c r="L479" s="400"/>
      <c r="M479" s="400"/>
      <c r="N479" s="400"/>
      <c r="O479" s="400"/>
      <c r="P479" s="399"/>
      <c r="Q479" s="400"/>
      <c r="R479" s="400"/>
      <c r="S479" s="400"/>
      <c r="T479" s="400"/>
      <c r="U479" s="399"/>
      <c r="V479" s="400"/>
      <c r="W479" s="400"/>
      <c r="X479" s="400"/>
      <c r="Y479" s="400"/>
      <c r="Z479" s="399"/>
      <c r="AA479" s="400"/>
      <c r="AB479" s="400"/>
      <c r="AC479" s="400"/>
      <c r="AD479" s="400"/>
      <c r="AE479" s="399"/>
      <c r="AF479" s="400"/>
      <c r="AG479" s="400"/>
      <c r="AH479" s="400"/>
      <c r="AI479" s="400"/>
      <c r="AJ479" s="399"/>
      <c r="AK479" s="400"/>
      <c r="AL479" s="400"/>
      <c r="AM479" s="400"/>
      <c r="AN479" s="400"/>
      <c r="AO479" s="399"/>
      <c r="AP479" s="400"/>
      <c r="AQ479" s="400"/>
      <c r="AR479" s="400"/>
      <c r="AS479" s="400"/>
      <c r="AT479" s="399"/>
      <c r="AU479" s="400"/>
      <c r="AV479" s="400"/>
      <c r="AW479" s="400"/>
      <c r="AX479" s="400"/>
      <c r="AY479" s="399"/>
      <c r="AZ479" s="400"/>
      <c r="BA479" s="400"/>
      <c r="BB479" s="400"/>
      <c r="BC479" s="400"/>
      <c r="BD479" s="399"/>
      <c r="BE479" s="400"/>
      <c r="BF479" s="400"/>
      <c r="BG479" s="400"/>
      <c r="BH479" s="400"/>
      <c r="BI479" s="401"/>
      <c r="BJ479" s="400"/>
      <c r="BK479" s="400"/>
      <c r="BL479" s="400"/>
      <c r="BM479" s="400"/>
      <c r="BN479" s="399"/>
      <c r="BO479" s="400"/>
      <c r="BP479" s="400"/>
      <c r="BQ479" s="400"/>
      <c r="BR479" s="400"/>
      <c r="BS479" s="399"/>
      <c r="BT479" s="399"/>
      <c r="BU479" s="399"/>
      <c r="BV479" s="399"/>
      <c r="BW479" s="2"/>
    </row>
    <row r="480" spans="1:75" ht="15" hidden="1" customHeight="1" outlineLevel="2" x14ac:dyDescent="0.2">
      <c r="A480" s="85" t="s">
        <v>773</v>
      </c>
      <c r="B480" s="85"/>
      <c r="C480" s="86"/>
      <c r="D480" s="86"/>
      <c r="E480" s="86"/>
      <c r="F480" s="86"/>
      <c r="G480" s="2"/>
      <c r="H480" s="2"/>
      <c r="I480" s="2"/>
      <c r="J480" s="2">
        <f t="shared" ref="J480:J481" si="1123">K480</f>
        <v>0</v>
      </c>
      <c r="K480" s="86"/>
      <c r="L480" s="2"/>
      <c r="M480" s="2"/>
      <c r="N480" s="2"/>
      <c r="O480" s="2">
        <f t="shared" ref="O480:O481" si="1124">P480</f>
        <v>0</v>
      </c>
      <c r="P480" s="86"/>
      <c r="Q480" s="2"/>
      <c r="R480" s="2"/>
      <c r="S480" s="2"/>
      <c r="T480" s="2">
        <f t="shared" ref="T480:T481" si="1125">U480</f>
        <v>0</v>
      </c>
      <c r="U480" s="86"/>
      <c r="V480" s="2"/>
      <c r="W480" s="2"/>
      <c r="X480" s="2"/>
      <c r="Y480" s="2">
        <f t="shared" ref="Y480:Y481" si="1126">Z480</f>
        <v>0</v>
      </c>
      <c r="Z480" s="86"/>
      <c r="AA480" s="2"/>
      <c r="AB480" s="2"/>
      <c r="AC480" s="2"/>
      <c r="AD480" s="2">
        <f t="shared" ref="AD480:AD481" si="1127">AE480</f>
        <v>0</v>
      </c>
      <c r="AE480" s="86"/>
      <c r="AF480" s="2"/>
      <c r="AG480" s="2"/>
      <c r="AH480" s="2"/>
      <c r="AI480" s="2">
        <f t="shared" ref="AI480:AI481" si="1128">AJ480</f>
        <v>0</v>
      </c>
      <c r="AJ480" s="86"/>
      <c r="AK480" s="2"/>
      <c r="AL480" s="2"/>
      <c r="AM480" s="2"/>
      <c r="AN480" s="2">
        <f t="shared" ref="AN480:AN481" si="1129">AO480</f>
        <v>0</v>
      </c>
      <c r="AO480" s="86"/>
      <c r="AP480" s="2"/>
      <c r="AQ480" s="2"/>
      <c r="AR480" s="2"/>
      <c r="AS480" s="2">
        <f t="shared" ref="AS480:AS481" si="1130">AT480</f>
        <v>0</v>
      </c>
      <c r="AT480" s="86"/>
      <c r="AU480" s="2"/>
      <c r="AV480" s="2"/>
      <c r="AW480" s="2"/>
      <c r="AX480" s="2">
        <f t="shared" ref="AX480:AX481" si="1131">AY480</f>
        <v>0</v>
      </c>
      <c r="AY480" s="86"/>
      <c r="AZ480" s="2"/>
      <c r="BA480" s="2"/>
      <c r="BB480" s="2"/>
      <c r="BC480" s="2">
        <f t="shared" ref="BC480:BC481" si="1132">BD480</f>
        <v>0</v>
      </c>
      <c r="BD480" s="86"/>
      <c r="BE480" s="2"/>
      <c r="BF480" s="2"/>
      <c r="BG480" s="2"/>
      <c r="BH480" s="2">
        <f t="shared" ref="BH480:BH481" si="1133">BI480</f>
        <v>0</v>
      </c>
      <c r="BI480" s="90"/>
      <c r="BJ480" s="2"/>
      <c r="BK480" s="2"/>
      <c r="BL480" s="2"/>
      <c r="BM480" s="2"/>
      <c r="BN480" s="86"/>
      <c r="BO480" s="2"/>
      <c r="BP480" s="2"/>
      <c r="BQ480" s="2"/>
      <c r="BR480" s="2"/>
      <c r="BS480" s="86"/>
      <c r="BT480" s="86"/>
      <c r="BU480" s="86"/>
      <c r="BV480" s="86"/>
      <c r="BW480" s="2"/>
    </row>
    <row r="481" spans="1:75" ht="15" hidden="1" customHeight="1" outlineLevel="2" x14ac:dyDescent="0.2">
      <c r="A481" s="85" t="s">
        <v>774</v>
      </c>
      <c r="B481" s="85"/>
      <c r="C481" s="86"/>
      <c r="D481" s="86"/>
      <c r="E481" s="86"/>
      <c r="F481" s="86"/>
      <c r="G481" s="2"/>
      <c r="H481" s="2"/>
      <c r="I481" s="2"/>
      <c r="J481" s="2">
        <f t="shared" si="1123"/>
        <v>0</v>
      </c>
      <c r="K481" s="86"/>
      <c r="L481" s="2"/>
      <c r="M481" s="2"/>
      <c r="N481" s="2"/>
      <c r="O481" s="2">
        <f t="shared" si="1124"/>
        <v>0</v>
      </c>
      <c r="P481" s="86"/>
      <c r="Q481" s="2"/>
      <c r="R481" s="2"/>
      <c r="S481" s="2"/>
      <c r="T481" s="2">
        <f t="shared" si="1125"/>
        <v>0</v>
      </c>
      <c r="U481" s="86"/>
      <c r="V481" s="2"/>
      <c r="W481" s="2"/>
      <c r="X481" s="2"/>
      <c r="Y481" s="2">
        <f t="shared" si="1126"/>
        <v>0</v>
      </c>
      <c r="Z481" s="86"/>
      <c r="AA481" s="2"/>
      <c r="AB481" s="2"/>
      <c r="AC481" s="2"/>
      <c r="AD481" s="2">
        <f t="shared" si="1127"/>
        <v>0</v>
      </c>
      <c r="AE481" s="86"/>
      <c r="AF481" s="2"/>
      <c r="AG481" s="2"/>
      <c r="AH481" s="2"/>
      <c r="AI481" s="2">
        <f t="shared" si="1128"/>
        <v>0</v>
      </c>
      <c r="AJ481" s="86"/>
      <c r="AK481" s="2"/>
      <c r="AL481" s="2"/>
      <c r="AM481" s="2"/>
      <c r="AN481" s="2">
        <f t="shared" si="1129"/>
        <v>0</v>
      </c>
      <c r="AO481" s="86"/>
      <c r="AP481" s="2"/>
      <c r="AQ481" s="2"/>
      <c r="AR481" s="2"/>
      <c r="AS481" s="2">
        <f t="shared" si="1130"/>
        <v>0</v>
      </c>
      <c r="AT481" s="86"/>
      <c r="AU481" s="2"/>
      <c r="AV481" s="2"/>
      <c r="AW481" s="2"/>
      <c r="AX481" s="2">
        <f t="shared" si="1131"/>
        <v>0</v>
      </c>
      <c r="AY481" s="86"/>
      <c r="AZ481" s="2"/>
      <c r="BA481" s="2"/>
      <c r="BB481" s="2"/>
      <c r="BC481" s="2">
        <f t="shared" si="1132"/>
        <v>0</v>
      </c>
      <c r="BD481" s="86"/>
      <c r="BE481" s="2"/>
      <c r="BF481" s="2"/>
      <c r="BG481" s="2"/>
      <c r="BH481" s="2">
        <f t="shared" si="1133"/>
        <v>0</v>
      </c>
      <c r="BI481" s="90"/>
      <c r="BJ481" s="2"/>
      <c r="BK481" s="2"/>
      <c r="BL481" s="2"/>
      <c r="BM481" s="2"/>
      <c r="BN481" s="86"/>
      <c r="BO481" s="2"/>
      <c r="BP481" s="2"/>
      <c r="BQ481" s="2"/>
      <c r="BR481" s="2"/>
      <c r="BS481" s="86"/>
      <c r="BT481" s="86"/>
      <c r="BU481" s="86"/>
      <c r="BV481" s="86"/>
      <c r="BW481" s="2"/>
    </row>
    <row r="482" spans="1:75" ht="15" hidden="1" customHeight="1" outlineLevel="1" x14ac:dyDescent="0.2">
      <c r="A482" s="397"/>
      <c r="B482" s="85"/>
      <c r="C482" s="399"/>
      <c r="D482" s="399"/>
      <c r="E482" s="399"/>
      <c r="F482" s="399"/>
      <c r="G482" s="400"/>
      <c r="H482" s="400"/>
      <c r="I482" s="400"/>
      <c r="J482" s="400"/>
      <c r="K482" s="399"/>
      <c r="L482" s="400"/>
      <c r="M482" s="400"/>
      <c r="N482" s="400"/>
      <c r="O482" s="400"/>
      <c r="P482" s="399"/>
      <c r="Q482" s="400"/>
      <c r="R482" s="400"/>
      <c r="S482" s="400"/>
      <c r="T482" s="400"/>
      <c r="U482" s="399"/>
      <c r="V482" s="400"/>
      <c r="W482" s="400"/>
      <c r="X482" s="400"/>
      <c r="Y482" s="400"/>
      <c r="Z482" s="399"/>
      <c r="AA482" s="400"/>
      <c r="AB482" s="400"/>
      <c r="AC482" s="400"/>
      <c r="AD482" s="400"/>
      <c r="AE482" s="399"/>
      <c r="AF482" s="400"/>
      <c r="AG482" s="400"/>
      <c r="AH482" s="400"/>
      <c r="AI482" s="400"/>
      <c r="AJ482" s="399"/>
      <c r="AK482" s="400"/>
      <c r="AL482" s="400"/>
      <c r="AM482" s="400"/>
      <c r="AN482" s="400"/>
      <c r="AO482" s="399"/>
      <c r="AP482" s="400"/>
      <c r="AQ482" s="400"/>
      <c r="AR482" s="400"/>
      <c r="AS482" s="400"/>
      <c r="AT482" s="399"/>
      <c r="AU482" s="400"/>
      <c r="AV482" s="400"/>
      <c r="AW482" s="400"/>
      <c r="AX482" s="400"/>
      <c r="AY482" s="399"/>
      <c r="AZ482" s="400"/>
      <c r="BA482" s="400"/>
      <c r="BB482" s="400"/>
      <c r="BC482" s="400"/>
      <c r="BD482" s="399"/>
      <c r="BE482" s="400"/>
      <c r="BF482" s="400"/>
      <c r="BG482" s="400"/>
      <c r="BH482" s="400"/>
      <c r="BI482" s="401"/>
      <c r="BJ482" s="400"/>
      <c r="BK482" s="400"/>
      <c r="BL482" s="400"/>
      <c r="BM482" s="400"/>
      <c r="BN482" s="399"/>
      <c r="BO482" s="400"/>
      <c r="BP482" s="400"/>
      <c r="BQ482" s="400"/>
      <c r="BR482" s="400"/>
      <c r="BS482" s="399"/>
      <c r="BT482" s="399"/>
      <c r="BU482" s="399"/>
      <c r="BV482" s="399"/>
      <c r="BW482" s="2"/>
    </row>
    <row r="483" spans="1:75" ht="15" hidden="1" customHeight="1" outlineLevel="1" x14ac:dyDescent="0.2">
      <c r="A483" s="102" t="s">
        <v>775</v>
      </c>
      <c r="B483" s="102"/>
      <c r="C483" s="103">
        <f t="shared" ref="C483:BI483" si="1134">SUM(C472,C477,C480,C481)</f>
        <v>0.623</v>
      </c>
      <c r="D483" s="103">
        <f t="shared" si="1134"/>
        <v>3.0506595062520039</v>
      </c>
      <c r="E483" s="103">
        <f t="shared" si="1134"/>
        <v>2.5823775127768314</v>
      </c>
      <c r="F483" s="103">
        <f t="shared" si="1134"/>
        <v>3.2947288291042502</v>
      </c>
      <c r="G483" s="106">
        <f t="shared" si="1134"/>
        <v>3.9072877072913936</v>
      </c>
      <c r="H483" s="106">
        <f t="shared" si="1134"/>
        <v>4.0329047956532023</v>
      </c>
      <c r="I483" s="106">
        <f t="shared" si="1134"/>
        <v>4.0028430034129707</v>
      </c>
      <c r="J483" s="106">
        <f t="shared" si="1134"/>
        <v>4.1347873219079094</v>
      </c>
      <c r="K483" s="103">
        <f t="shared" si="1134"/>
        <v>4.1347873219079094</v>
      </c>
      <c r="L483" s="106">
        <f t="shared" si="1134"/>
        <v>4.0025173210161675</v>
      </c>
      <c r="M483" s="106">
        <f t="shared" si="1134"/>
        <v>3.8329758724687641</v>
      </c>
      <c r="N483" s="106">
        <f t="shared" si="1134"/>
        <v>3.7110607049608362</v>
      </c>
      <c r="O483" s="106">
        <f t="shared" si="1134"/>
        <v>3.7615657041838544</v>
      </c>
      <c r="P483" s="103">
        <f t="shared" si="1134"/>
        <v>3.7615657041838544</v>
      </c>
      <c r="Q483" s="106">
        <f t="shared" si="1134"/>
        <v>3.5845213260561968</v>
      </c>
      <c r="R483" s="106">
        <f t="shared" si="1134"/>
        <v>3.4845479047443244</v>
      </c>
      <c r="S483" s="106">
        <f t="shared" si="1134"/>
        <v>3.2551773952095817</v>
      </c>
      <c r="T483" s="106">
        <f t="shared" si="1134"/>
        <v>2.9802108317214708</v>
      </c>
      <c r="U483" s="103">
        <f t="shared" si="1134"/>
        <v>2.9802108317214708</v>
      </c>
      <c r="V483" s="106">
        <f t="shared" si="1134"/>
        <v>2.8727517401392113</v>
      </c>
      <c r="W483" s="106">
        <f t="shared" si="1134"/>
        <v>2.633535873015874</v>
      </c>
      <c r="X483" s="106">
        <f t="shared" si="1134"/>
        <v>2.7099780600461898</v>
      </c>
      <c r="Y483" s="106">
        <f t="shared" si="1134"/>
        <v>2.5867790581162331</v>
      </c>
      <c r="Z483" s="103">
        <f t="shared" si="1134"/>
        <v>2.5867790581162331</v>
      </c>
      <c r="AA483" s="106">
        <f t="shared" si="1134"/>
        <v>2.5111035137701814</v>
      </c>
      <c r="AB483" s="106">
        <f t="shared" si="1134"/>
        <v>2.0790041991601682</v>
      </c>
      <c r="AC483" s="106">
        <f t="shared" si="1134"/>
        <v>1.7804858223062381</v>
      </c>
      <c r="AD483" s="106">
        <f t="shared" si="1134"/>
        <v>1.908282482357825</v>
      </c>
      <c r="AE483" s="103">
        <f t="shared" si="1134"/>
        <v>1.908282482357825</v>
      </c>
      <c r="AF483" s="106">
        <f t="shared" si="1134"/>
        <v>1.938797345692016</v>
      </c>
      <c r="AG483" s="106">
        <f t="shared" si="1134"/>
        <v>2.0967822812051651</v>
      </c>
      <c r="AH483" s="106">
        <f t="shared" si="1134"/>
        <v>1.9390729662792916</v>
      </c>
      <c r="AI483" s="106">
        <f t="shared" si="1134"/>
        <v>1.702</v>
      </c>
      <c r="AJ483" s="103">
        <f t="shared" si="1134"/>
        <v>1.702</v>
      </c>
      <c r="AK483" s="106">
        <f t="shared" si="1134"/>
        <v>1.870720724428895</v>
      </c>
      <c r="AL483" s="106">
        <f t="shared" si="1134"/>
        <v>1.8029999999999999</v>
      </c>
      <c r="AM483" s="106">
        <f t="shared" si="1134"/>
        <v>1.756</v>
      </c>
      <c r="AN483" s="106">
        <f t="shared" si="1134"/>
        <v>1.764</v>
      </c>
      <c r="AO483" s="103">
        <f t="shared" si="1134"/>
        <v>1.764</v>
      </c>
      <c r="AP483" s="106">
        <f t="shared" si="1134"/>
        <v>2.0649999999999999</v>
      </c>
      <c r="AQ483" s="106">
        <f t="shared" si="1134"/>
        <v>1.9970000000000001</v>
      </c>
      <c r="AR483" s="106">
        <f t="shared" si="1134"/>
        <v>1.885</v>
      </c>
      <c r="AS483" s="106">
        <f t="shared" si="1134"/>
        <v>2.008</v>
      </c>
      <c r="AT483" s="103">
        <f t="shared" si="1134"/>
        <v>2.008</v>
      </c>
      <c r="AU483" s="106">
        <f t="shared" si="1134"/>
        <v>2.4747019594362327</v>
      </c>
      <c r="AV483" s="106">
        <f t="shared" si="1134"/>
        <v>2.3461313868613143</v>
      </c>
      <c r="AW483" s="106">
        <f t="shared" si="1134"/>
        <v>2.2547539140907267</v>
      </c>
      <c r="AX483" s="106">
        <f t="shared" si="1134"/>
        <v>2.1230000000000002</v>
      </c>
      <c r="AY483" s="103">
        <f t="shared" si="1134"/>
        <v>2.1230000000000002</v>
      </c>
      <c r="AZ483" s="106">
        <f t="shared" si="1134"/>
        <v>2.4729999999999999</v>
      </c>
      <c r="BA483" s="106">
        <f t="shared" si="1134"/>
        <v>2.3959999999999999</v>
      </c>
      <c r="BB483" s="106">
        <f t="shared" si="1134"/>
        <v>2.44</v>
      </c>
      <c r="BC483" s="106">
        <f t="shared" si="1134"/>
        <v>2.512</v>
      </c>
      <c r="BD483" s="103">
        <f t="shared" si="1134"/>
        <v>2.512</v>
      </c>
      <c r="BE483" s="106">
        <f t="shared" si="1134"/>
        <v>2.786</v>
      </c>
      <c r="BF483" s="106">
        <f t="shared" si="1134"/>
        <v>2.8479999999999999</v>
      </c>
      <c r="BG483" s="106">
        <f t="shared" si="1134"/>
        <v>2.83</v>
      </c>
      <c r="BH483" s="106">
        <f t="shared" si="1134"/>
        <v>2.8860000000000001</v>
      </c>
      <c r="BI483" s="115">
        <f t="shared" si="1134"/>
        <v>2.8860000000000001</v>
      </c>
      <c r="BJ483" s="106"/>
      <c r="BK483" s="106"/>
      <c r="BL483" s="106"/>
      <c r="BM483" s="106"/>
      <c r="BN483" s="103"/>
      <c r="BO483" s="106"/>
      <c r="BP483" s="106"/>
      <c r="BQ483" s="106"/>
      <c r="BR483" s="106"/>
      <c r="BS483" s="103"/>
      <c r="BT483" s="103"/>
      <c r="BU483" s="103"/>
      <c r="BV483" s="103"/>
      <c r="BW483" s="2"/>
    </row>
    <row r="484" spans="1:75" ht="8.25" hidden="1" customHeight="1" outlineLevel="1" x14ac:dyDescent="0.2">
      <c r="A484" s="397"/>
      <c r="B484" s="85"/>
      <c r="C484" s="399"/>
      <c r="D484" s="399"/>
      <c r="E484" s="399"/>
      <c r="F484" s="399"/>
      <c r="G484" s="400"/>
      <c r="H484" s="400"/>
      <c r="I484" s="400"/>
      <c r="J484" s="400"/>
      <c r="K484" s="399"/>
      <c r="L484" s="400"/>
      <c r="M484" s="400"/>
      <c r="N484" s="400"/>
      <c r="O484" s="400"/>
      <c r="P484" s="399"/>
      <c r="Q484" s="400"/>
      <c r="R484" s="400"/>
      <c r="S484" s="400"/>
      <c r="T484" s="400"/>
      <c r="U484" s="399"/>
      <c r="V484" s="400"/>
      <c r="W484" s="400"/>
      <c r="X484" s="400"/>
      <c r="Y484" s="400"/>
      <c r="Z484" s="399"/>
      <c r="AA484" s="400"/>
      <c r="AB484" s="400"/>
      <c r="AC484" s="400"/>
      <c r="AD484" s="400"/>
      <c r="AE484" s="399"/>
      <c r="AF484" s="400"/>
      <c r="AG484" s="400"/>
      <c r="AH484" s="400"/>
      <c r="AI484" s="400"/>
      <c r="AJ484" s="399"/>
      <c r="AK484" s="400"/>
      <c r="AL484" s="400"/>
      <c r="AM484" s="400"/>
      <c r="AN484" s="400"/>
      <c r="AO484" s="399"/>
      <c r="AP484" s="400"/>
      <c r="AQ484" s="400"/>
      <c r="AR484" s="400"/>
      <c r="AS484" s="400"/>
      <c r="AT484" s="399"/>
      <c r="AU484" s="400"/>
      <c r="AV484" s="400"/>
      <c r="AW484" s="400"/>
      <c r="AX484" s="400"/>
      <c r="AY484" s="399"/>
      <c r="AZ484" s="400"/>
      <c r="BA484" s="400"/>
      <c r="BB484" s="400"/>
      <c r="BC484" s="400"/>
      <c r="BD484" s="399"/>
      <c r="BE484" s="400"/>
      <c r="BF484" s="400"/>
      <c r="BG484" s="400"/>
      <c r="BH484" s="400"/>
      <c r="BI484" s="401"/>
      <c r="BJ484" s="400"/>
      <c r="BK484" s="400"/>
      <c r="BL484" s="400"/>
      <c r="BM484" s="400"/>
      <c r="BN484" s="399"/>
      <c r="BO484" s="400"/>
      <c r="BP484" s="400"/>
      <c r="BQ484" s="400"/>
      <c r="BR484" s="400"/>
      <c r="BS484" s="399"/>
      <c r="BT484" s="399"/>
      <c r="BU484" s="399"/>
      <c r="BV484" s="399"/>
      <c r="BW484" s="2"/>
    </row>
    <row r="485" spans="1:75" ht="15" hidden="1" customHeight="1" outlineLevel="1" x14ac:dyDescent="0.2">
      <c r="A485" s="108" t="s">
        <v>776</v>
      </c>
      <c r="B485" s="108"/>
      <c r="C485" s="109">
        <f t="shared" ref="C485:BI485" si="1135">C436+C483</f>
        <v>60.277013000000004</v>
      </c>
      <c r="D485" s="109">
        <f t="shared" si="1135"/>
        <v>62.22165650625201</v>
      </c>
      <c r="E485" s="109">
        <f t="shared" si="1135"/>
        <v>56.423562512776833</v>
      </c>
      <c r="F485" s="109">
        <f t="shared" si="1135"/>
        <v>55.376528829104245</v>
      </c>
      <c r="G485" s="110">
        <f t="shared" si="1135"/>
        <v>55.447306707291403</v>
      </c>
      <c r="H485" s="110">
        <f t="shared" si="1135"/>
        <v>56.471468795653202</v>
      </c>
      <c r="I485" s="110">
        <f t="shared" si="1135"/>
        <v>54.786635003412975</v>
      </c>
      <c r="J485" s="110">
        <f t="shared" si="1135"/>
        <v>54.229161321907903</v>
      </c>
      <c r="K485" s="109">
        <f t="shared" si="1135"/>
        <v>54.229161321907903</v>
      </c>
      <c r="L485" s="110">
        <f t="shared" si="1135"/>
        <v>52.302528321016155</v>
      </c>
      <c r="M485" s="110">
        <f t="shared" si="1135"/>
        <v>51.75202887246877</v>
      </c>
      <c r="N485" s="110">
        <f t="shared" si="1135"/>
        <v>51.36382070496083</v>
      </c>
      <c r="O485" s="110">
        <f t="shared" si="1135"/>
        <v>51.81275270418385</v>
      </c>
      <c r="P485" s="109">
        <f t="shared" si="1135"/>
        <v>51.81275270418385</v>
      </c>
      <c r="Q485" s="110">
        <f t="shared" si="1135"/>
        <v>50.270415326056195</v>
      </c>
      <c r="R485" s="110">
        <f t="shared" si="1135"/>
        <v>50.610932904744317</v>
      </c>
      <c r="S485" s="110">
        <f t="shared" si="1135"/>
        <v>50.661109395209579</v>
      </c>
      <c r="T485" s="110">
        <f t="shared" si="1135"/>
        <v>50.151555831721474</v>
      </c>
      <c r="U485" s="109">
        <f t="shared" si="1135"/>
        <v>50.151555831721474</v>
      </c>
      <c r="V485" s="110">
        <f t="shared" si="1135"/>
        <v>49.662438740139208</v>
      </c>
      <c r="W485" s="110">
        <f t="shared" si="1135"/>
        <v>49.027869873015874</v>
      </c>
      <c r="X485" s="110">
        <f t="shared" si="1135"/>
        <v>48.508057060046177</v>
      </c>
      <c r="Y485" s="110">
        <f t="shared" si="1135"/>
        <v>48.418157058116243</v>
      </c>
      <c r="Z485" s="109">
        <f t="shared" si="1135"/>
        <v>48.418157058116243</v>
      </c>
      <c r="AA485" s="110">
        <f t="shared" si="1135"/>
        <v>48.588851513770173</v>
      </c>
      <c r="AB485" s="110">
        <f t="shared" si="1135"/>
        <v>48.005036199160166</v>
      </c>
      <c r="AC485" s="110">
        <f t="shared" si="1135"/>
        <v>46.146958822306246</v>
      </c>
      <c r="AD485" s="110">
        <f t="shared" si="1135"/>
        <v>46.092100482357829</v>
      </c>
      <c r="AE485" s="109">
        <f t="shared" si="1135"/>
        <v>46.092100482357829</v>
      </c>
      <c r="AF485" s="110">
        <f t="shared" si="1135"/>
        <v>45.881434345692021</v>
      </c>
      <c r="AG485" s="110">
        <f t="shared" si="1135"/>
        <v>46.208124281205173</v>
      </c>
      <c r="AH485" s="110">
        <f t="shared" si="1135"/>
        <v>45.89327596627929</v>
      </c>
      <c r="AI485" s="110">
        <f t="shared" si="1135"/>
        <v>44.830048999999995</v>
      </c>
      <c r="AJ485" s="109">
        <f t="shared" si="1135"/>
        <v>44.830048999999995</v>
      </c>
      <c r="AK485" s="110">
        <f t="shared" si="1135"/>
        <v>45.419408724428884</v>
      </c>
      <c r="AL485" s="110">
        <f t="shared" si="1135"/>
        <v>44.837171000000005</v>
      </c>
      <c r="AM485" s="110">
        <f t="shared" si="1135"/>
        <v>44.641888999999992</v>
      </c>
      <c r="AN485" s="110">
        <f t="shared" si="1135"/>
        <v>44.768743999999991</v>
      </c>
      <c r="AO485" s="109">
        <f t="shared" si="1135"/>
        <v>44.768743999999991</v>
      </c>
      <c r="AP485" s="110">
        <f t="shared" si="1135"/>
        <v>45.461335999999996</v>
      </c>
      <c r="AQ485" s="110">
        <f t="shared" si="1135"/>
        <v>45.461630999999997</v>
      </c>
      <c r="AR485" s="110">
        <f t="shared" si="1135"/>
        <v>45.422274000000009</v>
      </c>
      <c r="AS485" s="110">
        <f t="shared" si="1135"/>
        <v>45.618737999999993</v>
      </c>
      <c r="AT485" s="109">
        <f t="shared" si="1135"/>
        <v>45.618737999999993</v>
      </c>
      <c r="AU485" s="110">
        <f t="shared" si="1135"/>
        <v>46.779878959436239</v>
      </c>
      <c r="AV485" s="110">
        <f t="shared" si="1135"/>
        <v>52.318270386861322</v>
      </c>
      <c r="AW485" s="110">
        <f t="shared" si="1135"/>
        <v>52.293299914090724</v>
      </c>
      <c r="AX485" s="110">
        <f t="shared" si="1135"/>
        <v>52.226506000000001</v>
      </c>
      <c r="AY485" s="109">
        <f t="shared" si="1135"/>
        <v>52.226506000000001</v>
      </c>
      <c r="AZ485" s="110">
        <f t="shared" si="1135"/>
        <v>52.791948999999995</v>
      </c>
      <c r="BA485" s="110">
        <f t="shared" si="1135"/>
        <v>52.433221000000003</v>
      </c>
      <c r="BB485" s="110">
        <f t="shared" si="1135"/>
        <v>51.670433999999993</v>
      </c>
      <c r="BC485" s="110">
        <f t="shared" si="1135"/>
        <v>51.173596999999994</v>
      </c>
      <c r="BD485" s="109">
        <f t="shared" si="1135"/>
        <v>51.173596999999994</v>
      </c>
      <c r="BE485" s="110">
        <f t="shared" si="1135"/>
        <v>51.460254000000006</v>
      </c>
      <c r="BF485" s="110">
        <f t="shared" si="1135"/>
        <v>51.271544999999996</v>
      </c>
      <c r="BG485" s="110">
        <f t="shared" si="1135"/>
        <v>50.872706999999991</v>
      </c>
      <c r="BH485" s="110">
        <f t="shared" si="1135"/>
        <v>50.652128999999995</v>
      </c>
      <c r="BI485" s="107">
        <f t="shared" si="1135"/>
        <v>50.652128999999995</v>
      </c>
      <c r="BJ485" s="110"/>
      <c r="BK485" s="110"/>
      <c r="BL485" s="110"/>
      <c r="BM485" s="110"/>
      <c r="BN485" s="109"/>
      <c r="BO485" s="110"/>
      <c r="BP485" s="110"/>
      <c r="BQ485" s="110"/>
      <c r="BR485" s="110"/>
      <c r="BS485" s="109"/>
      <c r="BT485" s="109"/>
      <c r="BU485" s="109"/>
      <c r="BV485" s="109"/>
      <c r="BW485" s="2"/>
    </row>
    <row r="486" spans="1:75" ht="8.25" hidden="1" customHeight="1" outlineLevel="1" x14ac:dyDescent="0.2">
      <c r="A486" s="108"/>
      <c r="B486" s="108"/>
      <c r="C486" s="109"/>
      <c r="D486" s="109"/>
      <c r="E486" s="109"/>
      <c r="F486" s="109"/>
      <c r="G486" s="110"/>
      <c r="H486" s="110"/>
      <c r="I486" s="110"/>
      <c r="J486" s="110"/>
      <c r="K486" s="109"/>
      <c r="L486" s="110"/>
      <c r="M486" s="110"/>
      <c r="N486" s="110"/>
      <c r="O486" s="110"/>
      <c r="P486" s="109"/>
      <c r="Q486" s="110"/>
      <c r="R486" s="110"/>
      <c r="S486" s="110"/>
      <c r="T486" s="110"/>
      <c r="U486" s="109"/>
      <c r="V486" s="110"/>
      <c r="W486" s="110"/>
      <c r="X486" s="110"/>
      <c r="Y486" s="110"/>
      <c r="Z486" s="109"/>
      <c r="AA486" s="110"/>
      <c r="AB486" s="110"/>
      <c r="AC486" s="110"/>
      <c r="AD486" s="110"/>
      <c r="AE486" s="109"/>
      <c r="AF486" s="110"/>
      <c r="AG486" s="110"/>
      <c r="AH486" s="110"/>
      <c r="AI486" s="110"/>
      <c r="AJ486" s="109"/>
      <c r="AK486" s="110"/>
      <c r="AL486" s="110"/>
      <c r="AM486" s="110"/>
      <c r="AN486" s="110"/>
      <c r="AO486" s="109"/>
      <c r="AP486" s="110"/>
      <c r="AQ486" s="110"/>
      <c r="AR486" s="110"/>
      <c r="AS486" s="110"/>
      <c r="AT486" s="109"/>
      <c r="AU486" s="110"/>
      <c r="AV486" s="110"/>
      <c r="AW486" s="110"/>
      <c r="AX486" s="110"/>
      <c r="AY486" s="109"/>
      <c r="AZ486" s="110"/>
      <c r="BA486" s="110"/>
      <c r="BB486" s="110"/>
      <c r="BC486" s="110"/>
      <c r="BD486" s="109"/>
      <c r="BE486" s="110"/>
      <c r="BF486" s="110"/>
      <c r="BG486" s="110"/>
      <c r="BH486" s="110"/>
      <c r="BI486" s="107"/>
      <c r="BJ486" s="110"/>
      <c r="BK486" s="110"/>
      <c r="BL486" s="110"/>
      <c r="BM486" s="110"/>
      <c r="BN486" s="109"/>
      <c r="BO486" s="110"/>
      <c r="BP486" s="110"/>
      <c r="BQ486" s="110"/>
      <c r="BR486" s="110"/>
      <c r="BS486" s="109"/>
      <c r="BT486" s="109"/>
      <c r="BU486" s="109"/>
      <c r="BV486" s="109"/>
      <c r="BW486" s="2"/>
    </row>
    <row r="487" spans="1:75" ht="15" hidden="1" customHeight="1" outlineLevel="1" x14ac:dyDescent="0.2">
      <c r="A487" s="125" t="s">
        <v>777</v>
      </c>
      <c r="B487" s="85"/>
      <c r="C487" s="87">
        <v>60.382767000000001</v>
      </c>
      <c r="D487" s="87">
        <v>59.929727999999997</v>
      </c>
      <c r="E487" s="87">
        <v>54.635657999999999</v>
      </c>
      <c r="F487" s="87">
        <v>52.663795</v>
      </c>
      <c r="G487" s="88">
        <v>53.323681000000001</v>
      </c>
      <c r="H487" s="88">
        <v>53.838116999999997</v>
      </c>
      <c r="I487" s="88">
        <v>52.300901000000003</v>
      </c>
      <c r="J487" s="2">
        <f t="shared" ref="J487:J488" si="1136">K487</f>
        <v>51.496642000000001</v>
      </c>
      <c r="K487" s="87">
        <v>51.496642000000001</v>
      </c>
      <c r="L487" s="88">
        <v>49.945487999999997</v>
      </c>
      <c r="M487" s="88">
        <v>49.538583000000003</v>
      </c>
      <c r="N487" s="88">
        <v>49.493524000000001</v>
      </c>
      <c r="O487" s="2">
        <f t="shared" ref="O487:O488" si="1137">P487</f>
        <v>49.951875000000001</v>
      </c>
      <c r="P487" s="87">
        <v>49.951875000000001</v>
      </c>
      <c r="Q487" s="88">
        <v>48.763285000000003</v>
      </c>
      <c r="R487" s="88">
        <v>49.080979999999997</v>
      </c>
      <c r="S487" s="88">
        <v>49.188397000000002</v>
      </c>
      <c r="T487" s="2">
        <f t="shared" ref="T487:T488" si="1138">U487</f>
        <v>48.485571</v>
      </c>
      <c r="U487" s="87">
        <v>48.485571</v>
      </c>
      <c r="V487" s="88">
        <v>48.500861999999998</v>
      </c>
      <c r="W487" s="88">
        <v>48.079543999999999</v>
      </c>
      <c r="X487" s="88">
        <v>47.430086000000003</v>
      </c>
      <c r="Y487" s="2">
        <f t="shared" ref="Y487:Y488" si="1139">Z487</f>
        <v>47.725557000000002</v>
      </c>
      <c r="Z487" s="87">
        <v>47.725557000000002</v>
      </c>
      <c r="AA487" s="88">
        <v>47.963946</v>
      </c>
      <c r="AB487" s="88">
        <v>47.007447999999997</v>
      </c>
      <c r="AC487" s="88">
        <v>45.785285000000002</v>
      </c>
      <c r="AD487" s="2">
        <f t="shared" ref="AD487:AD488" si="1140">AE487</f>
        <v>45.899709999999999</v>
      </c>
      <c r="AE487" s="87">
        <v>45.899709999999999</v>
      </c>
      <c r="AF487" s="88">
        <v>45.826273</v>
      </c>
      <c r="AG487" s="88">
        <v>45.829811999999997</v>
      </c>
      <c r="AH487" s="88">
        <v>45.335287000000001</v>
      </c>
      <c r="AI487" s="2">
        <f t="shared" ref="AI487:AI488" si="1141">AJ487</f>
        <v>45.124392999999998</v>
      </c>
      <c r="AJ487" s="87">
        <v>45.124392999999998</v>
      </c>
      <c r="AK487" s="88">
        <v>45.209476000000002</v>
      </c>
      <c r="AL487" s="88">
        <v>44.631521999999997</v>
      </c>
      <c r="AM487" s="88">
        <v>44.633789</v>
      </c>
      <c r="AN487" s="2">
        <f t="shared" ref="AN487:AN488" si="1142">AO487</f>
        <v>44.961694000000001</v>
      </c>
      <c r="AO487" s="87">
        <v>44.961694000000001</v>
      </c>
      <c r="AP487" s="88">
        <v>45.462133000000001</v>
      </c>
      <c r="AQ487" s="88">
        <v>45.462280999999997</v>
      </c>
      <c r="AR487" s="88">
        <v>45.584074000000001</v>
      </c>
      <c r="AS487" s="2">
        <f t="shared" ref="AS487:AS488" si="1143">AT487</f>
        <v>45.827047</v>
      </c>
      <c r="AT487" s="87">
        <v>45.827047</v>
      </c>
      <c r="AU487" s="88">
        <v>46.479297000000003</v>
      </c>
      <c r="AV487" s="88">
        <v>52.178583000000003</v>
      </c>
      <c r="AW487" s="88">
        <v>52.16939</v>
      </c>
      <c r="AX487" s="2">
        <f t="shared" ref="AX487:AX488" si="1144">AY487</f>
        <v>52.743067000000003</v>
      </c>
      <c r="AY487" s="87">
        <v>52.743067000000003</v>
      </c>
      <c r="AZ487" s="88">
        <v>52.786422000000002</v>
      </c>
      <c r="BA487" s="88">
        <v>52.228496999999997</v>
      </c>
      <c r="BB487" s="88">
        <v>51.420135999999999</v>
      </c>
      <c r="BC487" s="2">
        <f t="shared" ref="BC487:BC488" si="1145">BD487</f>
        <v>51.653084</v>
      </c>
      <c r="BD487" s="87">
        <v>51.653084</v>
      </c>
      <c r="BE487" s="88">
        <v>51.350577000000001</v>
      </c>
      <c r="BF487" s="88">
        <v>51.275531999999998</v>
      </c>
      <c r="BG487" s="88">
        <v>50.773122999999998</v>
      </c>
      <c r="BH487" s="2">
        <f t="shared" ref="BH487:BH488" si="1146">BI487</f>
        <v>51.115060999999997</v>
      </c>
      <c r="BI487" s="89">
        <v>51.115060999999997</v>
      </c>
      <c r="BJ487" s="2"/>
      <c r="BK487" s="2"/>
      <c r="BL487" s="2"/>
      <c r="BM487" s="2"/>
      <c r="BN487" s="86"/>
      <c r="BO487" s="2"/>
      <c r="BP487" s="2"/>
      <c r="BQ487" s="2"/>
      <c r="BR487" s="2"/>
      <c r="BS487" s="86"/>
      <c r="BT487" s="86"/>
      <c r="BU487" s="86"/>
      <c r="BV487" s="86"/>
      <c r="BW487" s="2"/>
    </row>
    <row r="488" spans="1:75" ht="15" hidden="1" customHeight="1" outlineLevel="1" x14ac:dyDescent="0.2">
      <c r="A488" s="125" t="s">
        <v>778</v>
      </c>
      <c r="B488" s="85"/>
      <c r="C488" s="420">
        <v>40226</v>
      </c>
      <c r="D488" s="420">
        <v>40590</v>
      </c>
      <c r="E488" s="420">
        <v>40949</v>
      </c>
      <c r="F488" s="420">
        <v>41318</v>
      </c>
      <c r="G488" s="421">
        <v>41395</v>
      </c>
      <c r="H488" s="421">
        <v>41486</v>
      </c>
      <c r="I488" s="421">
        <v>41577</v>
      </c>
      <c r="J488" s="395">
        <f t="shared" si="1136"/>
        <v>41682</v>
      </c>
      <c r="K488" s="420">
        <v>41682</v>
      </c>
      <c r="L488" s="421">
        <v>41759</v>
      </c>
      <c r="M488" s="421">
        <v>41850</v>
      </c>
      <c r="N488" s="421">
        <v>41941</v>
      </c>
      <c r="O488" s="395">
        <f t="shared" si="1137"/>
        <v>42051</v>
      </c>
      <c r="P488" s="420">
        <v>42051</v>
      </c>
      <c r="Q488" s="421">
        <v>42123</v>
      </c>
      <c r="R488" s="421">
        <v>42214</v>
      </c>
      <c r="S488" s="421">
        <v>42305</v>
      </c>
      <c r="T488" s="395">
        <f t="shared" si="1138"/>
        <v>42416</v>
      </c>
      <c r="U488" s="420">
        <v>42416</v>
      </c>
      <c r="V488" s="421">
        <v>42487</v>
      </c>
      <c r="W488" s="421">
        <v>42578</v>
      </c>
      <c r="X488" s="421">
        <v>42669</v>
      </c>
      <c r="Y488" s="395">
        <f t="shared" si="1139"/>
        <v>42788</v>
      </c>
      <c r="Z488" s="420">
        <v>42788</v>
      </c>
      <c r="AA488" s="421">
        <v>42858</v>
      </c>
      <c r="AB488" s="421">
        <v>42949</v>
      </c>
      <c r="AC488" s="421">
        <v>43040</v>
      </c>
      <c r="AD488" s="395">
        <f t="shared" si="1140"/>
        <v>43151</v>
      </c>
      <c r="AE488" s="420">
        <v>43151</v>
      </c>
      <c r="AF488" s="421">
        <v>43224</v>
      </c>
      <c r="AG488" s="421">
        <v>43311</v>
      </c>
      <c r="AH488" s="421">
        <v>43410</v>
      </c>
      <c r="AI488" s="395">
        <f t="shared" si="1141"/>
        <v>43517</v>
      </c>
      <c r="AJ488" s="420">
        <v>43517</v>
      </c>
      <c r="AK488" s="421">
        <v>43584</v>
      </c>
      <c r="AL488" s="421">
        <v>43675</v>
      </c>
      <c r="AM488" s="421">
        <v>43770</v>
      </c>
      <c r="AN488" s="395">
        <f t="shared" si="1142"/>
        <v>43882</v>
      </c>
      <c r="AO488" s="420">
        <v>43882</v>
      </c>
      <c r="AP488" s="421">
        <v>43997</v>
      </c>
      <c r="AQ488" s="421">
        <v>44038</v>
      </c>
      <c r="AR488" s="421">
        <v>44134</v>
      </c>
      <c r="AS488" s="395">
        <f t="shared" si="1143"/>
        <v>44244</v>
      </c>
      <c r="AT488" s="420">
        <v>44244</v>
      </c>
      <c r="AU488" s="421">
        <v>44312</v>
      </c>
      <c r="AV488" s="421">
        <v>44403</v>
      </c>
      <c r="AW488" s="421">
        <v>44496</v>
      </c>
      <c r="AX488" s="395">
        <f t="shared" si="1144"/>
        <v>44606</v>
      </c>
      <c r="AY488" s="420">
        <v>44606</v>
      </c>
      <c r="AZ488" s="421">
        <v>44676</v>
      </c>
      <c r="BA488" s="421">
        <v>44767</v>
      </c>
      <c r="BB488" s="421">
        <v>44858</v>
      </c>
      <c r="BC488" s="395">
        <f t="shared" si="1145"/>
        <v>44978</v>
      </c>
      <c r="BD488" s="420">
        <v>44978</v>
      </c>
      <c r="BE488" s="421">
        <v>45048</v>
      </c>
      <c r="BF488" s="421">
        <v>45138</v>
      </c>
      <c r="BG488" s="421">
        <v>45229</v>
      </c>
      <c r="BH488" s="395">
        <f t="shared" si="1146"/>
        <v>45342</v>
      </c>
      <c r="BI488" s="422">
        <v>45342</v>
      </c>
      <c r="BJ488" s="395"/>
      <c r="BK488" s="395"/>
      <c r="BL488" s="395"/>
      <c r="BM488" s="395"/>
      <c r="BN488" s="394"/>
      <c r="BO488" s="395"/>
      <c r="BP488" s="395"/>
      <c r="BQ488" s="395"/>
      <c r="BR488" s="395"/>
      <c r="BS488" s="394"/>
      <c r="BT488" s="394"/>
      <c r="BU488" s="394"/>
      <c r="BV488" s="394"/>
      <c r="BW488" s="2"/>
    </row>
    <row r="489" spans="1:75" ht="8.25" hidden="1" customHeight="1" outlineLevel="1" x14ac:dyDescent="0.2">
      <c r="A489" s="125"/>
      <c r="B489" s="85"/>
      <c r="C489" s="394"/>
      <c r="D489" s="394"/>
      <c r="E489" s="394"/>
      <c r="F489" s="394"/>
      <c r="G489" s="395"/>
      <c r="H489" s="395"/>
      <c r="I489" s="395"/>
      <c r="J489" s="395"/>
      <c r="K489" s="394"/>
      <c r="L489" s="395"/>
      <c r="M489" s="395"/>
      <c r="N489" s="395"/>
      <c r="O489" s="395"/>
      <c r="P489" s="394"/>
      <c r="Q489" s="395"/>
      <c r="R489" s="395"/>
      <c r="S489" s="395"/>
      <c r="T489" s="395"/>
      <c r="U489" s="394"/>
      <c r="V489" s="395"/>
      <c r="W489" s="395"/>
      <c r="X489" s="395"/>
      <c r="Y489" s="395"/>
      <c r="Z489" s="394"/>
      <c r="AA489" s="395"/>
      <c r="AB489" s="395"/>
      <c r="AC489" s="395"/>
      <c r="AD489" s="395"/>
      <c r="AE489" s="394"/>
      <c r="AF489" s="395"/>
      <c r="AG489" s="395"/>
      <c r="AH489" s="395"/>
      <c r="AI489" s="395"/>
      <c r="AJ489" s="394"/>
      <c r="AK489" s="395"/>
      <c r="AL489" s="395"/>
      <c r="AM489" s="395"/>
      <c r="AN489" s="395"/>
      <c r="AO489" s="394"/>
      <c r="AP489" s="395"/>
      <c r="AQ489" s="395"/>
      <c r="AR489" s="395"/>
      <c r="AS489" s="395"/>
      <c r="AT489" s="394"/>
      <c r="AU489" s="395"/>
      <c r="AV489" s="395"/>
      <c r="AW489" s="395"/>
      <c r="AX489" s="395"/>
      <c r="AY489" s="394"/>
      <c r="AZ489" s="395"/>
      <c r="BA489" s="395"/>
      <c r="BB489" s="395"/>
      <c r="BC489" s="395"/>
      <c r="BD489" s="394"/>
      <c r="BE489" s="395"/>
      <c r="BF489" s="395"/>
      <c r="BG489" s="395"/>
      <c r="BH489" s="395"/>
      <c r="BI489" s="396"/>
      <c r="BJ489" s="395"/>
      <c r="BK489" s="395"/>
      <c r="BL489" s="395"/>
      <c r="BM489" s="395"/>
      <c r="BN489" s="394"/>
      <c r="BO489" s="395"/>
      <c r="BP489" s="395"/>
      <c r="BQ489" s="395"/>
      <c r="BR489" s="395"/>
      <c r="BS489" s="394"/>
      <c r="BT489" s="394"/>
      <c r="BU489" s="394"/>
      <c r="BV489" s="394"/>
      <c r="BW489" s="4"/>
    </row>
    <row r="490" spans="1:75" ht="15" hidden="1" customHeight="1" outlineLevel="1" x14ac:dyDescent="0.2">
      <c r="A490" s="108" t="s">
        <v>779</v>
      </c>
      <c r="B490" s="108"/>
      <c r="C490" s="109">
        <f t="shared" ref="C490:BI490" si="1147">C483+C487-C435</f>
        <v>60.382767000000001</v>
      </c>
      <c r="D490" s="109">
        <f t="shared" si="1147"/>
        <v>62.443387506252002</v>
      </c>
      <c r="E490" s="109">
        <f t="shared" si="1147"/>
        <v>56.392035512776829</v>
      </c>
      <c r="F490" s="109">
        <f t="shared" si="1147"/>
        <v>54.642523829104249</v>
      </c>
      <c r="G490" s="110">
        <f t="shared" si="1147"/>
        <v>55.784968707291398</v>
      </c>
      <c r="H490" s="110">
        <f t="shared" si="1147"/>
        <v>56.393021795653198</v>
      </c>
      <c r="I490" s="110">
        <f t="shared" si="1147"/>
        <v>54.732744003412975</v>
      </c>
      <c r="J490" s="110">
        <f t="shared" si="1147"/>
        <v>53.959429321907912</v>
      </c>
      <c r="K490" s="109">
        <f t="shared" si="1147"/>
        <v>53.959429321907912</v>
      </c>
      <c r="L490" s="110">
        <f t="shared" si="1147"/>
        <v>52.178005321016165</v>
      </c>
      <c r="M490" s="110">
        <f t="shared" si="1147"/>
        <v>51.61455887246877</v>
      </c>
      <c r="N490" s="110">
        <f t="shared" si="1147"/>
        <v>51.430584704960836</v>
      </c>
      <c r="O490" s="110">
        <f t="shared" si="1147"/>
        <v>51.893440704183853</v>
      </c>
      <c r="P490" s="109">
        <f t="shared" si="1147"/>
        <v>51.893440704183853</v>
      </c>
      <c r="Q490" s="110">
        <f t="shared" si="1147"/>
        <v>50.482806326056199</v>
      </c>
      <c r="R490" s="110">
        <f t="shared" si="1147"/>
        <v>50.737527904744319</v>
      </c>
      <c r="S490" s="110">
        <f t="shared" si="1147"/>
        <v>50.55657439520958</v>
      </c>
      <c r="T490" s="110">
        <f t="shared" si="1147"/>
        <v>49.574781831721474</v>
      </c>
      <c r="U490" s="109">
        <f t="shared" si="1147"/>
        <v>49.574781831721474</v>
      </c>
      <c r="V490" s="110">
        <f t="shared" si="1147"/>
        <v>49.457613740139209</v>
      </c>
      <c r="W490" s="110">
        <f t="shared" si="1147"/>
        <v>48.828079873015874</v>
      </c>
      <c r="X490" s="110">
        <f t="shared" si="1147"/>
        <v>48.233064060046189</v>
      </c>
      <c r="Y490" s="110">
        <f t="shared" si="1147"/>
        <v>48.45133605811624</v>
      </c>
      <c r="Z490" s="109">
        <f t="shared" si="1147"/>
        <v>48.45133605811624</v>
      </c>
      <c r="AA490" s="110">
        <f t="shared" si="1147"/>
        <v>48.641049513770177</v>
      </c>
      <c r="AB490" s="110">
        <f t="shared" si="1147"/>
        <v>47.308452199160165</v>
      </c>
      <c r="AC490" s="110">
        <f t="shared" si="1147"/>
        <v>45.803770822306241</v>
      </c>
      <c r="AD490" s="110">
        <f t="shared" si="1147"/>
        <v>46.113992482357823</v>
      </c>
      <c r="AE490" s="109">
        <f t="shared" si="1147"/>
        <v>46.113992482357823</v>
      </c>
      <c r="AF490" s="110">
        <f t="shared" si="1147"/>
        <v>46.012070345692017</v>
      </c>
      <c r="AG490" s="110">
        <f t="shared" si="1147"/>
        <v>46.210594281205161</v>
      </c>
      <c r="AH490" s="110">
        <f t="shared" si="1147"/>
        <v>45.608359966279295</v>
      </c>
      <c r="AI490" s="110">
        <f t="shared" si="1147"/>
        <v>45.124392999999998</v>
      </c>
      <c r="AJ490" s="109">
        <f t="shared" si="1147"/>
        <v>45.124392999999998</v>
      </c>
      <c r="AK490" s="110">
        <f t="shared" si="1147"/>
        <v>45.282196724428893</v>
      </c>
      <c r="AL490" s="110">
        <f t="shared" si="1147"/>
        <v>44.631521999999997</v>
      </c>
      <c r="AM490" s="110">
        <f t="shared" si="1147"/>
        <v>44.633789</v>
      </c>
      <c r="AN490" s="110">
        <f t="shared" si="1147"/>
        <v>44.961694000000001</v>
      </c>
      <c r="AO490" s="109">
        <f t="shared" si="1147"/>
        <v>44.961694000000001</v>
      </c>
      <c r="AP490" s="110">
        <f t="shared" si="1147"/>
        <v>45.462133000000001</v>
      </c>
      <c r="AQ490" s="110">
        <f t="shared" si="1147"/>
        <v>45.462280999999997</v>
      </c>
      <c r="AR490" s="110">
        <f t="shared" si="1147"/>
        <v>45.584074000000001</v>
      </c>
      <c r="AS490" s="110">
        <f t="shared" si="1147"/>
        <v>45.827047</v>
      </c>
      <c r="AT490" s="109">
        <f t="shared" si="1147"/>
        <v>45.827047</v>
      </c>
      <c r="AU490" s="110">
        <f t="shared" si="1147"/>
        <v>46.851998959436237</v>
      </c>
      <c r="AV490" s="110">
        <f t="shared" si="1147"/>
        <v>52.412714386861317</v>
      </c>
      <c r="AW490" s="110">
        <f t="shared" si="1147"/>
        <v>52.296143914090727</v>
      </c>
      <c r="AX490" s="110">
        <f t="shared" si="1147"/>
        <v>52.743067000000003</v>
      </c>
      <c r="AY490" s="109">
        <f t="shared" si="1147"/>
        <v>52.743067000000003</v>
      </c>
      <c r="AZ490" s="110">
        <f t="shared" si="1147"/>
        <v>52.786422000000002</v>
      </c>
      <c r="BA490" s="110">
        <f t="shared" si="1147"/>
        <v>52.228496999999997</v>
      </c>
      <c r="BB490" s="110">
        <f t="shared" si="1147"/>
        <v>51.420135999999999</v>
      </c>
      <c r="BC490" s="110">
        <f t="shared" si="1147"/>
        <v>51.653084</v>
      </c>
      <c r="BD490" s="109">
        <f t="shared" si="1147"/>
        <v>51.653084</v>
      </c>
      <c r="BE490" s="110">
        <f t="shared" si="1147"/>
        <v>51.350577000000001</v>
      </c>
      <c r="BF490" s="110">
        <f t="shared" si="1147"/>
        <v>51.275531999999998</v>
      </c>
      <c r="BG490" s="110">
        <f t="shared" si="1147"/>
        <v>50.773122999999998</v>
      </c>
      <c r="BH490" s="110">
        <f t="shared" si="1147"/>
        <v>51.115060999999997</v>
      </c>
      <c r="BI490" s="107">
        <f t="shared" si="1147"/>
        <v>51.115060999999997</v>
      </c>
      <c r="BJ490" s="110"/>
      <c r="BK490" s="110"/>
      <c r="BL490" s="110"/>
      <c r="BM490" s="110"/>
      <c r="BN490" s="109"/>
      <c r="BO490" s="110"/>
      <c r="BP490" s="110"/>
      <c r="BQ490" s="110"/>
      <c r="BR490" s="110"/>
      <c r="BS490" s="109"/>
      <c r="BT490" s="109"/>
      <c r="BU490" s="109"/>
      <c r="BV490" s="109"/>
      <c r="BW490" s="2"/>
    </row>
    <row r="491" spans="1:75" ht="15" customHeight="1" collapsed="1" x14ac:dyDescent="0.2">
      <c r="A491" s="125"/>
      <c r="B491" s="85"/>
      <c r="C491" s="86"/>
      <c r="D491" s="86"/>
      <c r="E491" s="86"/>
      <c r="F491" s="86"/>
      <c r="G491" s="2"/>
      <c r="H491" s="2"/>
      <c r="I491" s="2"/>
      <c r="J491" s="2"/>
      <c r="K491" s="86"/>
      <c r="L491" s="2"/>
      <c r="M491" s="2"/>
      <c r="N491" s="2"/>
      <c r="O491" s="2"/>
      <c r="P491" s="86"/>
      <c r="Q491" s="2"/>
      <c r="R491" s="2"/>
      <c r="S491" s="2"/>
      <c r="T491" s="2"/>
      <c r="U491" s="86"/>
      <c r="V491" s="2"/>
      <c r="W491" s="2"/>
      <c r="X491" s="2"/>
      <c r="Y491" s="2"/>
      <c r="Z491" s="86"/>
      <c r="AA491" s="2"/>
      <c r="AB491" s="2"/>
      <c r="AC491" s="2"/>
      <c r="AD491" s="2"/>
      <c r="AE491" s="86"/>
      <c r="AF491" s="2"/>
      <c r="AG491" s="2"/>
      <c r="AH491" s="2"/>
      <c r="AI491" s="2"/>
      <c r="AJ491" s="86"/>
      <c r="AK491" s="2"/>
      <c r="AL491" s="2"/>
      <c r="AM491" s="2"/>
      <c r="AN491" s="2"/>
      <c r="AO491" s="86"/>
      <c r="AP491" s="2"/>
      <c r="AQ491" s="2"/>
      <c r="AR491" s="2"/>
      <c r="AS491" s="2"/>
      <c r="AT491" s="86"/>
      <c r="AU491" s="2"/>
      <c r="AV491" s="2"/>
      <c r="AW491" s="2"/>
      <c r="AX491" s="2"/>
      <c r="AY491" s="86"/>
      <c r="AZ491" s="2"/>
      <c r="BA491" s="2"/>
      <c r="BB491" s="2"/>
      <c r="BC491" s="2"/>
      <c r="BD491" s="86"/>
      <c r="BE491" s="2"/>
      <c r="BF491" s="2"/>
      <c r="BG491" s="2"/>
      <c r="BH491" s="2"/>
      <c r="BI491" s="90"/>
      <c r="BJ491" s="2"/>
      <c r="BK491" s="2"/>
      <c r="BL491" s="2"/>
      <c r="BM491" s="2"/>
      <c r="BN491" s="86"/>
      <c r="BO491" s="2"/>
      <c r="BP491" s="2"/>
      <c r="BQ491" s="2"/>
      <c r="BR491" s="2"/>
      <c r="BS491" s="86"/>
      <c r="BT491" s="86"/>
      <c r="BU491" s="86"/>
      <c r="BV491" s="86"/>
      <c r="BW491" s="4"/>
    </row>
    <row r="492" spans="1:75" ht="15.75" customHeight="1" x14ac:dyDescent="0.2">
      <c r="A492" s="81" t="s">
        <v>780</v>
      </c>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c r="BC492" s="81"/>
      <c r="BD492" s="81"/>
      <c r="BE492" s="81"/>
      <c r="BF492" s="81"/>
      <c r="BG492" s="81"/>
      <c r="BH492" s="81"/>
      <c r="BI492" s="82"/>
      <c r="BJ492" s="81"/>
      <c r="BK492" s="81"/>
      <c r="BL492" s="81"/>
      <c r="BM492" s="81"/>
      <c r="BN492" s="81"/>
      <c r="BO492" s="81"/>
      <c r="BP492" s="81"/>
      <c r="BQ492" s="81"/>
      <c r="BR492" s="81"/>
      <c r="BS492" s="81"/>
      <c r="BT492" s="81"/>
      <c r="BU492" s="81"/>
      <c r="BV492" s="81"/>
      <c r="BW492" s="83"/>
    </row>
    <row r="493" spans="1:75" ht="15.75" hidden="1" customHeight="1" outlineLevel="1" x14ac:dyDescent="0.2">
      <c r="A493" s="2" t="s">
        <v>781</v>
      </c>
      <c r="B493" s="85"/>
      <c r="C493" s="86">
        <f t="shared" ref="C493:BV493" si="1148">C644</f>
        <v>154.35300000000001</v>
      </c>
      <c r="D493" s="86">
        <f t="shared" si="1148"/>
        <v>157.73300000000003</v>
      </c>
      <c r="E493" s="86">
        <f t="shared" si="1148"/>
        <v>187.89299999999997</v>
      </c>
      <c r="F493" s="86">
        <f t="shared" si="1148"/>
        <v>177.29799999999997</v>
      </c>
      <c r="G493" s="2">
        <f t="shared" si="1148"/>
        <v>48.999000000000002</v>
      </c>
      <c r="H493" s="2">
        <f t="shared" si="1148"/>
        <v>54.750999999999998</v>
      </c>
      <c r="I493" s="2">
        <f t="shared" si="1148"/>
        <v>53.53</v>
      </c>
      <c r="J493" s="2">
        <f t="shared" si="1148"/>
        <v>56.626000000000005</v>
      </c>
      <c r="K493" s="86">
        <f t="shared" si="1148"/>
        <v>213.90600000000001</v>
      </c>
      <c r="L493" s="2">
        <f t="shared" si="1148"/>
        <v>48.096000000000004</v>
      </c>
      <c r="M493" s="2">
        <f t="shared" si="1148"/>
        <v>54.426999999999992</v>
      </c>
      <c r="N493" s="2">
        <f t="shared" si="1148"/>
        <v>48.538000000000011</v>
      </c>
      <c r="O493" s="2">
        <f t="shared" si="1148"/>
        <v>52.41999999999998</v>
      </c>
      <c r="P493" s="86">
        <f t="shared" si="1148"/>
        <v>203.48100000000002</v>
      </c>
      <c r="Q493" s="2">
        <f t="shared" si="1148"/>
        <v>56.382999999999996</v>
      </c>
      <c r="R493" s="2">
        <f t="shared" si="1148"/>
        <v>61.280000000000008</v>
      </c>
      <c r="S493" s="2">
        <f t="shared" si="1148"/>
        <v>58.605999999999995</v>
      </c>
      <c r="T493" s="2">
        <f t="shared" si="1148"/>
        <v>55.872000000000007</v>
      </c>
      <c r="U493" s="86">
        <f t="shared" si="1148"/>
        <v>232.14100000000002</v>
      </c>
      <c r="V493" s="2">
        <f t="shared" si="1148"/>
        <v>64.504000000000005</v>
      </c>
      <c r="W493" s="2">
        <f t="shared" si="1148"/>
        <v>64.742999999999995</v>
      </c>
      <c r="X493" s="2">
        <f t="shared" si="1148"/>
        <v>62.039999999999992</v>
      </c>
      <c r="Y493" s="2">
        <f t="shared" si="1148"/>
        <v>60.252000000000002</v>
      </c>
      <c r="Z493" s="86">
        <f t="shared" si="1148"/>
        <v>251.53900000000002</v>
      </c>
      <c r="AA493" s="2">
        <f t="shared" si="1148"/>
        <v>66.826000000000008</v>
      </c>
      <c r="AB493" s="2">
        <f t="shared" si="1148"/>
        <v>66.417000000000016</v>
      </c>
      <c r="AC493" s="2">
        <f t="shared" si="1148"/>
        <v>53.599999999999994</v>
      </c>
      <c r="AD493" s="2">
        <f t="shared" si="1148"/>
        <v>65.140999999999991</v>
      </c>
      <c r="AE493" s="86">
        <f t="shared" si="1148"/>
        <v>251.98399999999998</v>
      </c>
      <c r="AF493" s="2">
        <f t="shared" si="1148"/>
        <v>57.201000000000001</v>
      </c>
      <c r="AG493" s="2">
        <f t="shared" si="1148"/>
        <v>59.283000000000001</v>
      </c>
      <c r="AH493" s="2">
        <f t="shared" si="1148"/>
        <v>57.447000000000003</v>
      </c>
      <c r="AI493" s="2">
        <f t="shared" si="1148"/>
        <v>56.722999999999992</v>
      </c>
      <c r="AJ493" s="86">
        <f t="shared" si="1148"/>
        <v>230.654</v>
      </c>
      <c r="AK493" s="2">
        <f t="shared" si="1148"/>
        <v>57.435000000000009</v>
      </c>
      <c r="AL493" s="2">
        <f t="shared" si="1148"/>
        <v>59.37299999999999</v>
      </c>
      <c r="AM493" s="2">
        <f t="shared" si="1148"/>
        <v>52.073</v>
      </c>
      <c r="AN493" s="2">
        <f t="shared" si="1148"/>
        <v>40.710999999999991</v>
      </c>
      <c r="AO493" s="86">
        <f t="shared" si="1148"/>
        <v>209.59199999999998</v>
      </c>
      <c r="AP493" s="2">
        <f t="shared" si="1148"/>
        <v>73.245999999999995</v>
      </c>
      <c r="AQ493" s="2">
        <f t="shared" si="1148"/>
        <v>-26.462999999999973</v>
      </c>
      <c r="AR493" s="2">
        <f t="shared" si="1148"/>
        <v>-40.493000000000023</v>
      </c>
      <c r="AS493" s="2">
        <f t="shared" si="1148"/>
        <v>-6.0519999999999836</v>
      </c>
      <c r="AT493" s="86">
        <f t="shared" si="1148"/>
        <v>0.23800000000002086</v>
      </c>
      <c r="AU493" s="2">
        <f t="shared" si="1148"/>
        <v>30.241</v>
      </c>
      <c r="AV493" s="2">
        <f t="shared" si="1148"/>
        <v>60.004999999999995</v>
      </c>
      <c r="AW493" s="2">
        <f t="shared" si="1148"/>
        <v>58.318000000000012</v>
      </c>
      <c r="AX493" s="2">
        <f t="shared" si="1148"/>
        <v>33.538999999999994</v>
      </c>
      <c r="AY493" s="86">
        <f t="shared" si="1148"/>
        <v>182.10300000000001</v>
      </c>
      <c r="AZ493" s="2">
        <f t="shared" si="1148"/>
        <v>54.204000000000001</v>
      </c>
      <c r="BA493" s="2">
        <f t="shared" si="1148"/>
        <v>50.863999999999997</v>
      </c>
      <c r="BB493" s="2">
        <f t="shared" si="1148"/>
        <v>22.953999999999994</v>
      </c>
      <c r="BC493" s="2">
        <f t="shared" si="1148"/>
        <v>44.587999999999994</v>
      </c>
      <c r="BD493" s="86">
        <f t="shared" si="1148"/>
        <v>172.60999999999996</v>
      </c>
      <c r="BE493" s="2">
        <f t="shared" si="1148"/>
        <v>60.084999999999994</v>
      </c>
      <c r="BF493" s="2">
        <f t="shared" si="1148"/>
        <v>70.855000000000004</v>
      </c>
      <c r="BG493" s="2">
        <f t="shared" si="1148"/>
        <v>46.564000000000007</v>
      </c>
      <c r="BH493" s="2">
        <f t="shared" si="1148"/>
        <v>54.046999999999997</v>
      </c>
      <c r="BI493" s="90">
        <f t="shared" si="1148"/>
        <v>231.55099999999999</v>
      </c>
      <c r="BJ493" s="2">
        <f t="shared" si="1148"/>
        <v>61.159540905788447</v>
      </c>
      <c r="BK493" s="2">
        <f t="shared" ca="1" si="1148"/>
        <v>81.402121753999481</v>
      </c>
      <c r="BL493" s="2">
        <f t="shared" ca="1" si="1148"/>
        <v>54.736805632214804</v>
      </c>
      <c r="BM493" s="2">
        <f t="shared" ca="1" si="1148"/>
        <v>77.381467508708795</v>
      </c>
      <c r="BN493" s="86">
        <f t="shared" ca="1" si="1148"/>
        <v>274.67993580071152</v>
      </c>
      <c r="BO493" s="2">
        <f t="shared" ca="1" si="1148"/>
        <v>63.916288227693343</v>
      </c>
      <c r="BP493" s="2">
        <f t="shared" ca="1" si="1148"/>
        <v>85.129547353829622</v>
      </c>
      <c r="BQ493" s="2">
        <f t="shared" ca="1" si="1148"/>
        <v>60.706580146180883</v>
      </c>
      <c r="BR493" s="2">
        <f t="shared" ca="1" si="1148"/>
        <v>84.575924177219193</v>
      </c>
      <c r="BS493" s="86">
        <f t="shared" ca="1" si="1148"/>
        <v>294.3283399049231</v>
      </c>
      <c r="BT493" s="86">
        <f t="shared" ca="1" si="1148"/>
        <v>314.26360188723316</v>
      </c>
      <c r="BU493" s="86">
        <f t="shared" ca="1" si="1148"/>
        <v>335.41252398500586</v>
      </c>
      <c r="BV493" s="86">
        <f t="shared" ca="1" si="1148"/>
        <v>361.85188855474513</v>
      </c>
      <c r="BW493" s="4"/>
    </row>
    <row r="494" spans="1:75" ht="15.75" hidden="1" customHeight="1" outlineLevel="1" x14ac:dyDescent="0.2">
      <c r="A494" s="92" t="s">
        <v>782</v>
      </c>
      <c r="B494" s="92"/>
      <c r="C494" s="93">
        <f t="shared" ref="C494:BV494" si="1149">C495-C493</f>
        <v>44.494</v>
      </c>
      <c r="D494" s="93">
        <f t="shared" si="1149"/>
        <v>9.3240000000000407</v>
      </c>
      <c r="E494" s="93">
        <f t="shared" si="1149"/>
        <v>8.1709999999999923</v>
      </c>
      <c r="F494" s="93">
        <f t="shared" si="1149"/>
        <v>18.073000000000008</v>
      </c>
      <c r="G494" s="94">
        <f t="shared" si="1149"/>
        <v>-3.8669999999999973</v>
      </c>
      <c r="H494" s="94">
        <f t="shared" si="1149"/>
        <v>-11.237000000000002</v>
      </c>
      <c r="I494" s="94">
        <f t="shared" si="1149"/>
        <v>8.1409999999999982</v>
      </c>
      <c r="J494" s="94">
        <f t="shared" si="1149"/>
        <v>-2.1580000000000013</v>
      </c>
      <c r="K494" s="93">
        <f t="shared" si="1149"/>
        <v>-9.1209999999999809</v>
      </c>
      <c r="L494" s="94">
        <f t="shared" si="1149"/>
        <v>29.019999999999982</v>
      </c>
      <c r="M494" s="94">
        <f t="shared" si="1149"/>
        <v>-9.4349999999999952</v>
      </c>
      <c r="N494" s="94">
        <f t="shared" si="1149"/>
        <v>-9.6680000000000064</v>
      </c>
      <c r="O494" s="94">
        <f t="shared" si="1149"/>
        <v>26.250999999999998</v>
      </c>
      <c r="P494" s="93">
        <f t="shared" si="1149"/>
        <v>36.168000000000035</v>
      </c>
      <c r="Q494" s="94">
        <f t="shared" si="1149"/>
        <v>8.9649999999999892</v>
      </c>
      <c r="R494" s="94">
        <f t="shared" si="1149"/>
        <v>-5.6620000000000132</v>
      </c>
      <c r="S494" s="94">
        <f t="shared" si="1149"/>
        <v>-18.486000000000004</v>
      </c>
      <c r="T494" s="94">
        <f t="shared" si="1149"/>
        <v>18.465000000000011</v>
      </c>
      <c r="U494" s="93">
        <f t="shared" si="1149"/>
        <v>3.2820000000000107</v>
      </c>
      <c r="V494" s="94">
        <f t="shared" si="1149"/>
        <v>11.803999999999988</v>
      </c>
      <c r="W494" s="94">
        <f t="shared" si="1149"/>
        <v>10.735000000000014</v>
      </c>
      <c r="X494" s="94">
        <f t="shared" si="1149"/>
        <v>2.7039999999999935</v>
      </c>
      <c r="Y494" s="94">
        <f t="shared" si="1149"/>
        <v>25.737999999999992</v>
      </c>
      <c r="Z494" s="93">
        <f t="shared" si="1149"/>
        <v>50.981000000000023</v>
      </c>
      <c r="AA494" s="94">
        <f t="shared" si="1149"/>
        <v>-18.722000000000016</v>
      </c>
      <c r="AB494" s="94">
        <f t="shared" si="1149"/>
        <v>-0.58200000000000784</v>
      </c>
      <c r="AC494" s="94">
        <f t="shared" si="1149"/>
        <v>-13.328999999999994</v>
      </c>
      <c r="AD494" s="94">
        <f t="shared" si="1149"/>
        <v>19.444999999999993</v>
      </c>
      <c r="AE494" s="93">
        <f t="shared" si="1149"/>
        <v>-13.188000000000017</v>
      </c>
      <c r="AF494" s="94">
        <f t="shared" si="1149"/>
        <v>17.741999999999983</v>
      </c>
      <c r="AG494" s="94">
        <f t="shared" si="1149"/>
        <v>6.3219999999999885</v>
      </c>
      <c r="AH494" s="94">
        <f t="shared" si="1149"/>
        <v>-15.889000000000003</v>
      </c>
      <c r="AI494" s="94">
        <f t="shared" si="1149"/>
        <v>52.485999999999997</v>
      </c>
      <c r="AJ494" s="93">
        <f t="shared" si="1149"/>
        <v>60.660999999999945</v>
      </c>
      <c r="AK494" s="94">
        <f t="shared" si="1149"/>
        <v>-23.91899999999999</v>
      </c>
      <c r="AL494" s="94">
        <f t="shared" si="1149"/>
        <v>-9.1199999999999903</v>
      </c>
      <c r="AM494" s="94">
        <f t="shared" si="1149"/>
        <v>-19.634999999999991</v>
      </c>
      <c r="AN494" s="94">
        <f t="shared" si="1149"/>
        <v>61.843000000000011</v>
      </c>
      <c r="AO494" s="93">
        <f t="shared" si="1149"/>
        <v>9.1689999999999827</v>
      </c>
      <c r="AP494" s="94">
        <f t="shared" si="1149"/>
        <v>-106.22600000000001</v>
      </c>
      <c r="AQ494" s="94">
        <f t="shared" si="1149"/>
        <v>23.759000000000007</v>
      </c>
      <c r="AR494" s="94">
        <f t="shared" si="1149"/>
        <v>43.441000000000003</v>
      </c>
      <c r="AS494" s="94">
        <f t="shared" si="1149"/>
        <v>41.696000000000005</v>
      </c>
      <c r="AT494" s="93">
        <f t="shared" si="1149"/>
        <v>2.6700000000000017</v>
      </c>
      <c r="AU494" s="94">
        <f t="shared" si="1149"/>
        <v>-8.5990000000000002</v>
      </c>
      <c r="AV494" s="94">
        <f t="shared" si="1149"/>
        <v>48.790999999999997</v>
      </c>
      <c r="AW494" s="94">
        <f t="shared" si="1149"/>
        <v>-69.595999999999989</v>
      </c>
      <c r="AX494" s="94">
        <f t="shared" si="1149"/>
        <v>60.307000000000009</v>
      </c>
      <c r="AY494" s="93">
        <f t="shared" si="1149"/>
        <v>30.90300000000002</v>
      </c>
      <c r="AZ494" s="94">
        <f t="shared" si="1149"/>
        <v>-20.692</v>
      </c>
      <c r="BA494" s="94">
        <f t="shared" si="1149"/>
        <v>3.1409999999999982</v>
      </c>
      <c r="BB494" s="94">
        <f t="shared" si="1149"/>
        <v>-11.573999999999995</v>
      </c>
      <c r="BC494" s="94">
        <f t="shared" si="1149"/>
        <v>18.441000000000003</v>
      </c>
      <c r="BD494" s="93">
        <f t="shared" si="1149"/>
        <v>-10.683999999999941</v>
      </c>
      <c r="BE494" s="94">
        <f t="shared" si="1149"/>
        <v>4.9499999999999886</v>
      </c>
      <c r="BF494" s="94">
        <f t="shared" si="1149"/>
        <v>-34.373999999999988</v>
      </c>
      <c r="BG494" s="94">
        <f t="shared" si="1149"/>
        <v>2.4660000000000082</v>
      </c>
      <c r="BH494" s="94">
        <f t="shared" si="1149"/>
        <v>13.807999999999993</v>
      </c>
      <c r="BI494" s="97">
        <f t="shared" si="1149"/>
        <v>-13.149999999999977</v>
      </c>
      <c r="BJ494" s="94">
        <f t="shared" si="1149"/>
        <v>4.8170284954363041</v>
      </c>
      <c r="BK494" s="94">
        <f t="shared" ca="1" si="1149"/>
        <v>-7.6121226159564941</v>
      </c>
      <c r="BL494" s="94">
        <f t="shared" ca="1" si="1149"/>
        <v>-2.8578351886249891</v>
      </c>
      <c r="BM494" s="94">
        <f t="shared" ca="1" si="1149"/>
        <v>28.925098301270424</v>
      </c>
      <c r="BN494" s="93">
        <f t="shared" ca="1" si="1149"/>
        <v>23.272168992125216</v>
      </c>
      <c r="BO494" s="94">
        <f t="shared" ca="1" si="1149"/>
        <v>5.4333459836748546</v>
      </c>
      <c r="BP494" s="94">
        <f t="shared" ca="1" si="1149"/>
        <v>-9.9743681210474335</v>
      </c>
      <c r="BQ494" s="94">
        <f t="shared" ca="1" si="1149"/>
        <v>-4.7350898216558406</v>
      </c>
      <c r="BR494" s="94">
        <f t="shared" ca="1" si="1149"/>
        <v>28.859044920867987</v>
      </c>
      <c r="BS494" s="93">
        <f t="shared" ca="1" si="1149"/>
        <v>19.582932961839504</v>
      </c>
      <c r="BT494" s="93">
        <f t="shared" ca="1" si="1149"/>
        <v>12.137364097263685</v>
      </c>
      <c r="BU494" s="93">
        <f t="shared" ca="1" si="1149"/>
        <v>13.43550280611521</v>
      </c>
      <c r="BV494" s="93">
        <f t="shared" ca="1" si="1149"/>
        <v>17.123695400248948</v>
      </c>
      <c r="BW494" s="4"/>
    </row>
    <row r="495" spans="1:75" ht="15.75" customHeight="1" collapsed="1" x14ac:dyDescent="0.2">
      <c r="A495" s="108" t="s">
        <v>783</v>
      </c>
      <c r="B495" s="108"/>
      <c r="C495" s="109">
        <f t="shared" ref="C495:BV495" si="1150">C658</f>
        <v>198.84700000000001</v>
      </c>
      <c r="D495" s="109">
        <f t="shared" si="1150"/>
        <v>167.05700000000007</v>
      </c>
      <c r="E495" s="109">
        <f t="shared" si="1150"/>
        <v>196.06399999999996</v>
      </c>
      <c r="F495" s="109">
        <f t="shared" si="1150"/>
        <v>195.37099999999998</v>
      </c>
      <c r="G495" s="110">
        <f t="shared" si="1150"/>
        <v>45.132000000000005</v>
      </c>
      <c r="H495" s="110">
        <f t="shared" si="1150"/>
        <v>43.513999999999996</v>
      </c>
      <c r="I495" s="110">
        <f t="shared" si="1150"/>
        <v>61.670999999999999</v>
      </c>
      <c r="J495" s="110">
        <f t="shared" si="1150"/>
        <v>54.468000000000004</v>
      </c>
      <c r="K495" s="109">
        <f t="shared" si="1150"/>
        <v>204.78500000000003</v>
      </c>
      <c r="L495" s="110">
        <f t="shared" si="1150"/>
        <v>77.115999999999985</v>
      </c>
      <c r="M495" s="110">
        <f t="shared" si="1150"/>
        <v>44.991999999999997</v>
      </c>
      <c r="N495" s="110">
        <f t="shared" si="1150"/>
        <v>38.870000000000005</v>
      </c>
      <c r="O495" s="110">
        <f t="shared" si="1150"/>
        <v>78.670999999999978</v>
      </c>
      <c r="P495" s="109">
        <f t="shared" si="1150"/>
        <v>239.64900000000006</v>
      </c>
      <c r="Q495" s="110">
        <f t="shared" si="1150"/>
        <v>65.347999999999985</v>
      </c>
      <c r="R495" s="110">
        <f t="shared" si="1150"/>
        <v>55.617999999999995</v>
      </c>
      <c r="S495" s="110">
        <f t="shared" si="1150"/>
        <v>40.11999999999999</v>
      </c>
      <c r="T495" s="110">
        <f t="shared" si="1150"/>
        <v>74.337000000000018</v>
      </c>
      <c r="U495" s="109">
        <f t="shared" si="1150"/>
        <v>235.42300000000003</v>
      </c>
      <c r="V495" s="110">
        <f t="shared" si="1150"/>
        <v>76.307999999999993</v>
      </c>
      <c r="W495" s="110">
        <f t="shared" si="1150"/>
        <v>75.478000000000009</v>
      </c>
      <c r="X495" s="110">
        <f t="shared" si="1150"/>
        <v>64.743999999999986</v>
      </c>
      <c r="Y495" s="110">
        <f t="shared" si="1150"/>
        <v>85.99</v>
      </c>
      <c r="Z495" s="109">
        <f t="shared" si="1150"/>
        <v>302.52000000000004</v>
      </c>
      <c r="AA495" s="110">
        <f t="shared" si="1150"/>
        <v>48.103999999999992</v>
      </c>
      <c r="AB495" s="110">
        <f t="shared" si="1150"/>
        <v>65.835000000000008</v>
      </c>
      <c r="AC495" s="110">
        <f t="shared" si="1150"/>
        <v>40.271000000000001</v>
      </c>
      <c r="AD495" s="110">
        <f t="shared" si="1150"/>
        <v>84.585999999999984</v>
      </c>
      <c r="AE495" s="109">
        <f t="shared" si="1150"/>
        <v>238.79599999999996</v>
      </c>
      <c r="AF495" s="110">
        <f t="shared" si="1150"/>
        <v>74.942999999999984</v>
      </c>
      <c r="AG495" s="110">
        <f t="shared" si="1150"/>
        <v>65.60499999999999</v>
      </c>
      <c r="AH495" s="110">
        <f t="shared" si="1150"/>
        <v>41.558</v>
      </c>
      <c r="AI495" s="110">
        <f t="shared" si="1150"/>
        <v>109.20899999999999</v>
      </c>
      <c r="AJ495" s="109">
        <f t="shared" si="1150"/>
        <v>291.31499999999994</v>
      </c>
      <c r="AK495" s="110">
        <f t="shared" si="1150"/>
        <v>33.51600000000002</v>
      </c>
      <c r="AL495" s="110">
        <f t="shared" si="1150"/>
        <v>50.253</v>
      </c>
      <c r="AM495" s="110">
        <f t="shared" si="1150"/>
        <v>32.438000000000009</v>
      </c>
      <c r="AN495" s="110">
        <f t="shared" si="1150"/>
        <v>102.554</v>
      </c>
      <c r="AO495" s="109">
        <f t="shared" si="1150"/>
        <v>218.76099999999997</v>
      </c>
      <c r="AP495" s="110">
        <f t="shared" si="1150"/>
        <v>-32.980000000000018</v>
      </c>
      <c r="AQ495" s="110">
        <f t="shared" si="1150"/>
        <v>-2.7039999999999651</v>
      </c>
      <c r="AR495" s="110">
        <f t="shared" si="1150"/>
        <v>2.9479999999999773</v>
      </c>
      <c r="AS495" s="110">
        <f t="shared" si="1150"/>
        <v>35.64400000000002</v>
      </c>
      <c r="AT495" s="109">
        <f t="shared" si="1150"/>
        <v>2.9080000000000226</v>
      </c>
      <c r="AU495" s="110">
        <f t="shared" si="1150"/>
        <v>21.641999999999999</v>
      </c>
      <c r="AV495" s="110">
        <f t="shared" si="1150"/>
        <v>108.79599999999999</v>
      </c>
      <c r="AW495" s="110">
        <f t="shared" si="1150"/>
        <v>-11.277999999999977</v>
      </c>
      <c r="AX495" s="110">
        <f t="shared" si="1150"/>
        <v>93.846000000000004</v>
      </c>
      <c r="AY495" s="109">
        <f t="shared" si="1150"/>
        <v>213.00600000000003</v>
      </c>
      <c r="AZ495" s="110">
        <f t="shared" si="1150"/>
        <v>33.512</v>
      </c>
      <c r="BA495" s="110">
        <f t="shared" si="1150"/>
        <v>54.004999999999995</v>
      </c>
      <c r="BB495" s="110">
        <f t="shared" si="1150"/>
        <v>11.379999999999999</v>
      </c>
      <c r="BC495" s="110">
        <f t="shared" si="1150"/>
        <v>63.028999999999996</v>
      </c>
      <c r="BD495" s="109">
        <f t="shared" si="1150"/>
        <v>161.92600000000002</v>
      </c>
      <c r="BE495" s="110">
        <f t="shared" si="1150"/>
        <v>65.034999999999982</v>
      </c>
      <c r="BF495" s="110">
        <f t="shared" si="1150"/>
        <v>36.481000000000016</v>
      </c>
      <c r="BG495" s="110">
        <f t="shared" si="1150"/>
        <v>49.030000000000015</v>
      </c>
      <c r="BH495" s="110">
        <f t="shared" si="1150"/>
        <v>67.85499999999999</v>
      </c>
      <c r="BI495" s="107">
        <f t="shared" si="1150"/>
        <v>218.40100000000001</v>
      </c>
      <c r="BJ495" s="110">
        <f t="shared" si="1150"/>
        <v>65.976569401224751</v>
      </c>
      <c r="BK495" s="110">
        <f t="shared" ca="1" si="1150"/>
        <v>73.789999138042987</v>
      </c>
      <c r="BL495" s="110">
        <f t="shared" ca="1" si="1150"/>
        <v>51.878970443589814</v>
      </c>
      <c r="BM495" s="110">
        <f t="shared" ca="1" si="1150"/>
        <v>106.30656580997922</v>
      </c>
      <c r="BN495" s="109">
        <f t="shared" ca="1" si="1150"/>
        <v>297.95210479283674</v>
      </c>
      <c r="BO495" s="110">
        <f t="shared" ca="1" si="1150"/>
        <v>69.349634211368198</v>
      </c>
      <c r="BP495" s="110">
        <f t="shared" ca="1" si="1150"/>
        <v>75.155179232782189</v>
      </c>
      <c r="BQ495" s="110">
        <f t="shared" ca="1" si="1150"/>
        <v>55.971490324525043</v>
      </c>
      <c r="BR495" s="110">
        <f t="shared" ca="1" si="1150"/>
        <v>113.43496909808718</v>
      </c>
      <c r="BS495" s="109">
        <f t="shared" ca="1" si="1150"/>
        <v>313.9112728667626</v>
      </c>
      <c r="BT495" s="109">
        <f t="shared" ca="1" si="1150"/>
        <v>326.40096598449685</v>
      </c>
      <c r="BU495" s="109">
        <f t="shared" ca="1" si="1150"/>
        <v>348.84802679112107</v>
      </c>
      <c r="BV495" s="109">
        <f t="shared" ca="1" si="1150"/>
        <v>378.97558395499408</v>
      </c>
      <c r="BW495" s="4"/>
    </row>
    <row r="496" spans="1:75" ht="15.75" hidden="1" customHeight="1" outlineLevel="1" x14ac:dyDescent="0.2">
      <c r="A496" s="368" t="s">
        <v>784</v>
      </c>
      <c r="B496" s="368"/>
      <c r="C496" s="423">
        <f t="shared" ref="C496:BV496" si="1151">C493/C425</f>
        <v>2.5690389800605842</v>
      </c>
      <c r="D496" s="423">
        <f t="shared" si="1151"/>
        <v>2.6094861529298883</v>
      </c>
      <c r="E496" s="369">
        <f t="shared" si="1151"/>
        <v>3.228956865440797</v>
      </c>
      <c r="F496" s="369">
        <f t="shared" si="1151"/>
        <v>3.2112803607976668</v>
      </c>
      <c r="G496" s="367">
        <f t="shared" si="1151"/>
        <v>0.90229260657398036</v>
      </c>
      <c r="H496" s="367">
        <f t="shared" si="1151"/>
        <v>0.99415321482396091</v>
      </c>
      <c r="I496" s="367">
        <f t="shared" si="1151"/>
        <v>0.9801875045777485</v>
      </c>
      <c r="J496" s="367">
        <f t="shared" si="1151"/>
        <v>1.0563763898216552</v>
      </c>
      <c r="K496" s="369">
        <f t="shared" si="1151"/>
        <v>3.9337587582985454</v>
      </c>
      <c r="L496" s="367">
        <f t="shared" si="1151"/>
        <v>0.91015063204905011</v>
      </c>
      <c r="M496" s="367">
        <f t="shared" si="1151"/>
        <v>1.0597569998831728</v>
      </c>
      <c r="N496" s="367">
        <f t="shared" si="1151"/>
        <v>0.95241645899966665</v>
      </c>
      <c r="O496" s="367">
        <f t="shared" si="1151"/>
        <v>1.0236881676333309</v>
      </c>
      <c r="P496" s="369">
        <f t="shared" si="1151"/>
        <v>3.9446533808933006</v>
      </c>
      <c r="Q496" s="367">
        <f t="shared" si="1151"/>
        <v>1.1033423349379672</v>
      </c>
      <c r="R496" s="367">
        <f t="shared" si="1151"/>
        <v>1.2192113326170866</v>
      </c>
      <c r="S496" s="367">
        <f t="shared" si="1151"/>
        <v>1.1573750419653612</v>
      </c>
      <c r="T496" s="367">
        <f t="shared" si="1151"/>
        <v>1.1070338815137708</v>
      </c>
      <c r="U496" s="369">
        <f t="shared" si="1151"/>
        <v>4.5873135065704975</v>
      </c>
      <c r="V496" s="367">
        <f t="shared" si="1151"/>
        <v>1.2891260467254233</v>
      </c>
      <c r="W496" s="367">
        <f t="shared" si="1151"/>
        <v>1.3053550546392998</v>
      </c>
      <c r="X496" s="367">
        <f t="shared" si="1151"/>
        <v>1.2606681297244573</v>
      </c>
      <c r="Y496" s="367">
        <f t="shared" si="1151"/>
        <v>1.2347986474023978</v>
      </c>
      <c r="Z496" s="369">
        <f t="shared" si="1151"/>
        <v>5.0947703151583896</v>
      </c>
      <c r="AA496" s="367">
        <f t="shared" si="1151"/>
        <v>1.357976021133916</v>
      </c>
      <c r="AB496" s="367">
        <f t="shared" si="1151"/>
        <v>1.3541501009236043</v>
      </c>
      <c r="AC496" s="367">
        <f t="shared" si="1151"/>
        <v>1.1279698646857046</v>
      </c>
      <c r="AD496" s="367">
        <f t="shared" si="1151"/>
        <v>1.3939867322918895</v>
      </c>
      <c r="AE496" s="369">
        <f t="shared" si="1151"/>
        <v>5.2330951985379626</v>
      </c>
      <c r="AF496" s="367">
        <f t="shared" si="1151"/>
        <v>1.2281745179714003</v>
      </c>
      <c r="AG496" s="367">
        <f t="shared" si="1151"/>
        <v>1.2729869014386945</v>
      </c>
      <c r="AH496" s="367">
        <f t="shared" si="1151"/>
        <v>1.2389363354037266</v>
      </c>
      <c r="AI496" s="367">
        <f t="shared" si="1151"/>
        <v>1.2420460268453435</v>
      </c>
      <c r="AJ496" s="369">
        <f t="shared" si="1151"/>
        <v>4.9908904035486312</v>
      </c>
      <c r="AK496" s="367">
        <f t="shared" si="1151"/>
        <v>1.2767873021518763</v>
      </c>
      <c r="AL496" s="367">
        <f t="shared" si="1151"/>
        <v>1.3257044612155582</v>
      </c>
      <c r="AM496" s="367">
        <f t="shared" si="1151"/>
        <v>1.1784954510478431</v>
      </c>
      <c r="AN496" s="367">
        <f t="shared" si="1151"/>
        <v>0.92004339081109154</v>
      </c>
      <c r="AO496" s="369">
        <f t="shared" si="1151"/>
        <v>4.7051745425973728</v>
      </c>
      <c r="AP496" s="367">
        <f t="shared" si="1151"/>
        <v>1.6595146928880531</v>
      </c>
      <c r="AQ496" s="367">
        <f t="shared" si="1151"/>
        <v>-0.60315904636003037</v>
      </c>
      <c r="AR496" s="367">
        <f t="shared" si="1151"/>
        <v>-0.92239179954441974</v>
      </c>
      <c r="AS496" s="367">
        <f t="shared" si="1151"/>
        <v>-0.13777089783281699</v>
      </c>
      <c r="AT496" s="369">
        <f t="shared" si="1151"/>
        <v>5.425243338120788E-3</v>
      </c>
      <c r="AU496" s="367">
        <f t="shared" si="1151"/>
        <v>0.68435583516259701</v>
      </c>
      <c r="AV496" s="367">
        <f t="shared" si="1151"/>
        <v>1.2827885499283835</v>
      </c>
      <c r="AW496" s="367">
        <f t="shared" si="1151"/>
        <v>1.1409699947077683</v>
      </c>
      <c r="AX496" s="367">
        <f t="shared" si="1151"/>
        <v>0.65694474369772582</v>
      </c>
      <c r="AY496" s="369">
        <f t="shared" si="1151"/>
        <v>3.7539270253555972</v>
      </c>
      <c r="AZ496" s="367">
        <f t="shared" si="1151"/>
        <v>1.0625526826495209</v>
      </c>
      <c r="BA496" s="367">
        <f t="shared" si="1151"/>
        <v>0.99872371340493615</v>
      </c>
      <c r="BB496" s="367">
        <f t="shared" si="1151"/>
        <v>0.46228828066783467</v>
      </c>
      <c r="BC496" s="367">
        <f t="shared" si="1151"/>
        <v>0.91087005372719643</v>
      </c>
      <c r="BD496" s="369">
        <f t="shared" si="1151"/>
        <v>3.4238505177133325</v>
      </c>
      <c r="BE496" s="367">
        <f t="shared" si="1151"/>
        <v>1.2070593434850736</v>
      </c>
      <c r="BF496" s="367">
        <f t="shared" si="1151"/>
        <v>1.4435163491901803</v>
      </c>
      <c r="BG496" s="367">
        <f t="shared" si="1151"/>
        <v>0.95057670715525178</v>
      </c>
      <c r="BH496" s="367">
        <f t="shared" si="1151"/>
        <v>1.1118722870250364</v>
      </c>
      <c r="BI496" s="370">
        <f t="shared" si="1151"/>
        <v>4.7207135575942916</v>
      </c>
      <c r="BJ496" s="367">
        <f t="shared" ca="1" si="1151"/>
        <v>1.2607868290751221</v>
      </c>
      <c r="BK496" s="367">
        <f t="shared" ca="1" si="1151"/>
        <v>1.6793171504975875</v>
      </c>
      <c r="BL496" s="367">
        <f t="shared" ca="1" si="1151"/>
        <v>1.1291015928658141</v>
      </c>
      <c r="BM496" s="367">
        <f t="shared" ca="1" si="1151"/>
        <v>1.5960522528330847</v>
      </c>
      <c r="BN496" s="369">
        <f t="shared" ca="1" si="1151"/>
        <v>5.6651506025045268</v>
      </c>
      <c r="BO496" s="367">
        <f t="shared" ca="1" si="1151"/>
        <v>1.3181907599970546</v>
      </c>
      <c r="BP496" s="367">
        <f t="shared" ca="1" si="1151"/>
        <v>1.7555112360188514</v>
      </c>
      <c r="BQ496" s="367">
        <f t="shared" ca="1" si="1151"/>
        <v>1.2517443216424591</v>
      </c>
      <c r="BR496" s="367">
        <f t="shared" ca="1" si="1151"/>
        <v>1.7437458492453339</v>
      </c>
      <c r="BS496" s="369">
        <f t="shared" ca="1" si="1151"/>
        <v>6.0692308101626162</v>
      </c>
      <c r="BT496" s="369">
        <f t="shared" ca="1" si="1151"/>
        <v>6.4777167717659978</v>
      </c>
      <c r="BU496" s="369">
        <f t="shared" ca="1" si="1151"/>
        <v>6.9108817680346588</v>
      </c>
      <c r="BV496" s="369">
        <f t="shared" ca="1" si="1151"/>
        <v>7.4526606918244473</v>
      </c>
      <c r="BW496" s="188"/>
    </row>
    <row r="497" spans="1:75" ht="15.75" customHeight="1" collapsed="1" x14ac:dyDescent="0.2">
      <c r="A497" s="368" t="s">
        <v>785</v>
      </c>
      <c r="B497" s="368"/>
      <c r="C497" s="423">
        <f t="shared" ref="C497:BV497" si="1152">C495/C425</f>
        <v>3.3095935554741853</v>
      </c>
      <c r="D497" s="423">
        <f t="shared" si="1152"/>
        <v>2.7637395361148807</v>
      </c>
      <c r="E497" s="369">
        <f t="shared" si="1152"/>
        <v>3.3693761814744798</v>
      </c>
      <c r="F497" s="369">
        <f t="shared" si="1152"/>
        <v>3.538624549455724</v>
      </c>
      <c r="G497" s="367">
        <f t="shared" si="1152"/>
        <v>0.83108369395083337</v>
      </c>
      <c r="H497" s="367">
        <f t="shared" si="1152"/>
        <v>0.79011493835454749</v>
      </c>
      <c r="I497" s="367">
        <f t="shared" si="1152"/>
        <v>1.1292573060865743</v>
      </c>
      <c r="J497" s="367">
        <f t="shared" si="1152"/>
        <v>1.0161182001343183</v>
      </c>
      <c r="K497" s="369">
        <f t="shared" si="1152"/>
        <v>3.7660223991761224</v>
      </c>
      <c r="L497" s="367">
        <f t="shared" si="1152"/>
        <v>1.4593142078570884</v>
      </c>
      <c r="M497" s="367">
        <f t="shared" si="1152"/>
        <v>0.8760465750223918</v>
      </c>
      <c r="N497" s="367">
        <f t="shared" si="1152"/>
        <v>0.76271020151874902</v>
      </c>
      <c r="O497" s="367">
        <f t="shared" si="1152"/>
        <v>1.5363329232331513</v>
      </c>
      <c r="P497" s="369">
        <f t="shared" si="1152"/>
        <v>4.6458010235732017</v>
      </c>
      <c r="Q497" s="367">
        <f t="shared" si="1152"/>
        <v>1.2787757817697936</v>
      </c>
      <c r="R497" s="367">
        <f t="shared" si="1152"/>
        <v>1.1065616171262582</v>
      </c>
      <c r="S497" s="367">
        <f t="shared" si="1152"/>
        <v>0.79230602128878069</v>
      </c>
      <c r="T497" s="367">
        <f t="shared" si="1152"/>
        <v>1.4728947889835549</v>
      </c>
      <c r="U497" s="369">
        <f t="shared" si="1152"/>
        <v>4.6521687580278641</v>
      </c>
      <c r="V497" s="367">
        <f t="shared" si="1152"/>
        <v>1.5250314767072366</v>
      </c>
      <c r="W497" s="367">
        <f t="shared" si="1152"/>
        <v>1.5217952336787777</v>
      </c>
      <c r="X497" s="367">
        <f t="shared" si="1152"/>
        <v>1.3156140778671865</v>
      </c>
      <c r="Y497" s="367">
        <f t="shared" si="1152"/>
        <v>1.7622707244594731</v>
      </c>
      <c r="Z497" s="369">
        <f t="shared" si="1152"/>
        <v>6.1273596370412386</v>
      </c>
      <c r="AA497" s="367">
        <f t="shared" si="1152"/>
        <v>0.97752489331436687</v>
      </c>
      <c r="AB497" s="367">
        <f t="shared" si="1152"/>
        <v>1.3422839317389446</v>
      </c>
      <c r="AC497" s="367">
        <f t="shared" si="1152"/>
        <v>0.84747153770070927</v>
      </c>
      <c r="AD497" s="367">
        <f t="shared" si="1152"/>
        <v>1.8101005777872885</v>
      </c>
      <c r="AE497" s="369">
        <f t="shared" si="1152"/>
        <v>4.9592124937697282</v>
      </c>
      <c r="AF497" s="367">
        <f t="shared" si="1152"/>
        <v>1.6091166745394423</v>
      </c>
      <c r="AG497" s="367">
        <f t="shared" si="1152"/>
        <v>1.4087395318874809</v>
      </c>
      <c r="AH497" s="367">
        <f t="shared" si="1152"/>
        <v>0.89626466528640436</v>
      </c>
      <c r="AI497" s="367">
        <f t="shared" si="1152"/>
        <v>2.3913157721868226</v>
      </c>
      <c r="AJ497" s="369">
        <f t="shared" si="1152"/>
        <v>6.3034728984096056</v>
      </c>
      <c r="AK497" s="367">
        <f t="shared" si="1152"/>
        <v>0.74506491196870039</v>
      </c>
      <c r="AL497" s="367">
        <f t="shared" si="1152"/>
        <v>1.1220693966864645</v>
      </c>
      <c r="AM497" s="367">
        <f t="shared" si="1152"/>
        <v>0.73412393065676929</v>
      </c>
      <c r="AN497" s="367">
        <f t="shared" si="1152"/>
        <v>2.317656896201044</v>
      </c>
      <c r="AO497" s="369">
        <f t="shared" si="1152"/>
        <v>4.9110113368503754</v>
      </c>
      <c r="AP497" s="367">
        <f t="shared" si="1152"/>
        <v>-0.74721888664839065</v>
      </c>
      <c r="AQ497" s="367">
        <f t="shared" si="1152"/>
        <v>-6.1631034325567872E-2</v>
      </c>
      <c r="AR497" s="367">
        <f t="shared" si="1152"/>
        <v>6.7152619589976703E-2</v>
      </c>
      <c r="AS497" s="367">
        <f t="shared" si="1152"/>
        <v>0.81141868512110782</v>
      </c>
      <c r="AT497" s="369">
        <f t="shared" si="1152"/>
        <v>6.6288267341403334E-2</v>
      </c>
      <c r="AU497" s="367">
        <f t="shared" si="1152"/>
        <v>0.48975989499649231</v>
      </c>
      <c r="AV497" s="367">
        <f t="shared" si="1152"/>
        <v>2.3258438976420033</v>
      </c>
      <c r="AW497" s="367">
        <f t="shared" si="1152"/>
        <v>-0.22064987825909979</v>
      </c>
      <c r="AX497" s="367">
        <f t="shared" si="1152"/>
        <v>1.8382073531428125</v>
      </c>
      <c r="AY497" s="369">
        <f t="shared" si="1152"/>
        <v>4.3909709338280773</v>
      </c>
      <c r="AZ497" s="367">
        <f t="shared" si="1152"/>
        <v>0.65693058632113388</v>
      </c>
      <c r="BA497" s="367">
        <f t="shared" si="1152"/>
        <v>1.0603978087140919</v>
      </c>
      <c r="BB497" s="367">
        <f t="shared" si="1152"/>
        <v>0.22919058264354619</v>
      </c>
      <c r="BC497" s="367">
        <f t="shared" si="1152"/>
        <v>1.2875937161651447</v>
      </c>
      <c r="BD497" s="369">
        <f t="shared" si="1152"/>
        <v>3.2119252588566671</v>
      </c>
      <c r="BE497" s="367">
        <f t="shared" si="1152"/>
        <v>1.306500863835429</v>
      </c>
      <c r="BF497" s="367">
        <f t="shared" si="1152"/>
        <v>0.74322094326168919</v>
      </c>
      <c r="BG497" s="367">
        <f t="shared" si="1152"/>
        <v>1.0009186485658879</v>
      </c>
      <c r="BH497" s="367">
        <f t="shared" si="1152"/>
        <v>1.3959349091731981</v>
      </c>
      <c r="BI497" s="370">
        <f t="shared" si="1152"/>
        <v>4.4526197757390422</v>
      </c>
      <c r="BJ497" s="367">
        <f t="shared" ca="1" si="1152"/>
        <v>1.3600885241562055</v>
      </c>
      <c r="BK497" s="367">
        <f t="shared" ca="1" si="1152"/>
        <v>1.5222798671292552</v>
      </c>
      <c r="BL497" s="367">
        <f t="shared" ca="1" si="1152"/>
        <v>1.0701506506916263</v>
      </c>
      <c r="BM497" s="367">
        <f t="shared" ca="1" si="1152"/>
        <v>2.1926546408915097</v>
      </c>
      <c r="BN497" s="369">
        <f t="shared" ca="1" si="1152"/>
        <v>6.1451286606142368</v>
      </c>
      <c r="BO497" s="367">
        <f t="shared" ca="1" si="1152"/>
        <v>1.4302464921139284</v>
      </c>
      <c r="BP497" s="367">
        <f t="shared" ca="1" si="1152"/>
        <v>1.5498233655558671</v>
      </c>
      <c r="BQ497" s="367">
        <f t="shared" ca="1" si="1152"/>
        <v>1.1541087476659273</v>
      </c>
      <c r="BR497" s="367">
        <f t="shared" ca="1" si="1152"/>
        <v>2.3387477990733068</v>
      </c>
      <c r="BS497" s="369">
        <f t="shared" ca="1" si="1152"/>
        <v>6.4730428933746458</v>
      </c>
      <c r="BT497" s="369">
        <f t="shared" ca="1" si="1152"/>
        <v>6.7278965778451232</v>
      </c>
      <c r="BU497" s="369">
        <f t="shared" ca="1" si="1152"/>
        <v>7.1877085551921676</v>
      </c>
      <c r="BV497" s="369">
        <f t="shared" ca="1" si="1152"/>
        <v>7.8053383913050816</v>
      </c>
      <c r="BW497" s="188"/>
    </row>
    <row r="498" spans="1:75" ht="15.75" customHeight="1" x14ac:dyDescent="0.2">
      <c r="A498" s="340" t="s">
        <v>786</v>
      </c>
      <c r="B498" s="340"/>
      <c r="C498" s="341"/>
      <c r="D498" s="341"/>
      <c r="E498" s="341"/>
      <c r="F498" s="341"/>
      <c r="G498" s="342"/>
      <c r="H498" s="342"/>
      <c r="I498" s="342"/>
      <c r="J498" s="342"/>
      <c r="K498" s="341"/>
      <c r="L498" s="342"/>
      <c r="M498" s="342"/>
      <c r="N498" s="342"/>
      <c r="O498" s="342"/>
      <c r="P498" s="341"/>
      <c r="Q498" s="342"/>
      <c r="R498" s="342"/>
      <c r="S498" s="342"/>
      <c r="T498" s="342"/>
      <c r="U498" s="341"/>
      <c r="V498" s="342"/>
      <c r="W498" s="342"/>
      <c r="X498" s="342"/>
      <c r="Y498" s="342"/>
      <c r="Z498" s="371"/>
      <c r="AA498" s="342"/>
      <c r="AB498" s="342"/>
      <c r="AC498" s="342"/>
      <c r="AD498" s="342"/>
      <c r="AE498" s="371"/>
      <c r="AF498" s="342"/>
      <c r="AG498" s="342"/>
      <c r="AH498" s="342"/>
      <c r="AI498" s="342"/>
      <c r="AJ498" s="371"/>
      <c r="AK498" s="342"/>
      <c r="AL498" s="342"/>
      <c r="AM498" s="342"/>
      <c r="AN498" s="342"/>
      <c r="AO498" s="371"/>
      <c r="AP498" s="342"/>
      <c r="AQ498" s="342"/>
      <c r="AR498" s="342"/>
      <c r="AS498" s="342"/>
      <c r="AT498" s="371"/>
      <c r="AU498" s="342"/>
      <c r="AV498" s="373"/>
      <c r="AW498" s="373"/>
      <c r="AX498" s="373"/>
      <c r="AY498" s="371"/>
      <c r="AZ498" s="373"/>
      <c r="BA498" s="373"/>
      <c r="BB498" s="373"/>
      <c r="BC498" s="373"/>
      <c r="BD498" s="371"/>
      <c r="BE498" s="373"/>
      <c r="BF498" s="373"/>
      <c r="BG498" s="373"/>
      <c r="BH498" s="373"/>
      <c r="BI498" s="372"/>
      <c r="BJ498" s="373" t="str">
        <f t="shared" ref="BJ498:BS498" ca="1" si="1153">IFERROR(VLOOKUP($A498,tb_ConsensusEstimate,MATCH(BJ$5,OFFSET(tb_ConsensusEstimate,0,0,1,COLUMNS(tb_ConsensusEstimate)),0),FALSE),"-")</f>
        <v>N/A</v>
      </c>
      <c r="BK498" s="373" t="str">
        <f t="shared" ca="1" si="1153"/>
        <v>N/A</v>
      </c>
      <c r="BL498" s="373" t="str">
        <f t="shared" ca="1" si="1153"/>
        <v>N/A</v>
      </c>
      <c r="BM498" s="373" t="str">
        <f t="shared" ca="1" si="1153"/>
        <v>N/A</v>
      </c>
      <c r="BN498" s="371" t="str">
        <f t="shared" ca="1" si="1153"/>
        <v>N/A</v>
      </c>
      <c r="BO498" s="373" t="str">
        <f t="shared" ca="1" si="1153"/>
        <v>N/A</v>
      </c>
      <c r="BP498" s="373" t="str">
        <f t="shared" ca="1" si="1153"/>
        <v>N/A</v>
      </c>
      <c r="BQ498" s="373" t="str">
        <f t="shared" ca="1" si="1153"/>
        <v>N/A</v>
      </c>
      <c r="BR498" s="373" t="str">
        <f t="shared" ca="1" si="1153"/>
        <v>N/A</v>
      </c>
      <c r="BS498" s="371" t="str">
        <f t="shared" ca="1" si="1153"/>
        <v>N/A</v>
      </c>
      <c r="BT498" s="371" t="str">
        <f ca="1">IFERROR(VLOOKUP(A498,tb_ConsensusEstimate,MATCH(BT5,OFFSET(tb_ConsensusEstimate,0,0,1,COLUMNS(tb_ConsensusEstimate)),0),FALSE),"-")</f>
        <v>N/A</v>
      </c>
      <c r="BU498" s="371" t="str">
        <f ca="1">IFERROR(VLOOKUP(A498,tb_ConsensusEstimate,MATCH(BU5,OFFSET(tb_ConsensusEstimate,0,0,1,COLUMNS(tb_ConsensusEstimate)),0),FALSE),"-")</f>
        <v>N/A</v>
      </c>
      <c r="BV498" s="371" t="str">
        <f ca="1">IFERROR(VLOOKUP(A498,tb_ConsensusEstimate,MATCH(BV5,OFFSET(tb_ConsensusEstimate,0,0,1,COLUMNS(tb_ConsensusEstimate)),0),FALSE),"-")</f>
        <v>N/A</v>
      </c>
      <c r="BW498" s="342"/>
    </row>
    <row r="499" spans="1:75" ht="15.75" customHeight="1" x14ac:dyDescent="0.2">
      <c r="A499" s="110" t="s">
        <v>787</v>
      </c>
      <c r="B499" s="108"/>
      <c r="C499" s="109">
        <f t="shared" ref="C499:BI499" si="1154">C661+C662</f>
        <v>-38.955000000000005</v>
      </c>
      <c r="D499" s="109">
        <f t="shared" si="1154"/>
        <v>-43.667999999999999</v>
      </c>
      <c r="E499" s="109">
        <f t="shared" si="1154"/>
        <v>-77.616</v>
      </c>
      <c r="F499" s="109">
        <f t="shared" si="1154"/>
        <v>-88.153999999999996</v>
      </c>
      <c r="G499" s="110">
        <f t="shared" si="1154"/>
        <v>-15.02</v>
      </c>
      <c r="H499" s="110">
        <f t="shared" si="1154"/>
        <v>-23.308000000000003</v>
      </c>
      <c r="I499" s="110">
        <f t="shared" si="1154"/>
        <v>-29.994999999999997</v>
      </c>
      <c r="J499" s="110">
        <f t="shared" si="1154"/>
        <v>-39.620000000000005</v>
      </c>
      <c r="K499" s="109">
        <f t="shared" si="1154"/>
        <v>-107.943</v>
      </c>
      <c r="L499" s="110">
        <f t="shared" si="1154"/>
        <v>-30.439</v>
      </c>
      <c r="M499" s="110">
        <f t="shared" si="1154"/>
        <v>-28.016999999999999</v>
      </c>
      <c r="N499" s="110">
        <f t="shared" si="1154"/>
        <v>-30.886000000000003</v>
      </c>
      <c r="O499" s="110">
        <f t="shared" si="1154"/>
        <v>-26.518999999999995</v>
      </c>
      <c r="P499" s="109">
        <f t="shared" si="1154"/>
        <v>-115.861</v>
      </c>
      <c r="Q499" s="110">
        <f t="shared" si="1154"/>
        <v>-24.698</v>
      </c>
      <c r="R499" s="110">
        <f t="shared" si="1154"/>
        <v>-35.723000000000006</v>
      </c>
      <c r="S499" s="110">
        <f t="shared" si="1154"/>
        <v>-49.448000000000008</v>
      </c>
      <c r="T499" s="110">
        <f t="shared" si="1154"/>
        <v>-45.832000000000001</v>
      </c>
      <c r="U499" s="109">
        <f t="shared" si="1154"/>
        <v>-155.70099999999999</v>
      </c>
      <c r="V499" s="110">
        <f t="shared" si="1154"/>
        <v>-23.061</v>
      </c>
      <c r="W499" s="110">
        <f t="shared" si="1154"/>
        <v>-18.070999999999998</v>
      </c>
      <c r="X499" s="110">
        <f t="shared" si="1154"/>
        <v>-30.769000000000002</v>
      </c>
      <c r="Y499" s="110">
        <f t="shared" si="1154"/>
        <v>-45.56</v>
      </c>
      <c r="Z499" s="109">
        <f t="shared" si="1154"/>
        <v>-117.461</v>
      </c>
      <c r="AA499" s="110">
        <f t="shared" si="1154"/>
        <v>-19.524999999999999</v>
      </c>
      <c r="AB499" s="110">
        <f t="shared" si="1154"/>
        <v>-24.792999999999999</v>
      </c>
      <c r="AC499" s="110">
        <f t="shared" si="1154"/>
        <v>-30.002000000000002</v>
      </c>
      <c r="AD499" s="110">
        <f t="shared" si="1154"/>
        <v>-48.112999999999992</v>
      </c>
      <c r="AE499" s="109">
        <f t="shared" si="1154"/>
        <v>-122.43299999999999</v>
      </c>
      <c r="AF499" s="110">
        <f t="shared" si="1154"/>
        <v>-30.994999999999997</v>
      </c>
      <c r="AG499" s="110">
        <f t="shared" si="1154"/>
        <v>-21.61</v>
      </c>
      <c r="AH499" s="110">
        <f t="shared" si="1154"/>
        <v>-28.787999999999997</v>
      </c>
      <c r="AI499" s="110">
        <f t="shared" si="1154"/>
        <v>-24.536000000000012</v>
      </c>
      <c r="AJ499" s="109">
        <f t="shared" si="1154"/>
        <v>-105.929</v>
      </c>
      <c r="AK499" s="110">
        <f t="shared" si="1154"/>
        <v>-13.447000000000001</v>
      </c>
      <c r="AL499" s="110">
        <f t="shared" si="1154"/>
        <v>-16.121999999999996</v>
      </c>
      <c r="AM499" s="110">
        <f t="shared" si="1154"/>
        <v>-17.486000000000001</v>
      </c>
      <c r="AN499" s="110">
        <f t="shared" si="1154"/>
        <v>-28.810000000000002</v>
      </c>
      <c r="AO499" s="109">
        <f t="shared" si="1154"/>
        <v>-75.864999999999995</v>
      </c>
      <c r="AP499" s="110">
        <f t="shared" si="1154"/>
        <v>-15.903</v>
      </c>
      <c r="AQ499" s="110">
        <f t="shared" si="1154"/>
        <v>-13.747999999999999</v>
      </c>
      <c r="AR499" s="110">
        <f t="shared" si="1154"/>
        <v>-8.9840000000000035</v>
      </c>
      <c r="AS499" s="110">
        <f t="shared" si="1154"/>
        <v>-12.278999999999998</v>
      </c>
      <c r="AT499" s="109">
        <f t="shared" si="1154"/>
        <v>-50.914000000000001</v>
      </c>
      <c r="AU499" s="110">
        <f t="shared" si="1154"/>
        <v>-7.7070000000000007</v>
      </c>
      <c r="AV499" s="110">
        <f t="shared" si="1154"/>
        <v>-23.507000000000001</v>
      </c>
      <c r="AW499" s="110">
        <f t="shared" si="1154"/>
        <v>-18.426000000000002</v>
      </c>
      <c r="AX499" s="110">
        <f t="shared" si="1154"/>
        <v>-17.908999999999995</v>
      </c>
      <c r="AY499" s="109">
        <f t="shared" si="1154"/>
        <v>-67.548999999999992</v>
      </c>
      <c r="AZ499" s="110">
        <f t="shared" si="1154"/>
        <v>-29.231999999999999</v>
      </c>
      <c r="BA499" s="110">
        <f t="shared" si="1154"/>
        <v>-17.431999999999999</v>
      </c>
      <c r="BB499" s="110">
        <f t="shared" si="1154"/>
        <v>-31.878</v>
      </c>
      <c r="BC499" s="110">
        <f t="shared" si="1154"/>
        <v>-34.602000000000004</v>
      </c>
      <c r="BD499" s="109">
        <f t="shared" si="1154"/>
        <v>-113.14400000000001</v>
      </c>
      <c r="BE499" s="110">
        <f t="shared" si="1154"/>
        <v>-38.144000000000005</v>
      </c>
      <c r="BF499" s="110">
        <f t="shared" si="1154"/>
        <v>-24.907999999999994</v>
      </c>
      <c r="BG499" s="110">
        <f t="shared" si="1154"/>
        <v>-37.438000000000002</v>
      </c>
      <c r="BH499" s="110">
        <f t="shared" si="1154"/>
        <v>-52.732999999999997</v>
      </c>
      <c r="BI499" s="107">
        <f t="shared" si="1154"/>
        <v>-153.22299999999998</v>
      </c>
      <c r="BJ499" s="317">
        <v>-45</v>
      </c>
      <c r="BK499" s="317">
        <v>-47.5</v>
      </c>
      <c r="BL499" s="317">
        <v>-47.5</v>
      </c>
      <c r="BM499" s="317">
        <v>-47.5</v>
      </c>
      <c r="BN499" s="109">
        <f>BN661+BN662</f>
        <v>-187.5</v>
      </c>
      <c r="BO499" s="317">
        <v>-45</v>
      </c>
      <c r="BP499" s="317">
        <v>-47.5</v>
      </c>
      <c r="BQ499" s="317">
        <v>-47.5</v>
      </c>
      <c r="BR499" s="317">
        <v>-47.5</v>
      </c>
      <c r="BS499" s="109">
        <f>BS661+BS662</f>
        <v>-187.5</v>
      </c>
      <c r="BT499" s="316">
        <v>-165</v>
      </c>
      <c r="BU499" s="316">
        <v>-165</v>
      </c>
      <c r="BV499" s="316">
        <v>-165</v>
      </c>
      <c r="BW499" s="83"/>
    </row>
    <row r="500" spans="1:75" ht="15.75" customHeight="1" x14ac:dyDescent="0.2">
      <c r="A500" s="333" t="str">
        <f>CONCATENATE("Consensus Estimates - ",IFERROR(LEFT(A499,FIND("(",A499)-1),A499))</f>
        <v>Consensus Estimates - Capex</v>
      </c>
      <c r="B500" s="333"/>
      <c r="C500" s="334"/>
      <c r="D500" s="334"/>
      <c r="E500" s="334"/>
      <c r="F500" s="334"/>
      <c r="G500" s="335"/>
      <c r="H500" s="335"/>
      <c r="I500" s="335"/>
      <c r="J500" s="335"/>
      <c r="K500" s="334"/>
      <c r="L500" s="335"/>
      <c r="M500" s="335"/>
      <c r="N500" s="335"/>
      <c r="O500" s="335"/>
      <c r="P500" s="334"/>
      <c r="Q500" s="335"/>
      <c r="R500" s="335"/>
      <c r="S500" s="335"/>
      <c r="T500" s="335"/>
      <c r="U500" s="334"/>
      <c r="V500" s="335"/>
      <c r="W500" s="335"/>
      <c r="X500" s="335"/>
      <c r="Y500" s="335"/>
      <c r="Z500" s="336"/>
      <c r="AA500" s="335"/>
      <c r="AB500" s="335"/>
      <c r="AC500" s="335"/>
      <c r="AD500" s="335"/>
      <c r="AE500" s="336"/>
      <c r="AF500" s="335"/>
      <c r="AG500" s="335"/>
      <c r="AH500" s="335"/>
      <c r="AI500" s="335"/>
      <c r="AJ500" s="336"/>
      <c r="AK500" s="335"/>
      <c r="AL500" s="335"/>
      <c r="AM500" s="335"/>
      <c r="AN500" s="335"/>
      <c r="AO500" s="336"/>
      <c r="AP500" s="335"/>
      <c r="AQ500" s="335"/>
      <c r="AR500" s="335"/>
      <c r="AS500" s="335"/>
      <c r="AT500" s="336"/>
      <c r="AU500" s="335"/>
      <c r="AV500" s="338"/>
      <c r="AW500" s="338"/>
      <c r="AX500" s="338"/>
      <c r="AY500" s="336"/>
      <c r="AZ500" s="338"/>
      <c r="BA500" s="338"/>
      <c r="BB500" s="338"/>
      <c r="BC500" s="338"/>
      <c r="BD500" s="336"/>
      <c r="BE500" s="338"/>
      <c r="BF500" s="338"/>
      <c r="BG500" s="338"/>
      <c r="BH500" s="338"/>
      <c r="BI500" s="337"/>
      <c r="BJ500" s="338" t="str">
        <f t="shared" ref="BJ500:BS500" ca="1" si="1155">IFERROR(VLOOKUP($A500,tb_ConsensusEstimate,MATCH(BJ$5,OFFSET(tb_ConsensusEstimate,0,0,1,COLUMNS(tb_ConsensusEstimate)),0),FALSE),"-")</f>
        <v>N/A</v>
      </c>
      <c r="BK500" s="338" t="str">
        <f t="shared" ca="1" si="1155"/>
        <v>N/A</v>
      </c>
      <c r="BL500" s="338" t="str">
        <f t="shared" ca="1" si="1155"/>
        <v>N/A</v>
      </c>
      <c r="BM500" s="338" t="str">
        <f t="shared" ca="1" si="1155"/>
        <v>N/A</v>
      </c>
      <c r="BN500" s="336" t="str">
        <f t="shared" ca="1" si="1155"/>
        <v>N/A</v>
      </c>
      <c r="BO500" s="338" t="str">
        <f t="shared" ca="1" si="1155"/>
        <v>N/A</v>
      </c>
      <c r="BP500" s="338" t="str">
        <f t="shared" ca="1" si="1155"/>
        <v>N/A</v>
      </c>
      <c r="BQ500" s="338" t="str">
        <f t="shared" ca="1" si="1155"/>
        <v>N/A</v>
      </c>
      <c r="BR500" s="338" t="str">
        <f t="shared" ca="1" si="1155"/>
        <v>N/A</v>
      </c>
      <c r="BS500" s="336" t="str">
        <f t="shared" ca="1" si="1155"/>
        <v>N/A</v>
      </c>
      <c r="BT500" s="336" t="str">
        <f ca="1">IFERROR(VLOOKUP(A500,tb_ConsensusEstimate,MATCH(BT5,OFFSET(tb_ConsensusEstimate,0,0,1,COLUMNS(tb_ConsensusEstimate)),0),FALSE),"-")</f>
        <v>N/A</v>
      </c>
      <c r="BU500" s="336" t="str">
        <f ca="1">IFERROR(VLOOKUP(A500,tb_ConsensusEstimate,MATCH(BU5,OFFSET(tb_ConsensusEstimate,0,0,1,COLUMNS(tb_ConsensusEstimate)),0),FALSE),"-")</f>
        <v>N/A</v>
      </c>
      <c r="BV500" s="336" t="str">
        <f ca="1">IFERROR(VLOOKUP(A500,tb_ConsensusEstimate,MATCH(BV5,OFFSET(tb_ConsensusEstimate,0,0,1,COLUMNS(tb_ConsensusEstimate)),0),FALSE),"-")</f>
        <v>N/A</v>
      </c>
      <c r="BW500" s="335"/>
    </row>
    <row r="501" spans="1:75" ht="15.75" customHeight="1" x14ac:dyDescent="0.2">
      <c r="A501" s="2" t="s">
        <v>434</v>
      </c>
      <c r="B501" s="85"/>
      <c r="C501" s="86">
        <f t="shared" ref="C501:BI501" si="1156">C667+C673</f>
        <v>0</v>
      </c>
      <c r="D501" s="86">
        <f t="shared" si="1156"/>
        <v>0</v>
      </c>
      <c r="E501" s="86">
        <f t="shared" si="1156"/>
        <v>0</v>
      </c>
      <c r="F501" s="86">
        <f t="shared" si="1156"/>
        <v>0</v>
      </c>
      <c r="G501" s="2">
        <f t="shared" si="1156"/>
        <v>0</v>
      </c>
      <c r="H501" s="2">
        <f t="shared" si="1156"/>
        <v>0</v>
      </c>
      <c r="I501" s="2">
        <f t="shared" si="1156"/>
        <v>0</v>
      </c>
      <c r="J501" s="2">
        <f t="shared" si="1156"/>
        <v>0</v>
      </c>
      <c r="K501" s="86">
        <f t="shared" si="1156"/>
        <v>0</v>
      </c>
      <c r="L501" s="2">
        <f t="shared" si="1156"/>
        <v>0</v>
      </c>
      <c r="M501" s="2">
        <f t="shared" si="1156"/>
        <v>0</v>
      </c>
      <c r="N501" s="2">
        <f t="shared" si="1156"/>
        <v>0</v>
      </c>
      <c r="O501" s="2">
        <f t="shared" si="1156"/>
        <v>0</v>
      </c>
      <c r="P501" s="86">
        <f t="shared" si="1156"/>
        <v>0</v>
      </c>
      <c r="Q501" s="2">
        <f t="shared" si="1156"/>
        <v>0</v>
      </c>
      <c r="R501" s="2">
        <f t="shared" si="1156"/>
        <v>0</v>
      </c>
      <c r="S501" s="2">
        <f t="shared" si="1156"/>
        <v>0</v>
      </c>
      <c r="T501" s="2">
        <f t="shared" si="1156"/>
        <v>0</v>
      </c>
      <c r="U501" s="86">
        <f t="shared" si="1156"/>
        <v>0</v>
      </c>
      <c r="V501" s="2">
        <f t="shared" si="1156"/>
        <v>0</v>
      </c>
      <c r="W501" s="2">
        <f t="shared" si="1156"/>
        <v>0</v>
      </c>
      <c r="X501" s="2">
        <f t="shared" si="1156"/>
        <v>0</v>
      </c>
      <c r="Y501" s="2">
        <f t="shared" si="1156"/>
        <v>0</v>
      </c>
      <c r="Z501" s="86">
        <f t="shared" si="1156"/>
        <v>0</v>
      </c>
      <c r="AA501" s="2">
        <f t="shared" si="1156"/>
        <v>0</v>
      </c>
      <c r="AB501" s="2">
        <f t="shared" si="1156"/>
        <v>0</v>
      </c>
      <c r="AC501" s="2">
        <f t="shared" si="1156"/>
        <v>0</v>
      </c>
      <c r="AD501" s="2">
        <f t="shared" si="1156"/>
        <v>0</v>
      </c>
      <c r="AE501" s="86">
        <f t="shared" si="1156"/>
        <v>0</v>
      </c>
      <c r="AF501" s="2">
        <f t="shared" si="1156"/>
        <v>0</v>
      </c>
      <c r="AG501" s="2">
        <f t="shared" si="1156"/>
        <v>0</v>
      </c>
      <c r="AH501" s="2">
        <f t="shared" si="1156"/>
        <v>0</v>
      </c>
      <c r="AI501" s="2">
        <f t="shared" si="1156"/>
        <v>0</v>
      </c>
      <c r="AJ501" s="86">
        <f t="shared" si="1156"/>
        <v>0</v>
      </c>
      <c r="AK501" s="2">
        <f t="shared" si="1156"/>
        <v>0</v>
      </c>
      <c r="AL501" s="2">
        <f t="shared" si="1156"/>
        <v>0</v>
      </c>
      <c r="AM501" s="2">
        <f t="shared" si="1156"/>
        <v>0</v>
      </c>
      <c r="AN501" s="2">
        <f t="shared" si="1156"/>
        <v>-261.69499999999999</v>
      </c>
      <c r="AO501" s="86">
        <f t="shared" si="1156"/>
        <v>-261.69499999999999</v>
      </c>
      <c r="AP501" s="2">
        <f t="shared" si="1156"/>
        <v>0</v>
      </c>
      <c r="AQ501" s="2">
        <f t="shared" si="1156"/>
        <v>0</v>
      </c>
      <c r="AR501" s="2">
        <f t="shared" si="1156"/>
        <v>0</v>
      </c>
      <c r="AS501" s="2">
        <f t="shared" si="1156"/>
        <v>-17.25</v>
      </c>
      <c r="AT501" s="86">
        <f t="shared" si="1156"/>
        <v>-17.25</v>
      </c>
      <c r="AU501" s="2">
        <f t="shared" si="1156"/>
        <v>0</v>
      </c>
      <c r="AV501" s="2">
        <f t="shared" si="1156"/>
        <v>0</v>
      </c>
      <c r="AW501" s="2">
        <f t="shared" si="1156"/>
        <v>0</v>
      </c>
      <c r="AX501" s="2">
        <f t="shared" si="1156"/>
        <v>-17</v>
      </c>
      <c r="AY501" s="86">
        <f t="shared" si="1156"/>
        <v>-17</v>
      </c>
      <c r="AZ501" s="2">
        <f t="shared" si="1156"/>
        <v>-7.1870000000000003</v>
      </c>
      <c r="BA501" s="2">
        <f t="shared" si="1156"/>
        <v>0</v>
      </c>
      <c r="BB501" s="2">
        <f t="shared" si="1156"/>
        <v>0</v>
      </c>
      <c r="BC501" s="2">
        <f t="shared" si="1156"/>
        <v>-11.128999999999998</v>
      </c>
      <c r="BD501" s="86">
        <f t="shared" si="1156"/>
        <v>-18.315999999999999</v>
      </c>
      <c r="BE501" s="2">
        <f t="shared" si="1156"/>
        <v>0</v>
      </c>
      <c r="BF501" s="2">
        <f t="shared" si="1156"/>
        <v>-12.994</v>
      </c>
      <c r="BG501" s="2">
        <f t="shared" si="1156"/>
        <v>-11.248999999999999</v>
      </c>
      <c r="BH501" s="2">
        <f t="shared" si="1156"/>
        <v>0</v>
      </c>
      <c r="BI501" s="90">
        <f t="shared" si="1156"/>
        <v>-24.242999999999999</v>
      </c>
      <c r="BJ501" s="88">
        <v>0</v>
      </c>
      <c r="BK501" s="88">
        <v>0</v>
      </c>
      <c r="BL501" s="88">
        <v>0</v>
      </c>
      <c r="BM501" s="88">
        <v>0</v>
      </c>
      <c r="BN501" s="86">
        <f>BN667+BN673</f>
        <v>0</v>
      </c>
      <c r="BO501" s="88">
        <v>0</v>
      </c>
      <c r="BP501" s="88">
        <v>0</v>
      </c>
      <c r="BQ501" s="88">
        <v>0</v>
      </c>
      <c r="BR501" s="88">
        <v>0</v>
      </c>
      <c r="BS501" s="86">
        <f>BS667+BS673</f>
        <v>0</v>
      </c>
      <c r="BT501" s="87">
        <v>0</v>
      </c>
      <c r="BU501" s="87">
        <v>0</v>
      </c>
      <c r="BV501" s="87">
        <v>0</v>
      </c>
      <c r="BW501" s="4"/>
    </row>
    <row r="502" spans="1:75" ht="15.75" customHeight="1" x14ac:dyDescent="0.2">
      <c r="A502" s="2" t="s">
        <v>788</v>
      </c>
      <c r="B502" s="85"/>
      <c r="C502" s="86">
        <f t="shared" ref="C502:BI502" si="1157">C668</f>
        <v>0</v>
      </c>
      <c r="D502" s="86">
        <f t="shared" si="1157"/>
        <v>0</v>
      </c>
      <c r="E502" s="86">
        <f t="shared" si="1157"/>
        <v>0</v>
      </c>
      <c r="F502" s="86">
        <f t="shared" si="1157"/>
        <v>0</v>
      </c>
      <c r="G502" s="2">
        <f t="shared" si="1157"/>
        <v>0</v>
      </c>
      <c r="H502" s="2">
        <f t="shared" si="1157"/>
        <v>0</v>
      </c>
      <c r="I502" s="2">
        <f t="shared" si="1157"/>
        <v>0</v>
      </c>
      <c r="J502" s="2">
        <f t="shared" si="1157"/>
        <v>0</v>
      </c>
      <c r="K502" s="86">
        <f t="shared" si="1157"/>
        <v>0</v>
      </c>
      <c r="L502" s="2">
        <f t="shared" si="1157"/>
        <v>0</v>
      </c>
      <c r="M502" s="2">
        <f t="shared" si="1157"/>
        <v>0</v>
      </c>
      <c r="N502" s="2">
        <f t="shared" si="1157"/>
        <v>0</v>
      </c>
      <c r="O502" s="2">
        <f t="shared" si="1157"/>
        <v>0</v>
      </c>
      <c r="P502" s="86">
        <f t="shared" si="1157"/>
        <v>0</v>
      </c>
      <c r="Q502" s="2">
        <f t="shared" si="1157"/>
        <v>0</v>
      </c>
      <c r="R502" s="2">
        <f t="shared" si="1157"/>
        <v>0</v>
      </c>
      <c r="S502" s="2">
        <f t="shared" si="1157"/>
        <v>0</v>
      </c>
      <c r="T502" s="2">
        <f t="shared" si="1157"/>
        <v>0</v>
      </c>
      <c r="U502" s="86">
        <f t="shared" si="1157"/>
        <v>0</v>
      </c>
      <c r="V502" s="2">
        <f t="shared" si="1157"/>
        <v>0</v>
      </c>
      <c r="W502" s="2">
        <f t="shared" si="1157"/>
        <v>0</v>
      </c>
      <c r="X502" s="2">
        <f t="shared" si="1157"/>
        <v>0</v>
      </c>
      <c r="Y502" s="2">
        <f t="shared" si="1157"/>
        <v>0</v>
      </c>
      <c r="Z502" s="86">
        <f t="shared" si="1157"/>
        <v>0</v>
      </c>
      <c r="AA502" s="2">
        <f t="shared" si="1157"/>
        <v>0</v>
      </c>
      <c r="AB502" s="2">
        <f t="shared" si="1157"/>
        <v>0</v>
      </c>
      <c r="AC502" s="2">
        <f t="shared" si="1157"/>
        <v>0</v>
      </c>
      <c r="AD502" s="2">
        <f t="shared" si="1157"/>
        <v>0</v>
      </c>
      <c r="AE502" s="86">
        <f t="shared" si="1157"/>
        <v>0</v>
      </c>
      <c r="AF502" s="2">
        <f t="shared" si="1157"/>
        <v>0</v>
      </c>
      <c r="AG502" s="2">
        <f t="shared" si="1157"/>
        <v>0</v>
      </c>
      <c r="AH502" s="2">
        <f t="shared" si="1157"/>
        <v>0</v>
      </c>
      <c r="AI502" s="2">
        <f t="shared" si="1157"/>
        <v>0</v>
      </c>
      <c r="AJ502" s="86">
        <f t="shared" si="1157"/>
        <v>0</v>
      </c>
      <c r="AK502" s="2">
        <f t="shared" si="1157"/>
        <v>0</v>
      </c>
      <c r="AL502" s="2">
        <f t="shared" si="1157"/>
        <v>0</v>
      </c>
      <c r="AM502" s="2">
        <f t="shared" si="1157"/>
        <v>0</v>
      </c>
      <c r="AN502" s="2">
        <f t="shared" si="1157"/>
        <v>0</v>
      </c>
      <c r="AO502" s="86">
        <f t="shared" si="1157"/>
        <v>0</v>
      </c>
      <c r="AP502" s="2">
        <f t="shared" si="1157"/>
        <v>0</v>
      </c>
      <c r="AQ502" s="2">
        <f t="shared" si="1157"/>
        <v>0</v>
      </c>
      <c r="AR502" s="2">
        <f t="shared" si="1157"/>
        <v>0</v>
      </c>
      <c r="AS502" s="2">
        <f t="shared" si="1157"/>
        <v>0</v>
      </c>
      <c r="AT502" s="86">
        <f t="shared" si="1157"/>
        <v>0</v>
      </c>
      <c r="AU502" s="2">
        <f t="shared" si="1157"/>
        <v>0</v>
      </c>
      <c r="AV502" s="2">
        <f t="shared" si="1157"/>
        <v>0</v>
      </c>
      <c r="AW502" s="2">
        <f t="shared" si="1157"/>
        <v>0</v>
      </c>
      <c r="AX502" s="2">
        <f t="shared" si="1157"/>
        <v>0</v>
      </c>
      <c r="AY502" s="86">
        <f t="shared" si="1157"/>
        <v>0</v>
      </c>
      <c r="AZ502" s="2">
        <f t="shared" si="1157"/>
        <v>0</v>
      </c>
      <c r="BA502" s="2">
        <f t="shared" si="1157"/>
        <v>0</v>
      </c>
      <c r="BB502" s="2">
        <f t="shared" si="1157"/>
        <v>0</v>
      </c>
      <c r="BC502" s="2">
        <f t="shared" si="1157"/>
        <v>0</v>
      </c>
      <c r="BD502" s="86">
        <f t="shared" si="1157"/>
        <v>0</v>
      </c>
      <c r="BE502" s="2">
        <f t="shared" si="1157"/>
        <v>0</v>
      </c>
      <c r="BF502" s="2">
        <f t="shared" si="1157"/>
        <v>0</v>
      </c>
      <c r="BG502" s="2">
        <f t="shared" si="1157"/>
        <v>0</v>
      </c>
      <c r="BH502" s="2">
        <f t="shared" si="1157"/>
        <v>0</v>
      </c>
      <c r="BI502" s="90">
        <f t="shared" si="1157"/>
        <v>0</v>
      </c>
      <c r="BJ502" s="88">
        <v>0</v>
      </c>
      <c r="BK502" s="88">
        <v>0</v>
      </c>
      <c r="BL502" s="88">
        <v>0</v>
      </c>
      <c r="BM502" s="88">
        <v>0</v>
      </c>
      <c r="BN502" s="86">
        <f>BN668</f>
        <v>0</v>
      </c>
      <c r="BO502" s="88">
        <v>0</v>
      </c>
      <c r="BP502" s="88">
        <v>0</v>
      </c>
      <c r="BQ502" s="88">
        <v>0</v>
      </c>
      <c r="BR502" s="88">
        <v>0</v>
      </c>
      <c r="BS502" s="86">
        <f>BS668</f>
        <v>0</v>
      </c>
      <c r="BT502" s="87">
        <v>0</v>
      </c>
      <c r="BU502" s="87">
        <v>0</v>
      </c>
      <c r="BV502" s="87">
        <v>0</v>
      </c>
      <c r="BW502" s="4"/>
    </row>
    <row r="503" spans="1:75" ht="15.75" customHeight="1" x14ac:dyDescent="0.2">
      <c r="A503" s="2" t="s">
        <v>789</v>
      </c>
      <c r="B503" s="85"/>
      <c r="C503" s="86">
        <f t="shared" ref="C503:BI503" si="1158">C683-C408</f>
        <v>0</v>
      </c>
      <c r="D503" s="86">
        <f t="shared" si="1158"/>
        <v>0</v>
      </c>
      <c r="E503" s="86">
        <f t="shared" si="1158"/>
        <v>0</v>
      </c>
      <c r="F503" s="86">
        <f t="shared" si="1158"/>
        <v>-12.762</v>
      </c>
      <c r="G503" s="2">
        <f t="shared" si="1158"/>
        <v>-6.2549999999999999</v>
      </c>
      <c r="H503" s="2">
        <f t="shared" si="1158"/>
        <v>-6.3500000000000005</v>
      </c>
      <c r="I503" s="2">
        <f t="shared" si="1158"/>
        <v>-7.3649999999999984</v>
      </c>
      <c r="J503" s="2">
        <f t="shared" si="1158"/>
        <v>-7.2210000000000001</v>
      </c>
      <c r="K503" s="86">
        <f t="shared" si="1158"/>
        <v>-27.190999999999999</v>
      </c>
      <c r="L503" s="2">
        <f t="shared" si="1158"/>
        <v>-7.2140000000000004</v>
      </c>
      <c r="M503" s="2">
        <f t="shared" si="1158"/>
        <v>-6.923</v>
      </c>
      <c r="N503" s="2">
        <f t="shared" si="1158"/>
        <v>-8.0889999999999986</v>
      </c>
      <c r="O503" s="2">
        <f t="shared" si="1158"/>
        <v>-8.1060000000000016</v>
      </c>
      <c r="P503" s="86">
        <f t="shared" si="1158"/>
        <v>-30.332000000000001</v>
      </c>
      <c r="Q503" s="2">
        <f t="shared" si="1158"/>
        <v>-8.4429999999999996</v>
      </c>
      <c r="R503" s="2">
        <f t="shared" si="1158"/>
        <v>-7.9949999999999992</v>
      </c>
      <c r="S503" s="2">
        <f t="shared" si="1158"/>
        <v>-9.7690000000000019</v>
      </c>
      <c r="T503" s="2">
        <f t="shared" si="1158"/>
        <v>-9.7620000000000005</v>
      </c>
      <c r="U503" s="86">
        <f t="shared" si="1158"/>
        <v>-35.969000000000001</v>
      </c>
      <c r="V503" s="2">
        <f t="shared" si="1158"/>
        <v>-9.9390000000000001</v>
      </c>
      <c r="W503" s="2">
        <f t="shared" si="1158"/>
        <v>-9.6439999999999984</v>
      </c>
      <c r="X503" s="2">
        <f t="shared" si="1158"/>
        <v>-11.466000000000001</v>
      </c>
      <c r="Y503" s="2">
        <f t="shared" si="1158"/>
        <v>-11.322000000000003</v>
      </c>
      <c r="Z503" s="86">
        <f t="shared" si="1158"/>
        <v>-42.371000000000002</v>
      </c>
      <c r="AA503" s="2">
        <f t="shared" si="1158"/>
        <v>-11.685</v>
      </c>
      <c r="AB503" s="2">
        <f t="shared" si="1158"/>
        <v>-11.491999999999999</v>
      </c>
      <c r="AC503" s="2">
        <f t="shared" si="1158"/>
        <v>-13.454999999999998</v>
      </c>
      <c r="AD503" s="2">
        <f t="shared" si="1158"/>
        <v>-13.257000000000005</v>
      </c>
      <c r="AE503" s="86">
        <f t="shared" si="1158"/>
        <v>-49.889000000000003</v>
      </c>
      <c r="AF503" s="2">
        <f t="shared" si="1158"/>
        <v>-13.167999999999999</v>
      </c>
      <c r="AG503" s="2">
        <f t="shared" si="1158"/>
        <v>-13.353000000000002</v>
      </c>
      <c r="AH503" s="2">
        <f t="shared" si="1158"/>
        <v>-14.927999999999997</v>
      </c>
      <c r="AI503" s="2">
        <f t="shared" si="1158"/>
        <v>-14.802</v>
      </c>
      <c r="AJ503" s="86">
        <f t="shared" si="1158"/>
        <v>-56.250999999999998</v>
      </c>
      <c r="AK503" s="2">
        <f t="shared" si="1158"/>
        <v>-14.628</v>
      </c>
      <c r="AL503" s="2">
        <f t="shared" si="1158"/>
        <v>-14.658999999999999</v>
      </c>
      <c r="AM503" s="2">
        <f t="shared" si="1158"/>
        <v>-15.703000000000003</v>
      </c>
      <c r="AN503" s="2">
        <f t="shared" si="1158"/>
        <v>-15.731999999999999</v>
      </c>
      <c r="AO503" s="86">
        <f t="shared" si="1158"/>
        <v>-60.722000000000001</v>
      </c>
      <c r="AP503" s="2">
        <f t="shared" si="1158"/>
        <v>-15.791</v>
      </c>
      <c r="AQ503" s="2">
        <f t="shared" si="1158"/>
        <v>-13.951000000000001</v>
      </c>
      <c r="AR503" s="2">
        <f t="shared" si="1158"/>
        <v>-4.8380000000000001</v>
      </c>
      <c r="AS503" s="2">
        <f t="shared" si="1158"/>
        <v>-4.9530000000000003</v>
      </c>
      <c r="AT503" s="86">
        <f t="shared" si="1158"/>
        <v>-39.533000000000001</v>
      </c>
      <c r="AU503" s="2">
        <f t="shared" si="1158"/>
        <v>-7.2490000000000006</v>
      </c>
      <c r="AV503" s="2">
        <f t="shared" si="1158"/>
        <v>-14.799999999999999</v>
      </c>
      <c r="AW503" s="2">
        <f t="shared" si="1158"/>
        <v>0</v>
      </c>
      <c r="AX503" s="2">
        <f t="shared" si="1158"/>
        <v>0</v>
      </c>
      <c r="AY503" s="86">
        <f t="shared" si="1158"/>
        <v>-23.579000000000001</v>
      </c>
      <c r="AZ503" s="2">
        <f t="shared" si="1158"/>
        <v>0</v>
      </c>
      <c r="BA503" s="2">
        <f t="shared" si="1158"/>
        <v>-14.288</v>
      </c>
      <c r="BB503" s="2">
        <f t="shared" si="1158"/>
        <v>-14.062000000000001</v>
      </c>
      <c r="BC503" s="2">
        <f t="shared" si="1158"/>
        <v>-13.921999999999997</v>
      </c>
      <c r="BD503" s="86">
        <f t="shared" si="1158"/>
        <v>-42.271999999999998</v>
      </c>
      <c r="BE503" s="2">
        <f t="shared" si="1158"/>
        <v>-13.182</v>
      </c>
      <c r="BF503" s="2">
        <f t="shared" si="1158"/>
        <v>-13.816000000000001</v>
      </c>
      <c r="BG503" s="2">
        <f t="shared" si="1158"/>
        <v>-13.127999999999997</v>
      </c>
      <c r="BH503" s="2">
        <f t="shared" si="1158"/>
        <v>-13.081000000000003</v>
      </c>
      <c r="BI503" s="90">
        <f t="shared" si="1158"/>
        <v>-53.207000000000001</v>
      </c>
      <c r="BJ503" s="2">
        <f t="shared" ref="BJ503:BM503" ca="1" si="1159">BJ504*-BJ424-BJ408</f>
        <v>-12.8974996727415</v>
      </c>
      <c r="BK503" s="2">
        <f t="shared" ca="1" si="1159"/>
        <v>-12.898789422708774</v>
      </c>
      <c r="BL503" s="2">
        <f t="shared" ca="1" si="1159"/>
        <v>-12.900079301651045</v>
      </c>
      <c r="BM503" s="2">
        <f t="shared" ca="1" si="1159"/>
        <v>-12.901369309581209</v>
      </c>
      <c r="BN503" s="86">
        <f ca="1">BN683-BN408</f>
        <v>-51.597737706682523</v>
      </c>
      <c r="BO503" s="2">
        <f t="shared" ref="BO503:BR503" ca="1" si="1160">BO504*-BO424-BO408</f>
        <v>-12.902659446512168</v>
      </c>
      <c r="BP503" s="2">
        <f t="shared" ca="1" si="1160"/>
        <v>-12.903949712456818</v>
      </c>
      <c r="BQ503" s="2">
        <f t="shared" ca="1" si="1160"/>
        <v>-12.905240107428064</v>
      </c>
      <c r="BR503" s="2">
        <f t="shared" ca="1" si="1160"/>
        <v>-12.906530631438805</v>
      </c>
      <c r="BS503" s="86">
        <f ca="1">BS683-BS408</f>
        <v>-51.618379897835858</v>
      </c>
      <c r="BT503" s="86">
        <f t="shared" ref="BT503:BV503" ca="1" si="1161">BT504*-BT424-BT408</f>
        <v>-51.639029443563224</v>
      </c>
      <c r="BU503" s="86">
        <f t="shared" ca="1" si="1161"/>
        <v>-51.659685055340645</v>
      </c>
      <c r="BV503" s="86">
        <f t="shared" ca="1" si="1161"/>
        <v>-51.680348929362786</v>
      </c>
      <c r="BW503" s="4"/>
    </row>
    <row r="504" spans="1:75" ht="15.75" customHeight="1" x14ac:dyDescent="0.2">
      <c r="A504" s="424" t="s">
        <v>790</v>
      </c>
      <c r="B504" s="425"/>
      <c r="C504" s="426">
        <v>0</v>
      </c>
      <c r="D504" s="426">
        <v>0</v>
      </c>
      <c r="E504" s="426">
        <v>0</v>
      </c>
      <c r="F504" s="426">
        <v>0.24</v>
      </c>
      <c r="G504" s="427">
        <v>0.12</v>
      </c>
      <c r="H504" s="427">
        <v>0.12</v>
      </c>
      <c r="I504" s="427">
        <v>0.14000000000000001</v>
      </c>
      <c r="J504" s="427">
        <v>0.14000000000000001</v>
      </c>
      <c r="K504" s="428">
        <f>SUM(G504,H504,I504,J504)</f>
        <v>0.52</v>
      </c>
      <c r="L504" s="427">
        <v>0.14000000000000001</v>
      </c>
      <c r="M504" s="427">
        <v>0.14000000000000001</v>
      </c>
      <c r="N504" s="427">
        <v>0.16500000000000001</v>
      </c>
      <c r="O504" s="427">
        <v>0.16500000000000001</v>
      </c>
      <c r="P504" s="428">
        <f>SUM(L504,M504,N504,O504)</f>
        <v>0.6100000000000001</v>
      </c>
      <c r="Q504" s="427">
        <v>0.16500000000000001</v>
      </c>
      <c r="R504" s="427">
        <v>0.16500000000000001</v>
      </c>
      <c r="S504" s="427">
        <v>0.2</v>
      </c>
      <c r="T504" s="427">
        <v>0.2</v>
      </c>
      <c r="U504" s="428">
        <f>SUM(Q504,R504,S504,T504)</f>
        <v>0.73</v>
      </c>
      <c r="V504" s="427">
        <v>0.2</v>
      </c>
      <c r="W504" s="427">
        <v>0.2</v>
      </c>
      <c r="X504" s="427">
        <v>0.24</v>
      </c>
      <c r="Y504" s="427">
        <v>0.24</v>
      </c>
      <c r="Z504" s="428">
        <f>SUM(V504,W504,X504,Y504)</f>
        <v>0.88</v>
      </c>
      <c r="AA504" s="427">
        <v>0.24</v>
      </c>
      <c r="AB504" s="427">
        <v>0.24</v>
      </c>
      <c r="AC504" s="427">
        <v>0.28999999999999998</v>
      </c>
      <c r="AD504" s="427">
        <v>0.28999999999999998</v>
      </c>
      <c r="AE504" s="428">
        <f>SUM(AA504,AB504,AC504,AD504)</f>
        <v>1.06</v>
      </c>
      <c r="AF504" s="427">
        <v>0.28999999999999998</v>
      </c>
      <c r="AG504" s="427">
        <v>0.28999999999999998</v>
      </c>
      <c r="AH504" s="427">
        <v>0.33</v>
      </c>
      <c r="AI504" s="427">
        <v>0.33</v>
      </c>
      <c r="AJ504" s="428">
        <f>SUM(AF504,AG504,AH504,AI504)</f>
        <v>1.24</v>
      </c>
      <c r="AK504" s="427">
        <v>0.33</v>
      </c>
      <c r="AL504" s="427">
        <v>0.33</v>
      </c>
      <c r="AM504" s="427">
        <v>0.36</v>
      </c>
      <c r="AN504" s="427">
        <v>0.36</v>
      </c>
      <c r="AO504" s="428">
        <f>SUM(AK504,AL504,AM504,AN504)</f>
        <v>1.38</v>
      </c>
      <c r="AP504" s="427">
        <v>0.36</v>
      </c>
      <c r="AQ504" s="427">
        <v>0</v>
      </c>
      <c r="AR504" s="427">
        <v>0</v>
      </c>
      <c r="AS504" s="427">
        <v>0</v>
      </c>
      <c r="AT504" s="428">
        <f>SUM(AP504,AQ504,AR504,AS504)</f>
        <v>0.36</v>
      </c>
      <c r="AU504" s="427">
        <v>0</v>
      </c>
      <c r="AV504" s="427">
        <v>0</v>
      </c>
      <c r="AW504" s="427">
        <v>0</v>
      </c>
      <c r="AX504" s="427">
        <v>0</v>
      </c>
      <c r="AY504" s="428">
        <f>SUM(AU504,AV504,AW504,AX504)</f>
        <v>0</v>
      </c>
      <c r="AZ504" s="427">
        <v>0</v>
      </c>
      <c r="BA504" s="427">
        <v>0.27</v>
      </c>
      <c r="BB504" s="427">
        <v>0.27</v>
      </c>
      <c r="BC504" s="427">
        <v>0.27</v>
      </c>
      <c r="BD504" s="428">
        <f>SUM(AZ504,BA504,BB504,BC504)</f>
        <v>0.81</v>
      </c>
      <c r="BE504" s="427">
        <v>0.27</v>
      </c>
      <c r="BF504" s="427">
        <v>0.27</v>
      </c>
      <c r="BG504" s="427">
        <v>0.27</v>
      </c>
      <c r="BH504" s="427">
        <v>0.27</v>
      </c>
      <c r="BI504" s="429">
        <f>SUM(BE504,BF504,BG504,BH504)</f>
        <v>1.08</v>
      </c>
      <c r="BJ504" s="427">
        <v>0.27</v>
      </c>
      <c r="BK504" s="427">
        <v>0.27</v>
      </c>
      <c r="BL504" s="427">
        <v>0.27</v>
      </c>
      <c r="BM504" s="427">
        <v>0.27</v>
      </c>
      <c r="BN504" s="428">
        <f>SUM(BJ504,BK504,BL504,BM504)</f>
        <v>1.08</v>
      </c>
      <c r="BO504" s="427">
        <v>0.27</v>
      </c>
      <c r="BP504" s="427">
        <v>0.27</v>
      </c>
      <c r="BQ504" s="427">
        <v>0.27</v>
      </c>
      <c r="BR504" s="427">
        <v>0.27</v>
      </c>
      <c r="BS504" s="428">
        <f>SUM(BO504,BP504,BQ504,BR504)</f>
        <v>1.08</v>
      </c>
      <c r="BT504" s="426">
        <v>1.08</v>
      </c>
      <c r="BU504" s="426">
        <v>1.08</v>
      </c>
      <c r="BV504" s="426">
        <v>1.08</v>
      </c>
      <c r="BW504" s="430"/>
    </row>
    <row r="505" spans="1:75" ht="15.75" customHeight="1" x14ac:dyDescent="0.2">
      <c r="A505" s="424"/>
      <c r="B505" s="425"/>
      <c r="C505" s="428"/>
      <c r="D505" s="428"/>
      <c r="E505" s="428"/>
      <c r="F505" s="428"/>
      <c r="G505" s="424"/>
      <c r="H505" s="424"/>
      <c r="I505" s="424"/>
      <c r="J505" s="424"/>
      <c r="K505" s="428"/>
      <c r="L505" s="424"/>
      <c r="M505" s="424"/>
      <c r="N505" s="424"/>
      <c r="O505" s="424"/>
      <c r="P505" s="428"/>
      <c r="Q505" s="424"/>
      <c r="R505" s="424"/>
      <c r="S505" s="424"/>
      <c r="T505" s="424"/>
      <c r="U505" s="428"/>
      <c r="V505" s="424"/>
      <c r="W505" s="424"/>
      <c r="X505" s="424"/>
      <c r="Y505" s="424"/>
      <c r="Z505" s="428"/>
      <c r="AA505" s="424"/>
      <c r="AB505" s="424"/>
      <c r="AC505" s="424"/>
      <c r="AD505" s="424"/>
      <c r="AE505" s="428"/>
      <c r="AF505" s="424"/>
      <c r="AG505" s="424"/>
      <c r="AH505" s="424"/>
      <c r="AI505" s="424"/>
      <c r="AJ505" s="428"/>
      <c r="AK505" s="424"/>
      <c r="AL505" s="424"/>
      <c r="AM505" s="424"/>
      <c r="AN505" s="424"/>
      <c r="AO505" s="428"/>
      <c r="AP505" s="424"/>
      <c r="AQ505" s="424"/>
      <c r="AR505" s="424"/>
      <c r="AS505" s="424"/>
      <c r="AT505" s="428"/>
      <c r="AU505" s="424"/>
      <c r="AV505" s="424"/>
      <c r="AW505" s="424"/>
      <c r="AX505" s="424"/>
      <c r="AY505" s="428"/>
      <c r="AZ505" s="424"/>
      <c r="BA505" s="424"/>
      <c r="BB505" s="424"/>
      <c r="BC505" s="424"/>
      <c r="BD505" s="428"/>
      <c r="BE505" s="424"/>
      <c r="BF505" s="424"/>
      <c r="BG505" s="424"/>
      <c r="BH505" s="424"/>
      <c r="BI505" s="429"/>
      <c r="BJ505" s="424"/>
      <c r="BK505" s="424"/>
      <c r="BL505" s="424"/>
      <c r="BM505" s="424"/>
      <c r="BN505" s="428"/>
      <c r="BO505" s="424"/>
      <c r="BP505" s="424"/>
      <c r="BQ505" s="424"/>
      <c r="BR505" s="424"/>
      <c r="BS505" s="428"/>
      <c r="BT505" s="428"/>
      <c r="BU505" s="428"/>
      <c r="BV505" s="428"/>
      <c r="BW505" s="430"/>
    </row>
    <row r="506" spans="1:75" ht="15.75" customHeight="1" x14ac:dyDescent="0.2">
      <c r="A506" s="424" t="s">
        <v>791</v>
      </c>
      <c r="B506" s="425"/>
      <c r="C506" s="86">
        <f t="shared" ref="C506:BI506" si="1162">+C676+C677+C682+C678+C679</f>
        <v>-175</v>
      </c>
      <c r="D506" s="86">
        <f t="shared" si="1162"/>
        <v>-100</v>
      </c>
      <c r="E506" s="86">
        <f t="shared" si="1162"/>
        <v>0</v>
      </c>
      <c r="F506" s="86">
        <f t="shared" si="1162"/>
        <v>0</v>
      </c>
      <c r="G506" s="2">
        <f t="shared" si="1162"/>
        <v>0</v>
      </c>
      <c r="H506" s="2">
        <f t="shared" si="1162"/>
        <v>0</v>
      </c>
      <c r="I506" s="2">
        <f t="shared" si="1162"/>
        <v>0</v>
      </c>
      <c r="J506" s="2">
        <f t="shared" si="1162"/>
        <v>0</v>
      </c>
      <c r="K506" s="86">
        <f t="shared" si="1162"/>
        <v>0</v>
      </c>
      <c r="L506" s="2">
        <f t="shared" si="1162"/>
        <v>25</v>
      </c>
      <c r="M506" s="2">
        <f t="shared" si="1162"/>
        <v>0</v>
      </c>
      <c r="N506" s="2">
        <f t="shared" si="1162"/>
        <v>0</v>
      </c>
      <c r="O506" s="2">
        <f t="shared" si="1162"/>
        <v>-25</v>
      </c>
      <c r="P506" s="86">
        <f t="shared" si="1162"/>
        <v>0</v>
      </c>
      <c r="Q506" s="2">
        <f t="shared" si="1162"/>
        <v>25</v>
      </c>
      <c r="R506" s="2">
        <f t="shared" si="1162"/>
        <v>0</v>
      </c>
      <c r="S506" s="2">
        <f t="shared" si="1162"/>
        <v>-25</v>
      </c>
      <c r="T506" s="2">
        <f t="shared" si="1162"/>
        <v>0</v>
      </c>
      <c r="U506" s="86">
        <f t="shared" si="1162"/>
        <v>0</v>
      </c>
      <c r="V506" s="2">
        <f t="shared" si="1162"/>
        <v>0</v>
      </c>
      <c r="W506" s="2">
        <f t="shared" si="1162"/>
        <v>0</v>
      </c>
      <c r="X506" s="2">
        <f t="shared" si="1162"/>
        <v>0</v>
      </c>
      <c r="Y506" s="2">
        <f t="shared" si="1162"/>
        <v>0</v>
      </c>
      <c r="Z506" s="86">
        <f t="shared" si="1162"/>
        <v>0</v>
      </c>
      <c r="AA506" s="2">
        <f t="shared" si="1162"/>
        <v>0</v>
      </c>
      <c r="AB506" s="2">
        <f t="shared" si="1162"/>
        <v>0</v>
      </c>
      <c r="AC506" s="2">
        <f t="shared" si="1162"/>
        <v>30</v>
      </c>
      <c r="AD506" s="2">
        <f t="shared" si="1162"/>
        <v>-20</v>
      </c>
      <c r="AE506" s="86">
        <f t="shared" si="1162"/>
        <v>10</v>
      </c>
      <c r="AF506" s="2">
        <f t="shared" si="1162"/>
        <v>20</v>
      </c>
      <c r="AG506" s="2">
        <f t="shared" si="1162"/>
        <v>-10</v>
      </c>
      <c r="AH506" s="2">
        <f t="shared" si="1162"/>
        <v>0</v>
      </c>
      <c r="AI506" s="2">
        <f t="shared" si="1162"/>
        <v>-10</v>
      </c>
      <c r="AJ506" s="86">
        <f t="shared" si="1162"/>
        <v>0</v>
      </c>
      <c r="AK506" s="2">
        <f t="shared" si="1162"/>
        <v>10</v>
      </c>
      <c r="AL506" s="2">
        <f t="shared" si="1162"/>
        <v>15</v>
      </c>
      <c r="AM506" s="2">
        <f t="shared" si="1162"/>
        <v>300</v>
      </c>
      <c r="AN506" s="2">
        <f t="shared" si="1162"/>
        <v>-45</v>
      </c>
      <c r="AO506" s="86">
        <f t="shared" si="1162"/>
        <v>280</v>
      </c>
      <c r="AP506" s="2">
        <f t="shared" si="1162"/>
        <v>90</v>
      </c>
      <c r="AQ506" s="2">
        <f t="shared" si="1162"/>
        <v>-4</v>
      </c>
      <c r="AR506" s="2">
        <f t="shared" si="1162"/>
        <v>0</v>
      </c>
      <c r="AS506" s="2">
        <f t="shared" si="1162"/>
        <v>-96</v>
      </c>
      <c r="AT506" s="86">
        <f t="shared" si="1162"/>
        <v>-10</v>
      </c>
      <c r="AU506" s="2">
        <f t="shared" si="1162"/>
        <v>0</v>
      </c>
      <c r="AV506" s="2">
        <f t="shared" si="1162"/>
        <v>184.92599999999999</v>
      </c>
      <c r="AW506" s="2">
        <f t="shared" si="1162"/>
        <v>0</v>
      </c>
      <c r="AX506" s="2">
        <f t="shared" si="1162"/>
        <v>0</v>
      </c>
      <c r="AY506" s="86">
        <f t="shared" si="1162"/>
        <v>184.92599999999999</v>
      </c>
      <c r="AZ506" s="2">
        <f t="shared" si="1162"/>
        <v>0</v>
      </c>
      <c r="BA506" s="2">
        <f t="shared" si="1162"/>
        <v>0</v>
      </c>
      <c r="BB506" s="2">
        <f t="shared" si="1162"/>
        <v>0</v>
      </c>
      <c r="BC506" s="2">
        <f t="shared" si="1162"/>
        <v>0</v>
      </c>
      <c r="BD506" s="86">
        <f t="shared" si="1162"/>
        <v>0</v>
      </c>
      <c r="BE506" s="2">
        <f t="shared" si="1162"/>
        <v>0</v>
      </c>
      <c r="BF506" s="2">
        <f t="shared" si="1162"/>
        <v>0</v>
      </c>
      <c r="BG506" s="2">
        <f t="shared" si="1162"/>
        <v>0</v>
      </c>
      <c r="BH506" s="2">
        <f t="shared" si="1162"/>
        <v>0</v>
      </c>
      <c r="BI506" s="90">
        <f t="shared" si="1162"/>
        <v>0</v>
      </c>
      <c r="BJ506" s="88">
        <v>0</v>
      </c>
      <c r="BK506" s="88">
        <v>0</v>
      </c>
      <c r="BL506" s="88">
        <v>0</v>
      </c>
      <c r="BM506" s="88">
        <v>0</v>
      </c>
      <c r="BN506" s="86">
        <f>+BN676+BN677+BN682+BN678+BN679</f>
        <v>0</v>
      </c>
      <c r="BO506" s="88">
        <v>0</v>
      </c>
      <c r="BP506" s="88">
        <v>0</v>
      </c>
      <c r="BQ506" s="88">
        <v>0</v>
      </c>
      <c r="BR506" s="88">
        <v>0</v>
      </c>
      <c r="BS506" s="86">
        <f>+BS676+BS677+BS682+BS678+BS679</f>
        <v>0</v>
      </c>
      <c r="BT506" s="87">
        <v>0</v>
      </c>
      <c r="BU506" s="87">
        <v>0</v>
      </c>
      <c r="BV506" s="87">
        <v>0</v>
      </c>
      <c r="BW506" s="430"/>
    </row>
    <row r="507" spans="1:75" ht="15.75" customHeight="1" x14ac:dyDescent="0.2">
      <c r="A507" s="424" t="s">
        <v>792</v>
      </c>
      <c r="B507" s="425"/>
      <c r="C507" s="86">
        <f t="shared" ref="C507:BI507" si="1163">C680+C681+C684+C685+C691+C692+C686+C687+C688+C689+C690</f>
        <v>2.54</v>
      </c>
      <c r="D507" s="86">
        <f t="shared" si="1163"/>
        <v>-18.153999999999996</v>
      </c>
      <c r="E507" s="86">
        <f t="shared" si="1163"/>
        <v>-155.239</v>
      </c>
      <c r="F507" s="86">
        <f t="shared" si="1163"/>
        <v>-59.307999999999993</v>
      </c>
      <c r="G507" s="2">
        <f t="shared" si="1163"/>
        <v>-19.785</v>
      </c>
      <c r="H507" s="2">
        <f t="shared" si="1163"/>
        <v>27.187999999999999</v>
      </c>
      <c r="I507" s="2">
        <f t="shared" si="1163"/>
        <v>-74.77300000000001</v>
      </c>
      <c r="J507" s="2">
        <f t="shared" si="1163"/>
        <v>-35.627999999999986</v>
      </c>
      <c r="K507" s="86">
        <f t="shared" si="1163"/>
        <v>-102.99799999999999</v>
      </c>
      <c r="L507" s="2">
        <f t="shared" si="1163"/>
        <v>-94.134999999999991</v>
      </c>
      <c r="M507" s="2">
        <f t="shared" si="1163"/>
        <v>-20.413000000000004</v>
      </c>
      <c r="N507" s="2">
        <f t="shared" si="1163"/>
        <v>-6.7949999999999999</v>
      </c>
      <c r="O507" s="2">
        <f t="shared" si="1163"/>
        <v>12.660999999999996</v>
      </c>
      <c r="P507" s="86">
        <f t="shared" si="1163"/>
        <v>-108.682</v>
      </c>
      <c r="Q507" s="2">
        <f t="shared" si="1163"/>
        <v>-75.003999999999991</v>
      </c>
      <c r="R507" s="2">
        <f t="shared" si="1163"/>
        <v>10.923999999999992</v>
      </c>
      <c r="S507" s="2">
        <f t="shared" si="1163"/>
        <v>9.1629999999999967</v>
      </c>
      <c r="T507" s="2">
        <f t="shared" si="1163"/>
        <v>-14.147999999999991</v>
      </c>
      <c r="U507" s="86">
        <f t="shared" si="1163"/>
        <v>-69.064999999999998</v>
      </c>
      <c r="V507" s="2">
        <f t="shared" si="1163"/>
        <v>-32.367000000000004</v>
      </c>
      <c r="W507" s="2">
        <f t="shared" si="1163"/>
        <v>-23.832999999999995</v>
      </c>
      <c r="X507" s="2">
        <f t="shared" si="1163"/>
        <v>-35.357000000000014</v>
      </c>
      <c r="Y507" s="2">
        <f t="shared" si="1163"/>
        <v>-12.671000000000006</v>
      </c>
      <c r="Z507" s="86">
        <f t="shared" si="1163"/>
        <v>-104.22800000000001</v>
      </c>
      <c r="AA507" s="2">
        <f t="shared" si="1163"/>
        <v>-3.923</v>
      </c>
      <c r="AB507" s="2">
        <f t="shared" si="1163"/>
        <v>-18.921999999999997</v>
      </c>
      <c r="AC507" s="2">
        <f t="shared" si="1163"/>
        <v>-75.434999999999988</v>
      </c>
      <c r="AD507" s="2">
        <f t="shared" si="1163"/>
        <v>-15.658999999999999</v>
      </c>
      <c r="AE507" s="86">
        <f t="shared" si="1163"/>
        <v>-113.93899999999999</v>
      </c>
      <c r="AF507" s="2">
        <f t="shared" si="1163"/>
        <v>-34.363</v>
      </c>
      <c r="AG507" s="2">
        <f t="shared" si="1163"/>
        <v>-1.3490000000000046</v>
      </c>
      <c r="AH507" s="2">
        <f t="shared" si="1163"/>
        <v>-17.843999999999998</v>
      </c>
      <c r="AI507" s="2">
        <f t="shared" si="1163"/>
        <v>-47.143999999999991</v>
      </c>
      <c r="AJ507" s="86">
        <f t="shared" si="1163"/>
        <v>-100.69999999999999</v>
      </c>
      <c r="AK507" s="2">
        <f t="shared" si="1163"/>
        <v>-5.5299999999999994</v>
      </c>
      <c r="AL507" s="2">
        <f t="shared" si="1163"/>
        <v>-27.443000000000005</v>
      </c>
      <c r="AM507" s="2">
        <f t="shared" si="1163"/>
        <v>-11.071999999999999</v>
      </c>
      <c r="AN507" s="2">
        <f t="shared" si="1163"/>
        <v>0.78700000000000081</v>
      </c>
      <c r="AO507" s="86">
        <f t="shared" si="1163"/>
        <v>-43.257999999999996</v>
      </c>
      <c r="AP507" s="2">
        <f t="shared" si="1163"/>
        <v>-2.4729999999999999</v>
      </c>
      <c r="AQ507" s="2">
        <f t="shared" si="1163"/>
        <v>189.477</v>
      </c>
      <c r="AR507" s="2">
        <f t="shared" si="1163"/>
        <v>-0.39000000000000012</v>
      </c>
      <c r="AS507" s="2">
        <f t="shared" si="1163"/>
        <v>0.11899999999999999</v>
      </c>
      <c r="AT507" s="86">
        <f t="shared" si="1163"/>
        <v>186.73299999999998</v>
      </c>
      <c r="AU507" s="2">
        <f t="shared" si="1163"/>
        <v>16.465999999999998</v>
      </c>
      <c r="AV507" s="2">
        <f t="shared" si="1163"/>
        <v>-291.67699999999996</v>
      </c>
      <c r="AW507" s="2">
        <f t="shared" si="1163"/>
        <v>-0.68100000000000005</v>
      </c>
      <c r="AX507" s="2">
        <f t="shared" si="1163"/>
        <v>-0.52399999999999913</v>
      </c>
      <c r="AY507" s="86">
        <f t="shared" si="1163"/>
        <v>-276.416</v>
      </c>
      <c r="AZ507" s="2">
        <f t="shared" si="1163"/>
        <v>-3.855</v>
      </c>
      <c r="BA507" s="2">
        <f t="shared" si="1163"/>
        <v>-10.879</v>
      </c>
      <c r="BB507" s="2">
        <f t="shared" si="1163"/>
        <v>-26.678000000000001</v>
      </c>
      <c r="BC507" s="2">
        <f t="shared" si="1163"/>
        <v>-21.635999999999996</v>
      </c>
      <c r="BD507" s="86">
        <f t="shared" si="1163"/>
        <v>-63.047999999999995</v>
      </c>
      <c r="BE507" s="2">
        <f t="shared" si="1163"/>
        <v>-12.375999999999999</v>
      </c>
      <c r="BF507" s="2">
        <f t="shared" si="1163"/>
        <v>-9.3190000000000008</v>
      </c>
      <c r="BG507" s="2">
        <f t="shared" si="1163"/>
        <v>-14.564999999999998</v>
      </c>
      <c r="BH507" s="2">
        <f t="shared" si="1163"/>
        <v>-9.8250000000000028</v>
      </c>
      <c r="BI507" s="90">
        <f t="shared" si="1163"/>
        <v>-46.085000000000001</v>
      </c>
      <c r="BJ507" s="88">
        <v>0</v>
      </c>
      <c r="BK507" s="88">
        <v>0</v>
      </c>
      <c r="BL507" s="88">
        <v>0</v>
      </c>
      <c r="BM507" s="88">
        <v>0</v>
      </c>
      <c r="BN507" s="86">
        <f>BN680+BN681+BN684+BN685+BN691+BN692+BN686+BN687+BN688+BN689+BN690</f>
        <v>0</v>
      </c>
      <c r="BO507" s="88">
        <v>0</v>
      </c>
      <c r="BP507" s="88">
        <v>0</v>
      </c>
      <c r="BQ507" s="88">
        <v>0</v>
      </c>
      <c r="BR507" s="88">
        <v>0</v>
      </c>
      <c r="BS507" s="86">
        <f>BS680+BS681+BS684+BS685+BS691+BS692+BS686+BS687+BS688+BS689+BS690</f>
        <v>0</v>
      </c>
      <c r="BT507" s="87">
        <v>0</v>
      </c>
      <c r="BU507" s="87">
        <v>0</v>
      </c>
      <c r="BV507" s="87">
        <v>0</v>
      </c>
      <c r="BW507" s="430"/>
    </row>
    <row r="508" spans="1:75" ht="15.75" customHeight="1" x14ac:dyDescent="0.2">
      <c r="A508" s="431" t="s">
        <v>793</v>
      </c>
      <c r="B508" s="432"/>
      <c r="C508" s="433"/>
      <c r="D508" s="433"/>
      <c r="E508" s="433"/>
      <c r="F508" s="433"/>
      <c r="G508" s="434"/>
      <c r="H508" s="434"/>
      <c r="I508" s="434"/>
      <c r="J508" s="434"/>
      <c r="K508" s="433"/>
      <c r="L508" s="434"/>
      <c r="M508" s="434"/>
      <c r="N508" s="434"/>
      <c r="O508" s="434"/>
      <c r="P508" s="433"/>
      <c r="Q508" s="434"/>
      <c r="R508" s="434"/>
      <c r="S508" s="434"/>
      <c r="T508" s="434"/>
      <c r="U508" s="433"/>
      <c r="V508" s="434"/>
      <c r="W508" s="434"/>
      <c r="X508" s="434"/>
      <c r="Y508" s="434"/>
      <c r="Z508" s="433"/>
      <c r="AA508" s="434"/>
      <c r="AB508" s="434"/>
      <c r="AC508" s="434"/>
      <c r="AD508" s="434"/>
      <c r="AE508" s="433"/>
      <c r="AF508" s="434"/>
      <c r="AG508" s="434"/>
      <c r="AH508" s="434"/>
      <c r="AI508" s="434"/>
      <c r="AJ508" s="433"/>
      <c r="AK508" s="434"/>
      <c r="AL508" s="434"/>
      <c r="AM508" s="434"/>
      <c r="AN508" s="434"/>
      <c r="AO508" s="433"/>
      <c r="AP508" s="434"/>
      <c r="AQ508" s="434"/>
      <c r="AR508" s="434"/>
      <c r="AS508" s="434"/>
      <c r="AT508" s="433"/>
      <c r="AU508" s="434"/>
      <c r="AV508" s="434"/>
      <c r="AW508" s="434"/>
      <c r="AX508" s="434"/>
      <c r="AY508" s="433"/>
      <c r="AZ508" s="434"/>
      <c r="BA508" s="434"/>
      <c r="BB508" s="434"/>
      <c r="BC508" s="434"/>
      <c r="BD508" s="433"/>
      <c r="BE508" s="434"/>
      <c r="BF508" s="434"/>
      <c r="BG508" s="434"/>
      <c r="BH508" s="434"/>
      <c r="BI508" s="435"/>
      <c r="BJ508" s="436">
        <v>35</v>
      </c>
      <c r="BK508" s="436">
        <v>35</v>
      </c>
      <c r="BL508" s="436">
        <v>35</v>
      </c>
      <c r="BM508" s="436">
        <v>35</v>
      </c>
      <c r="BN508" s="433">
        <f>AVERAGE(BJ508,BK508,BL508,BM508)</f>
        <v>35</v>
      </c>
      <c r="BO508" s="436">
        <v>38</v>
      </c>
      <c r="BP508" s="436">
        <v>38</v>
      </c>
      <c r="BQ508" s="436">
        <v>38</v>
      </c>
      <c r="BR508" s="436">
        <v>38</v>
      </c>
      <c r="BS508" s="433">
        <f>AVERAGE(BO508,BP508,BQ508,BR508)</f>
        <v>38</v>
      </c>
      <c r="BT508" s="437">
        <v>42</v>
      </c>
      <c r="BU508" s="437">
        <v>46</v>
      </c>
      <c r="BV508" s="437">
        <v>51</v>
      </c>
      <c r="BW508" s="430"/>
    </row>
    <row r="509" spans="1:75" ht="15.75" customHeight="1" x14ac:dyDescent="0.2">
      <c r="A509" s="333"/>
      <c r="B509" s="333"/>
      <c r="C509" s="334"/>
      <c r="D509" s="334"/>
      <c r="E509" s="334"/>
      <c r="F509" s="334"/>
      <c r="G509" s="335"/>
      <c r="H509" s="335"/>
      <c r="I509" s="335"/>
      <c r="J509" s="335"/>
      <c r="K509" s="334"/>
      <c r="L509" s="335"/>
      <c r="M509" s="335"/>
      <c r="N509" s="335"/>
      <c r="O509" s="335"/>
      <c r="P509" s="334"/>
      <c r="Q509" s="335"/>
      <c r="R509" s="335"/>
      <c r="S509" s="335"/>
      <c r="T509" s="335"/>
      <c r="U509" s="334"/>
      <c r="V509" s="335"/>
      <c r="W509" s="335"/>
      <c r="X509" s="335"/>
      <c r="Y509" s="335"/>
      <c r="Z509" s="334"/>
      <c r="AA509" s="335"/>
      <c r="AB509" s="335"/>
      <c r="AC509" s="335"/>
      <c r="AD509" s="335"/>
      <c r="AE509" s="334"/>
      <c r="AF509" s="335"/>
      <c r="AG509" s="335"/>
      <c r="AH509" s="335"/>
      <c r="AI509" s="335"/>
      <c r="AJ509" s="334"/>
      <c r="AK509" s="335"/>
      <c r="AL509" s="335"/>
      <c r="AM509" s="335"/>
      <c r="AN509" s="335"/>
      <c r="AO509" s="334"/>
      <c r="AP509" s="335"/>
      <c r="AQ509" s="335"/>
      <c r="AR509" s="335"/>
      <c r="AS509" s="335"/>
      <c r="AT509" s="334"/>
      <c r="AU509" s="335"/>
      <c r="AV509" s="335"/>
      <c r="AW509" s="335"/>
      <c r="AX509" s="335"/>
      <c r="AY509" s="334"/>
      <c r="AZ509" s="335"/>
      <c r="BA509" s="335"/>
      <c r="BB509" s="335"/>
      <c r="BC509" s="335"/>
      <c r="BD509" s="334"/>
      <c r="BE509" s="335"/>
      <c r="BF509" s="335"/>
      <c r="BG509" s="335"/>
      <c r="BH509" s="335"/>
      <c r="BI509" s="339"/>
      <c r="BJ509" s="335"/>
      <c r="BK509" s="335"/>
      <c r="BL509" s="335"/>
      <c r="BM509" s="335"/>
      <c r="BN509" s="334"/>
      <c r="BO509" s="335"/>
      <c r="BP509" s="335"/>
      <c r="BQ509" s="335"/>
      <c r="BR509" s="335"/>
      <c r="BS509" s="334"/>
      <c r="BT509" s="334"/>
      <c r="BU509" s="334"/>
      <c r="BV509" s="334"/>
      <c r="BW509" s="345"/>
    </row>
    <row r="510" spans="1:75" ht="15.75" hidden="1" customHeight="1" outlineLevel="1" x14ac:dyDescent="0.2">
      <c r="A510" s="2" t="s">
        <v>794</v>
      </c>
      <c r="B510" s="85"/>
      <c r="C510" s="86">
        <f t="shared" ref="C510:BV510" si="1164">C493+C499</f>
        <v>115.398</v>
      </c>
      <c r="D510" s="86">
        <f t="shared" si="1164"/>
        <v>114.06500000000003</v>
      </c>
      <c r="E510" s="86">
        <f t="shared" si="1164"/>
        <v>110.27699999999997</v>
      </c>
      <c r="F510" s="86">
        <f t="shared" si="1164"/>
        <v>89.143999999999977</v>
      </c>
      <c r="G510" s="2">
        <f t="shared" si="1164"/>
        <v>33.978999999999999</v>
      </c>
      <c r="H510" s="2">
        <f t="shared" si="1164"/>
        <v>31.442999999999994</v>
      </c>
      <c r="I510" s="2">
        <f t="shared" si="1164"/>
        <v>23.535000000000004</v>
      </c>
      <c r="J510" s="2">
        <f t="shared" si="1164"/>
        <v>17.006</v>
      </c>
      <c r="K510" s="86">
        <f t="shared" si="1164"/>
        <v>105.96300000000001</v>
      </c>
      <c r="L510" s="2">
        <f t="shared" si="1164"/>
        <v>17.657000000000004</v>
      </c>
      <c r="M510" s="2">
        <f t="shared" si="1164"/>
        <v>26.409999999999993</v>
      </c>
      <c r="N510" s="2">
        <f t="shared" si="1164"/>
        <v>17.652000000000008</v>
      </c>
      <c r="O510" s="2">
        <f t="shared" si="1164"/>
        <v>25.900999999999986</v>
      </c>
      <c r="P510" s="86">
        <f t="shared" si="1164"/>
        <v>87.620000000000019</v>
      </c>
      <c r="Q510" s="2">
        <f t="shared" si="1164"/>
        <v>31.684999999999995</v>
      </c>
      <c r="R510" s="2">
        <f t="shared" si="1164"/>
        <v>25.557000000000002</v>
      </c>
      <c r="S510" s="2">
        <f t="shared" si="1164"/>
        <v>9.157999999999987</v>
      </c>
      <c r="T510" s="2">
        <f t="shared" si="1164"/>
        <v>10.040000000000006</v>
      </c>
      <c r="U510" s="86">
        <f t="shared" si="1164"/>
        <v>76.440000000000026</v>
      </c>
      <c r="V510" s="2">
        <f t="shared" si="1164"/>
        <v>41.443000000000005</v>
      </c>
      <c r="W510" s="2">
        <f t="shared" si="1164"/>
        <v>46.671999999999997</v>
      </c>
      <c r="X510" s="2">
        <f t="shared" si="1164"/>
        <v>31.27099999999999</v>
      </c>
      <c r="Y510" s="2">
        <f t="shared" si="1164"/>
        <v>14.692</v>
      </c>
      <c r="Z510" s="86">
        <f t="shared" si="1164"/>
        <v>134.07800000000003</v>
      </c>
      <c r="AA510" s="2">
        <f t="shared" si="1164"/>
        <v>47.301000000000009</v>
      </c>
      <c r="AB510" s="2">
        <f t="shared" si="1164"/>
        <v>41.624000000000017</v>
      </c>
      <c r="AC510" s="2">
        <f t="shared" si="1164"/>
        <v>23.597999999999992</v>
      </c>
      <c r="AD510" s="2">
        <f t="shared" si="1164"/>
        <v>17.027999999999999</v>
      </c>
      <c r="AE510" s="86">
        <f t="shared" si="1164"/>
        <v>129.55099999999999</v>
      </c>
      <c r="AF510" s="2">
        <f t="shared" si="1164"/>
        <v>26.206000000000003</v>
      </c>
      <c r="AG510" s="2">
        <f t="shared" si="1164"/>
        <v>37.673000000000002</v>
      </c>
      <c r="AH510" s="2">
        <f t="shared" si="1164"/>
        <v>28.659000000000006</v>
      </c>
      <c r="AI510" s="2">
        <f t="shared" si="1164"/>
        <v>32.186999999999983</v>
      </c>
      <c r="AJ510" s="86">
        <f t="shared" si="1164"/>
        <v>124.72499999999999</v>
      </c>
      <c r="AK510" s="2">
        <f t="shared" si="1164"/>
        <v>43.988000000000007</v>
      </c>
      <c r="AL510" s="2">
        <f t="shared" si="1164"/>
        <v>43.250999999999991</v>
      </c>
      <c r="AM510" s="2">
        <f t="shared" si="1164"/>
        <v>34.587000000000003</v>
      </c>
      <c r="AN510" s="2">
        <f t="shared" si="1164"/>
        <v>11.900999999999989</v>
      </c>
      <c r="AO510" s="86">
        <f t="shared" si="1164"/>
        <v>133.72699999999998</v>
      </c>
      <c r="AP510" s="2">
        <f t="shared" si="1164"/>
        <v>57.342999999999996</v>
      </c>
      <c r="AQ510" s="2">
        <f t="shared" si="1164"/>
        <v>-40.21099999999997</v>
      </c>
      <c r="AR510" s="2">
        <f t="shared" si="1164"/>
        <v>-49.477000000000025</v>
      </c>
      <c r="AS510" s="2">
        <f t="shared" si="1164"/>
        <v>-18.330999999999982</v>
      </c>
      <c r="AT510" s="86">
        <f t="shared" si="1164"/>
        <v>-50.675999999999981</v>
      </c>
      <c r="AU510" s="2">
        <f t="shared" si="1164"/>
        <v>22.533999999999999</v>
      </c>
      <c r="AV510" s="2">
        <f t="shared" si="1164"/>
        <v>36.49799999999999</v>
      </c>
      <c r="AW510" s="2">
        <f t="shared" si="1164"/>
        <v>39.89200000000001</v>
      </c>
      <c r="AX510" s="2">
        <f t="shared" si="1164"/>
        <v>15.629999999999999</v>
      </c>
      <c r="AY510" s="86">
        <f t="shared" si="1164"/>
        <v>114.55400000000002</v>
      </c>
      <c r="AZ510" s="2">
        <f t="shared" si="1164"/>
        <v>24.972000000000001</v>
      </c>
      <c r="BA510" s="2">
        <f t="shared" si="1164"/>
        <v>33.432000000000002</v>
      </c>
      <c r="BB510" s="2">
        <f t="shared" si="1164"/>
        <v>-8.9240000000000066</v>
      </c>
      <c r="BC510" s="2">
        <f t="shared" si="1164"/>
        <v>9.98599999999999</v>
      </c>
      <c r="BD510" s="86">
        <f t="shared" si="1164"/>
        <v>59.465999999999951</v>
      </c>
      <c r="BE510" s="2">
        <f t="shared" si="1164"/>
        <v>21.940999999999988</v>
      </c>
      <c r="BF510" s="2">
        <f t="shared" si="1164"/>
        <v>45.94700000000001</v>
      </c>
      <c r="BG510" s="2">
        <f t="shared" si="1164"/>
        <v>9.1260000000000048</v>
      </c>
      <c r="BH510" s="2">
        <f t="shared" si="1164"/>
        <v>1.3140000000000001</v>
      </c>
      <c r="BI510" s="90">
        <f t="shared" si="1164"/>
        <v>78.328000000000003</v>
      </c>
      <c r="BJ510" s="2">
        <f t="shared" si="1164"/>
        <v>16.159540905788447</v>
      </c>
      <c r="BK510" s="2">
        <f t="shared" ca="1" si="1164"/>
        <v>33.902121753999481</v>
      </c>
      <c r="BL510" s="2">
        <f t="shared" ca="1" si="1164"/>
        <v>7.2368056322148036</v>
      </c>
      <c r="BM510" s="2">
        <f t="shared" ca="1" si="1164"/>
        <v>29.881467508708795</v>
      </c>
      <c r="BN510" s="86">
        <f t="shared" ca="1" si="1164"/>
        <v>87.179935800711519</v>
      </c>
      <c r="BO510" s="2">
        <f t="shared" ca="1" si="1164"/>
        <v>18.916288227693343</v>
      </c>
      <c r="BP510" s="2">
        <f t="shared" ca="1" si="1164"/>
        <v>37.629547353829622</v>
      </c>
      <c r="BQ510" s="2">
        <f t="shared" ca="1" si="1164"/>
        <v>13.206580146180883</v>
      </c>
      <c r="BR510" s="2">
        <f t="shared" ca="1" si="1164"/>
        <v>37.075924177219193</v>
      </c>
      <c r="BS510" s="86">
        <f t="shared" ca="1" si="1164"/>
        <v>106.8283399049231</v>
      </c>
      <c r="BT510" s="86">
        <f t="shared" ca="1" si="1164"/>
        <v>149.26360188723316</v>
      </c>
      <c r="BU510" s="86">
        <f t="shared" ca="1" si="1164"/>
        <v>170.41252398500586</v>
      </c>
      <c r="BV510" s="86">
        <f t="shared" ca="1" si="1164"/>
        <v>196.85188855474513</v>
      </c>
      <c r="BW510" s="2"/>
    </row>
    <row r="511" spans="1:75" ht="15.75" hidden="1" customHeight="1" outlineLevel="1" x14ac:dyDescent="0.2">
      <c r="A511" s="2" t="s">
        <v>795</v>
      </c>
      <c r="B511" s="85"/>
      <c r="C511" s="86">
        <f t="shared" ref="C511:BV511" si="1165">C510+C503</f>
        <v>115.398</v>
      </c>
      <c r="D511" s="86">
        <f t="shared" si="1165"/>
        <v>114.06500000000003</v>
      </c>
      <c r="E511" s="86">
        <f t="shared" si="1165"/>
        <v>110.27699999999997</v>
      </c>
      <c r="F511" s="86">
        <f t="shared" si="1165"/>
        <v>76.381999999999977</v>
      </c>
      <c r="G511" s="2">
        <f t="shared" si="1165"/>
        <v>27.724</v>
      </c>
      <c r="H511" s="2">
        <f t="shared" si="1165"/>
        <v>25.092999999999993</v>
      </c>
      <c r="I511" s="2">
        <f t="shared" si="1165"/>
        <v>16.170000000000005</v>
      </c>
      <c r="J511" s="2">
        <f t="shared" si="1165"/>
        <v>9.7850000000000001</v>
      </c>
      <c r="K511" s="86">
        <f t="shared" si="1165"/>
        <v>78.772000000000006</v>
      </c>
      <c r="L511" s="2">
        <f t="shared" si="1165"/>
        <v>10.443000000000003</v>
      </c>
      <c r="M511" s="2">
        <f t="shared" si="1165"/>
        <v>19.486999999999995</v>
      </c>
      <c r="N511" s="2">
        <f t="shared" si="1165"/>
        <v>9.5630000000000095</v>
      </c>
      <c r="O511" s="2">
        <f t="shared" si="1165"/>
        <v>17.794999999999984</v>
      </c>
      <c r="P511" s="86">
        <f t="shared" si="1165"/>
        <v>57.288000000000018</v>
      </c>
      <c r="Q511" s="2">
        <f t="shared" si="1165"/>
        <v>23.241999999999997</v>
      </c>
      <c r="R511" s="2">
        <f t="shared" si="1165"/>
        <v>17.562000000000005</v>
      </c>
      <c r="S511" s="2">
        <f t="shared" si="1165"/>
        <v>-0.61100000000001486</v>
      </c>
      <c r="T511" s="2">
        <f t="shared" si="1165"/>
        <v>0.2780000000000058</v>
      </c>
      <c r="U511" s="86">
        <f t="shared" si="1165"/>
        <v>40.471000000000025</v>
      </c>
      <c r="V511" s="2">
        <f t="shared" si="1165"/>
        <v>31.504000000000005</v>
      </c>
      <c r="W511" s="2">
        <f t="shared" si="1165"/>
        <v>37.027999999999999</v>
      </c>
      <c r="X511" s="2">
        <f t="shared" si="1165"/>
        <v>19.804999999999989</v>
      </c>
      <c r="Y511" s="2">
        <f t="shared" si="1165"/>
        <v>3.3699999999999974</v>
      </c>
      <c r="Z511" s="86">
        <f t="shared" si="1165"/>
        <v>91.707000000000022</v>
      </c>
      <c r="AA511" s="2">
        <f t="shared" si="1165"/>
        <v>35.616000000000007</v>
      </c>
      <c r="AB511" s="2">
        <f t="shared" si="1165"/>
        <v>30.132000000000019</v>
      </c>
      <c r="AC511" s="2">
        <f t="shared" si="1165"/>
        <v>10.142999999999994</v>
      </c>
      <c r="AD511" s="2">
        <f t="shared" si="1165"/>
        <v>3.7709999999999937</v>
      </c>
      <c r="AE511" s="86">
        <f t="shared" si="1165"/>
        <v>79.661999999999978</v>
      </c>
      <c r="AF511" s="2">
        <f t="shared" si="1165"/>
        <v>13.038000000000004</v>
      </c>
      <c r="AG511" s="2">
        <f t="shared" si="1165"/>
        <v>24.32</v>
      </c>
      <c r="AH511" s="2">
        <f t="shared" si="1165"/>
        <v>13.731000000000009</v>
      </c>
      <c r="AI511" s="2">
        <f t="shared" si="1165"/>
        <v>17.384999999999984</v>
      </c>
      <c r="AJ511" s="86">
        <f t="shared" si="1165"/>
        <v>68.47399999999999</v>
      </c>
      <c r="AK511" s="2">
        <f t="shared" si="1165"/>
        <v>29.360000000000007</v>
      </c>
      <c r="AL511" s="2">
        <f t="shared" si="1165"/>
        <v>28.591999999999992</v>
      </c>
      <c r="AM511" s="2">
        <f t="shared" si="1165"/>
        <v>18.884</v>
      </c>
      <c r="AN511" s="2">
        <f t="shared" si="1165"/>
        <v>-3.8310000000000102</v>
      </c>
      <c r="AO511" s="86">
        <f t="shared" si="1165"/>
        <v>73.004999999999967</v>
      </c>
      <c r="AP511" s="2">
        <f t="shared" si="1165"/>
        <v>41.551999999999992</v>
      </c>
      <c r="AQ511" s="2">
        <f t="shared" si="1165"/>
        <v>-54.161999999999971</v>
      </c>
      <c r="AR511" s="2">
        <f t="shared" si="1165"/>
        <v>-54.315000000000026</v>
      </c>
      <c r="AS511" s="2">
        <f t="shared" si="1165"/>
        <v>-23.283999999999981</v>
      </c>
      <c r="AT511" s="86">
        <f t="shared" si="1165"/>
        <v>-90.208999999999975</v>
      </c>
      <c r="AU511" s="2">
        <f t="shared" si="1165"/>
        <v>15.284999999999998</v>
      </c>
      <c r="AV511" s="2">
        <f t="shared" si="1165"/>
        <v>21.697999999999993</v>
      </c>
      <c r="AW511" s="2">
        <f t="shared" si="1165"/>
        <v>39.89200000000001</v>
      </c>
      <c r="AX511" s="2">
        <f t="shared" si="1165"/>
        <v>15.629999999999999</v>
      </c>
      <c r="AY511" s="86">
        <f t="shared" si="1165"/>
        <v>90.975000000000023</v>
      </c>
      <c r="AZ511" s="2">
        <f t="shared" si="1165"/>
        <v>24.972000000000001</v>
      </c>
      <c r="BA511" s="2">
        <f t="shared" si="1165"/>
        <v>19.144000000000002</v>
      </c>
      <c r="BB511" s="2">
        <f t="shared" si="1165"/>
        <v>-22.986000000000008</v>
      </c>
      <c r="BC511" s="2">
        <f t="shared" si="1165"/>
        <v>-3.936000000000007</v>
      </c>
      <c r="BD511" s="86">
        <f t="shared" si="1165"/>
        <v>17.193999999999953</v>
      </c>
      <c r="BE511" s="2">
        <f t="shared" si="1165"/>
        <v>8.7589999999999879</v>
      </c>
      <c r="BF511" s="2">
        <f t="shared" si="1165"/>
        <v>32.131000000000007</v>
      </c>
      <c r="BG511" s="2">
        <f t="shared" si="1165"/>
        <v>-4.0019999999999918</v>
      </c>
      <c r="BH511" s="2">
        <f t="shared" si="1165"/>
        <v>-11.767000000000003</v>
      </c>
      <c r="BI511" s="90">
        <f t="shared" si="1165"/>
        <v>25.121000000000002</v>
      </c>
      <c r="BJ511" s="2">
        <f t="shared" ca="1" si="1165"/>
        <v>3.262041233046947</v>
      </c>
      <c r="BK511" s="2">
        <f t="shared" ca="1" si="1165"/>
        <v>21.003332331290707</v>
      </c>
      <c r="BL511" s="2">
        <f t="shared" ca="1" si="1165"/>
        <v>-5.6632736694362418</v>
      </c>
      <c r="BM511" s="2">
        <f t="shared" ca="1" si="1165"/>
        <v>16.980098199127585</v>
      </c>
      <c r="BN511" s="86">
        <f t="shared" ca="1" si="1165"/>
        <v>35.582198094028996</v>
      </c>
      <c r="BO511" s="2">
        <f t="shared" ca="1" si="1165"/>
        <v>6.0136287811811755</v>
      </c>
      <c r="BP511" s="2">
        <f t="shared" ca="1" si="1165"/>
        <v>24.725597641372804</v>
      </c>
      <c r="BQ511" s="2">
        <f t="shared" ca="1" si="1165"/>
        <v>0.30134003875281934</v>
      </c>
      <c r="BR511" s="2">
        <f t="shared" ca="1" si="1165"/>
        <v>24.169393545780387</v>
      </c>
      <c r="BS511" s="86">
        <f t="shared" ca="1" si="1165"/>
        <v>55.20996000708724</v>
      </c>
      <c r="BT511" s="86">
        <f t="shared" ca="1" si="1165"/>
        <v>97.624572443669933</v>
      </c>
      <c r="BU511" s="86">
        <f t="shared" ca="1" si="1165"/>
        <v>118.75283892966522</v>
      </c>
      <c r="BV511" s="86">
        <f t="shared" ca="1" si="1165"/>
        <v>145.17153962538234</v>
      </c>
      <c r="BW511" s="2"/>
    </row>
    <row r="512" spans="1:75" ht="15.75" hidden="1" customHeight="1" outlineLevel="1" x14ac:dyDescent="0.2">
      <c r="A512" s="2" t="s">
        <v>796</v>
      </c>
      <c r="B512" s="85"/>
      <c r="C512" s="86">
        <f t="shared" ref="C512:BV512" si="1166">C511+C501+C502</f>
        <v>115.398</v>
      </c>
      <c r="D512" s="86">
        <f t="shared" si="1166"/>
        <v>114.06500000000003</v>
      </c>
      <c r="E512" s="86">
        <f t="shared" si="1166"/>
        <v>110.27699999999997</v>
      </c>
      <c r="F512" s="86">
        <f t="shared" si="1166"/>
        <v>76.381999999999977</v>
      </c>
      <c r="G512" s="2">
        <f t="shared" si="1166"/>
        <v>27.724</v>
      </c>
      <c r="H512" s="2">
        <f t="shared" si="1166"/>
        <v>25.092999999999993</v>
      </c>
      <c r="I512" s="2">
        <f t="shared" si="1166"/>
        <v>16.170000000000005</v>
      </c>
      <c r="J512" s="2">
        <f t="shared" si="1166"/>
        <v>9.7850000000000001</v>
      </c>
      <c r="K512" s="86">
        <f t="shared" si="1166"/>
        <v>78.772000000000006</v>
      </c>
      <c r="L512" s="2">
        <f t="shared" si="1166"/>
        <v>10.443000000000003</v>
      </c>
      <c r="M512" s="2">
        <f t="shared" si="1166"/>
        <v>19.486999999999995</v>
      </c>
      <c r="N512" s="2">
        <f t="shared" si="1166"/>
        <v>9.5630000000000095</v>
      </c>
      <c r="O512" s="2">
        <f t="shared" si="1166"/>
        <v>17.794999999999984</v>
      </c>
      <c r="P512" s="86">
        <f t="shared" si="1166"/>
        <v>57.288000000000018</v>
      </c>
      <c r="Q512" s="2">
        <f t="shared" si="1166"/>
        <v>23.241999999999997</v>
      </c>
      <c r="R512" s="2">
        <f t="shared" si="1166"/>
        <v>17.562000000000005</v>
      </c>
      <c r="S512" s="2">
        <f t="shared" si="1166"/>
        <v>-0.61100000000001486</v>
      </c>
      <c r="T512" s="2">
        <f t="shared" si="1166"/>
        <v>0.2780000000000058</v>
      </c>
      <c r="U512" s="86">
        <f t="shared" si="1166"/>
        <v>40.471000000000025</v>
      </c>
      <c r="V512" s="2">
        <f t="shared" si="1166"/>
        <v>31.504000000000005</v>
      </c>
      <c r="W512" s="2">
        <f t="shared" si="1166"/>
        <v>37.027999999999999</v>
      </c>
      <c r="X512" s="2">
        <f t="shared" si="1166"/>
        <v>19.804999999999989</v>
      </c>
      <c r="Y512" s="2">
        <f t="shared" si="1166"/>
        <v>3.3699999999999974</v>
      </c>
      <c r="Z512" s="86">
        <f t="shared" si="1166"/>
        <v>91.707000000000022</v>
      </c>
      <c r="AA512" s="2">
        <f t="shared" si="1166"/>
        <v>35.616000000000007</v>
      </c>
      <c r="AB512" s="2">
        <f t="shared" si="1166"/>
        <v>30.132000000000019</v>
      </c>
      <c r="AC512" s="2">
        <f t="shared" si="1166"/>
        <v>10.142999999999994</v>
      </c>
      <c r="AD512" s="2">
        <f t="shared" si="1166"/>
        <v>3.7709999999999937</v>
      </c>
      <c r="AE512" s="86">
        <f t="shared" si="1166"/>
        <v>79.661999999999978</v>
      </c>
      <c r="AF512" s="2">
        <f t="shared" si="1166"/>
        <v>13.038000000000004</v>
      </c>
      <c r="AG512" s="2">
        <f t="shared" si="1166"/>
        <v>24.32</v>
      </c>
      <c r="AH512" s="2">
        <f t="shared" si="1166"/>
        <v>13.731000000000009</v>
      </c>
      <c r="AI512" s="2">
        <f t="shared" si="1166"/>
        <v>17.384999999999984</v>
      </c>
      <c r="AJ512" s="86">
        <f t="shared" si="1166"/>
        <v>68.47399999999999</v>
      </c>
      <c r="AK512" s="2">
        <f t="shared" si="1166"/>
        <v>29.360000000000007</v>
      </c>
      <c r="AL512" s="2">
        <f t="shared" si="1166"/>
        <v>28.591999999999992</v>
      </c>
      <c r="AM512" s="2">
        <f t="shared" si="1166"/>
        <v>18.884</v>
      </c>
      <c r="AN512" s="2">
        <f t="shared" si="1166"/>
        <v>-265.52600000000001</v>
      </c>
      <c r="AO512" s="86">
        <f t="shared" si="1166"/>
        <v>-188.69000000000003</v>
      </c>
      <c r="AP512" s="2">
        <f t="shared" si="1166"/>
        <v>41.551999999999992</v>
      </c>
      <c r="AQ512" s="2">
        <f t="shared" si="1166"/>
        <v>-54.161999999999971</v>
      </c>
      <c r="AR512" s="2">
        <f t="shared" si="1166"/>
        <v>-54.315000000000026</v>
      </c>
      <c r="AS512" s="2">
        <f t="shared" si="1166"/>
        <v>-40.533999999999978</v>
      </c>
      <c r="AT512" s="86">
        <f t="shared" si="1166"/>
        <v>-107.45899999999997</v>
      </c>
      <c r="AU512" s="2">
        <f t="shared" si="1166"/>
        <v>15.284999999999998</v>
      </c>
      <c r="AV512" s="2">
        <f t="shared" si="1166"/>
        <v>21.697999999999993</v>
      </c>
      <c r="AW512" s="2">
        <f t="shared" si="1166"/>
        <v>39.89200000000001</v>
      </c>
      <c r="AX512" s="2">
        <f t="shared" si="1166"/>
        <v>-1.370000000000001</v>
      </c>
      <c r="AY512" s="86">
        <f t="shared" si="1166"/>
        <v>73.975000000000023</v>
      </c>
      <c r="AZ512" s="2">
        <f t="shared" si="1166"/>
        <v>17.785</v>
      </c>
      <c r="BA512" s="2">
        <f t="shared" si="1166"/>
        <v>19.144000000000002</v>
      </c>
      <c r="BB512" s="2">
        <f t="shared" si="1166"/>
        <v>-22.986000000000008</v>
      </c>
      <c r="BC512" s="2">
        <f t="shared" si="1166"/>
        <v>-15.065000000000005</v>
      </c>
      <c r="BD512" s="86">
        <f t="shared" si="1166"/>
        <v>-1.1220000000000461</v>
      </c>
      <c r="BE512" s="2">
        <f t="shared" si="1166"/>
        <v>8.7589999999999879</v>
      </c>
      <c r="BF512" s="2">
        <f t="shared" si="1166"/>
        <v>19.137000000000008</v>
      </c>
      <c r="BG512" s="2">
        <f t="shared" si="1166"/>
        <v>-15.250999999999991</v>
      </c>
      <c r="BH512" s="2">
        <f t="shared" si="1166"/>
        <v>-11.767000000000003</v>
      </c>
      <c r="BI512" s="90">
        <f t="shared" si="1166"/>
        <v>0.87800000000000367</v>
      </c>
      <c r="BJ512" s="2">
        <f t="shared" ca="1" si="1166"/>
        <v>3.262041233046947</v>
      </c>
      <c r="BK512" s="2">
        <f t="shared" ca="1" si="1166"/>
        <v>21.003332331290707</v>
      </c>
      <c r="BL512" s="2">
        <f t="shared" ca="1" si="1166"/>
        <v>-5.6632736694362418</v>
      </c>
      <c r="BM512" s="2">
        <f t="shared" ca="1" si="1166"/>
        <v>16.980098199127585</v>
      </c>
      <c r="BN512" s="86">
        <f t="shared" ca="1" si="1166"/>
        <v>35.582198094028996</v>
      </c>
      <c r="BO512" s="2">
        <f t="shared" ca="1" si="1166"/>
        <v>6.0136287811811755</v>
      </c>
      <c r="BP512" s="2">
        <f t="shared" ca="1" si="1166"/>
        <v>24.725597641372804</v>
      </c>
      <c r="BQ512" s="2">
        <f t="shared" ca="1" si="1166"/>
        <v>0.30134003875281934</v>
      </c>
      <c r="BR512" s="2">
        <f t="shared" ca="1" si="1166"/>
        <v>24.169393545780387</v>
      </c>
      <c r="BS512" s="86">
        <f t="shared" ca="1" si="1166"/>
        <v>55.20996000708724</v>
      </c>
      <c r="BT512" s="86">
        <f t="shared" ca="1" si="1166"/>
        <v>97.624572443669933</v>
      </c>
      <c r="BU512" s="86">
        <f t="shared" ca="1" si="1166"/>
        <v>118.75283892966522</v>
      </c>
      <c r="BV512" s="86">
        <f t="shared" ca="1" si="1166"/>
        <v>145.17153962538234</v>
      </c>
      <c r="BW512" s="2"/>
    </row>
    <row r="513" spans="1:75" ht="15.75" hidden="1" customHeight="1" outlineLevel="1" x14ac:dyDescent="0.2">
      <c r="A513" s="110" t="s">
        <v>797</v>
      </c>
      <c r="B513" s="108"/>
      <c r="C513" s="109">
        <f t="shared" ref="C513:BV513" si="1167">C512+C506+C507</f>
        <v>-57.062000000000005</v>
      </c>
      <c r="D513" s="109">
        <f t="shared" si="1167"/>
        <v>-4.0889999999999702</v>
      </c>
      <c r="E513" s="109">
        <f t="shared" si="1167"/>
        <v>-44.962000000000032</v>
      </c>
      <c r="F513" s="109">
        <f t="shared" si="1167"/>
        <v>17.073999999999984</v>
      </c>
      <c r="G513" s="110">
        <f t="shared" si="1167"/>
        <v>7.9390000000000001</v>
      </c>
      <c r="H513" s="110">
        <f t="shared" si="1167"/>
        <v>52.280999999999992</v>
      </c>
      <c r="I513" s="110">
        <f t="shared" si="1167"/>
        <v>-58.603000000000009</v>
      </c>
      <c r="J513" s="110">
        <f t="shared" si="1167"/>
        <v>-25.842999999999986</v>
      </c>
      <c r="K513" s="109">
        <f t="shared" si="1167"/>
        <v>-24.225999999999985</v>
      </c>
      <c r="L513" s="110">
        <f t="shared" si="1167"/>
        <v>-58.691999999999986</v>
      </c>
      <c r="M513" s="110">
        <f t="shared" si="1167"/>
        <v>-0.92600000000000904</v>
      </c>
      <c r="N513" s="110">
        <f t="shared" si="1167"/>
        <v>2.7680000000000096</v>
      </c>
      <c r="O513" s="110">
        <f t="shared" si="1167"/>
        <v>5.45599999999998</v>
      </c>
      <c r="P513" s="109">
        <f t="shared" si="1167"/>
        <v>-51.393999999999984</v>
      </c>
      <c r="Q513" s="110">
        <f t="shared" si="1167"/>
        <v>-26.761999999999993</v>
      </c>
      <c r="R513" s="110">
        <f t="shared" si="1167"/>
        <v>28.485999999999997</v>
      </c>
      <c r="S513" s="110">
        <f t="shared" si="1167"/>
        <v>-16.448000000000018</v>
      </c>
      <c r="T513" s="110">
        <f t="shared" si="1167"/>
        <v>-13.869999999999985</v>
      </c>
      <c r="U513" s="109">
        <f t="shared" si="1167"/>
        <v>-28.593999999999973</v>
      </c>
      <c r="V513" s="110">
        <f t="shared" si="1167"/>
        <v>-0.86299999999999955</v>
      </c>
      <c r="W513" s="110">
        <f t="shared" si="1167"/>
        <v>13.195000000000004</v>
      </c>
      <c r="X513" s="110">
        <f t="shared" si="1167"/>
        <v>-15.552000000000024</v>
      </c>
      <c r="Y513" s="110">
        <f t="shared" si="1167"/>
        <v>-9.301000000000009</v>
      </c>
      <c r="Z513" s="109">
        <f t="shared" si="1167"/>
        <v>-12.520999999999987</v>
      </c>
      <c r="AA513" s="110">
        <f t="shared" si="1167"/>
        <v>31.693000000000005</v>
      </c>
      <c r="AB513" s="110">
        <f t="shared" si="1167"/>
        <v>11.210000000000022</v>
      </c>
      <c r="AC513" s="110">
        <f t="shared" si="1167"/>
        <v>-35.291999999999994</v>
      </c>
      <c r="AD513" s="110">
        <f t="shared" si="1167"/>
        <v>-31.888000000000005</v>
      </c>
      <c r="AE513" s="109">
        <f t="shared" si="1167"/>
        <v>-24.277000000000015</v>
      </c>
      <c r="AF513" s="110">
        <f t="shared" si="1167"/>
        <v>-1.3249999999999957</v>
      </c>
      <c r="AG513" s="110">
        <f t="shared" si="1167"/>
        <v>12.970999999999997</v>
      </c>
      <c r="AH513" s="110">
        <f t="shared" si="1167"/>
        <v>-4.1129999999999889</v>
      </c>
      <c r="AI513" s="110">
        <f t="shared" si="1167"/>
        <v>-39.759000000000007</v>
      </c>
      <c r="AJ513" s="109">
        <f t="shared" si="1167"/>
        <v>-32.225999999999999</v>
      </c>
      <c r="AK513" s="110">
        <f t="shared" si="1167"/>
        <v>33.830000000000005</v>
      </c>
      <c r="AL513" s="110">
        <f t="shared" si="1167"/>
        <v>16.148999999999987</v>
      </c>
      <c r="AM513" s="110">
        <f t="shared" si="1167"/>
        <v>307.81200000000001</v>
      </c>
      <c r="AN513" s="110">
        <f t="shared" si="1167"/>
        <v>-309.73900000000003</v>
      </c>
      <c r="AO513" s="109">
        <f t="shared" si="1167"/>
        <v>48.051999999999978</v>
      </c>
      <c r="AP513" s="110">
        <f t="shared" si="1167"/>
        <v>129.07899999999998</v>
      </c>
      <c r="AQ513" s="110">
        <f t="shared" si="1167"/>
        <v>131.31500000000003</v>
      </c>
      <c r="AR513" s="110">
        <f t="shared" si="1167"/>
        <v>-54.705000000000027</v>
      </c>
      <c r="AS513" s="110">
        <f t="shared" si="1167"/>
        <v>-136.41499999999999</v>
      </c>
      <c r="AT513" s="109">
        <f t="shared" si="1167"/>
        <v>69.274000000000001</v>
      </c>
      <c r="AU513" s="110">
        <f t="shared" si="1167"/>
        <v>31.750999999999998</v>
      </c>
      <c r="AV513" s="110">
        <f t="shared" si="1167"/>
        <v>-85.052999999999997</v>
      </c>
      <c r="AW513" s="110">
        <f t="shared" si="1167"/>
        <v>39.211000000000013</v>
      </c>
      <c r="AX513" s="110">
        <f t="shared" si="1167"/>
        <v>-1.8940000000000001</v>
      </c>
      <c r="AY513" s="109">
        <f t="shared" si="1167"/>
        <v>-17.514999999999986</v>
      </c>
      <c r="AZ513" s="110">
        <f t="shared" si="1167"/>
        <v>13.93</v>
      </c>
      <c r="BA513" s="110">
        <f t="shared" si="1167"/>
        <v>8.2650000000000023</v>
      </c>
      <c r="BB513" s="110">
        <f t="shared" si="1167"/>
        <v>-49.664000000000009</v>
      </c>
      <c r="BC513" s="110">
        <f t="shared" si="1167"/>
        <v>-36.701000000000001</v>
      </c>
      <c r="BD513" s="109">
        <f t="shared" si="1167"/>
        <v>-64.170000000000044</v>
      </c>
      <c r="BE513" s="110">
        <f t="shared" si="1167"/>
        <v>-3.6170000000000115</v>
      </c>
      <c r="BF513" s="110">
        <f t="shared" si="1167"/>
        <v>9.8180000000000067</v>
      </c>
      <c r="BG513" s="110">
        <f t="shared" si="1167"/>
        <v>-29.815999999999988</v>
      </c>
      <c r="BH513" s="110">
        <f t="shared" si="1167"/>
        <v>-21.592000000000006</v>
      </c>
      <c r="BI513" s="107">
        <f t="shared" si="1167"/>
        <v>-45.206999999999994</v>
      </c>
      <c r="BJ513" s="110">
        <f t="shared" ca="1" si="1167"/>
        <v>3.262041233046947</v>
      </c>
      <c r="BK513" s="110">
        <f t="shared" ca="1" si="1167"/>
        <v>21.003332331290707</v>
      </c>
      <c r="BL513" s="110">
        <f t="shared" ca="1" si="1167"/>
        <v>-5.6632736694362418</v>
      </c>
      <c r="BM513" s="110">
        <f t="shared" ca="1" si="1167"/>
        <v>16.980098199127585</v>
      </c>
      <c r="BN513" s="109">
        <f t="shared" ca="1" si="1167"/>
        <v>35.582198094028996</v>
      </c>
      <c r="BO513" s="110">
        <f t="shared" ca="1" si="1167"/>
        <v>6.0136287811811755</v>
      </c>
      <c r="BP513" s="110">
        <f t="shared" ca="1" si="1167"/>
        <v>24.725597641372804</v>
      </c>
      <c r="BQ513" s="110">
        <f t="shared" ca="1" si="1167"/>
        <v>0.30134003875281934</v>
      </c>
      <c r="BR513" s="110">
        <f t="shared" ca="1" si="1167"/>
        <v>24.169393545780387</v>
      </c>
      <c r="BS513" s="109">
        <f t="shared" ca="1" si="1167"/>
        <v>55.20996000708724</v>
      </c>
      <c r="BT513" s="109">
        <f t="shared" ca="1" si="1167"/>
        <v>97.624572443669933</v>
      </c>
      <c r="BU513" s="109">
        <f t="shared" ca="1" si="1167"/>
        <v>118.75283892966522</v>
      </c>
      <c r="BV513" s="109">
        <f t="shared" ca="1" si="1167"/>
        <v>145.17153962538234</v>
      </c>
      <c r="BW513" s="2"/>
    </row>
    <row r="514" spans="1:75" ht="15.75" customHeight="1" collapsed="1" x14ac:dyDescent="0.2">
      <c r="A514" s="2" t="s">
        <v>798</v>
      </c>
      <c r="B514" s="85"/>
      <c r="C514" s="86">
        <f t="shared" ref="C514:BV514" si="1168">C495+C499</f>
        <v>159.892</v>
      </c>
      <c r="D514" s="86">
        <f t="shared" si="1168"/>
        <v>123.38900000000007</v>
      </c>
      <c r="E514" s="86">
        <f t="shared" si="1168"/>
        <v>118.44799999999996</v>
      </c>
      <c r="F514" s="86">
        <f t="shared" si="1168"/>
        <v>107.21699999999998</v>
      </c>
      <c r="G514" s="2">
        <f t="shared" si="1168"/>
        <v>30.112000000000005</v>
      </c>
      <c r="H514" s="2">
        <f t="shared" si="1168"/>
        <v>20.205999999999992</v>
      </c>
      <c r="I514" s="2">
        <f t="shared" si="1168"/>
        <v>31.676000000000002</v>
      </c>
      <c r="J514" s="2">
        <f t="shared" si="1168"/>
        <v>14.847999999999999</v>
      </c>
      <c r="K514" s="86">
        <f t="shared" si="1168"/>
        <v>96.842000000000027</v>
      </c>
      <c r="L514" s="2">
        <f t="shared" si="1168"/>
        <v>46.676999999999985</v>
      </c>
      <c r="M514" s="2">
        <f t="shared" si="1168"/>
        <v>16.974999999999998</v>
      </c>
      <c r="N514" s="2">
        <f t="shared" si="1168"/>
        <v>7.9840000000000018</v>
      </c>
      <c r="O514" s="2">
        <f t="shared" si="1168"/>
        <v>52.151999999999987</v>
      </c>
      <c r="P514" s="86">
        <f t="shared" si="1168"/>
        <v>123.78800000000005</v>
      </c>
      <c r="Q514" s="2">
        <f t="shared" si="1168"/>
        <v>40.649999999999984</v>
      </c>
      <c r="R514" s="2">
        <f t="shared" si="1168"/>
        <v>19.894999999999989</v>
      </c>
      <c r="S514" s="2">
        <f t="shared" si="1168"/>
        <v>-9.3280000000000172</v>
      </c>
      <c r="T514" s="2">
        <f t="shared" si="1168"/>
        <v>28.505000000000017</v>
      </c>
      <c r="U514" s="86">
        <f t="shared" si="1168"/>
        <v>79.722000000000037</v>
      </c>
      <c r="V514" s="2">
        <f t="shared" si="1168"/>
        <v>53.246999999999993</v>
      </c>
      <c r="W514" s="2">
        <f t="shared" si="1168"/>
        <v>57.407000000000011</v>
      </c>
      <c r="X514" s="2">
        <f t="shared" si="1168"/>
        <v>33.97499999999998</v>
      </c>
      <c r="Y514" s="2">
        <f t="shared" si="1168"/>
        <v>40.429999999999993</v>
      </c>
      <c r="Z514" s="86">
        <f t="shared" si="1168"/>
        <v>185.05900000000003</v>
      </c>
      <c r="AA514" s="2">
        <f t="shared" si="1168"/>
        <v>28.578999999999994</v>
      </c>
      <c r="AB514" s="2">
        <f t="shared" si="1168"/>
        <v>41.042000000000009</v>
      </c>
      <c r="AC514" s="2">
        <f t="shared" si="1168"/>
        <v>10.268999999999998</v>
      </c>
      <c r="AD514" s="2">
        <f t="shared" si="1168"/>
        <v>36.472999999999992</v>
      </c>
      <c r="AE514" s="86">
        <f t="shared" si="1168"/>
        <v>116.36299999999997</v>
      </c>
      <c r="AF514" s="2">
        <f t="shared" si="1168"/>
        <v>43.947999999999986</v>
      </c>
      <c r="AG514" s="2">
        <f t="shared" si="1168"/>
        <v>43.99499999999999</v>
      </c>
      <c r="AH514" s="2">
        <f t="shared" si="1168"/>
        <v>12.770000000000003</v>
      </c>
      <c r="AI514" s="2">
        <f t="shared" si="1168"/>
        <v>84.672999999999973</v>
      </c>
      <c r="AJ514" s="86">
        <f t="shared" si="1168"/>
        <v>185.38599999999994</v>
      </c>
      <c r="AK514" s="2">
        <f t="shared" si="1168"/>
        <v>20.069000000000017</v>
      </c>
      <c r="AL514" s="2">
        <f t="shared" si="1168"/>
        <v>34.131</v>
      </c>
      <c r="AM514" s="2">
        <f t="shared" si="1168"/>
        <v>14.952000000000009</v>
      </c>
      <c r="AN514" s="2">
        <f t="shared" si="1168"/>
        <v>73.744</v>
      </c>
      <c r="AO514" s="86">
        <f t="shared" si="1168"/>
        <v>142.89599999999996</v>
      </c>
      <c r="AP514" s="2">
        <f t="shared" si="1168"/>
        <v>-48.883000000000017</v>
      </c>
      <c r="AQ514" s="2">
        <f t="shared" si="1168"/>
        <v>-16.451999999999963</v>
      </c>
      <c r="AR514" s="2">
        <f t="shared" si="1168"/>
        <v>-6.0360000000000262</v>
      </c>
      <c r="AS514" s="2">
        <f t="shared" si="1168"/>
        <v>23.365000000000023</v>
      </c>
      <c r="AT514" s="86">
        <f t="shared" si="1168"/>
        <v>-48.005999999999979</v>
      </c>
      <c r="AU514" s="2">
        <f t="shared" si="1168"/>
        <v>13.934999999999999</v>
      </c>
      <c r="AV514" s="2">
        <f t="shared" si="1168"/>
        <v>85.288999999999987</v>
      </c>
      <c r="AW514" s="2">
        <f t="shared" si="1168"/>
        <v>-29.703999999999979</v>
      </c>
      <c r="AX514" s="2">
        <f t="shared" si="1168"/>
        <v>75.937000000000012</v>
      </c>
      <c r="AY514" s="86">
        <f t="shared" si="1168"/>
        <v>145.45700000000005</v>
      </c>
      <c r="AZ514" s="2">
        <f t="shared" si="1168"/>
        <v>4.2800000000000011</v>
      </c>
      <c r="BA514" s="2">
        <f t="shared" si="1168"/>
        <v>36.572999999999993</v>
      </c>
      <c r="BB514" s="2">
        <f t="shared" si="1168"/>
        <v>-20.498000000000001</v>
      </c>
      <c r="BC514" s="2">
        <f t="shared" si="1168"/>
        <v>28.426999999999992</v>
      </c>
      <c r="BD514" s="86">
        <f t="shared" si="1168"/>
        <v>48.782000000000011</v>
      </c>
      <c r="BE514" s="2">
        <f t="shared" si="1168"/>
        <v>26.890999999999977</v>
      </c>
      <c r="BF514" s="2">
        <f t="shared" si="1168"/>
        <v>11.573000000000022</v>
      </c>
      <c r="BG514" s="2">
        <f t="shared" si="1168"/>
        <v>11.592000000000013</v>
      </c>
      <c r="BH514" s="2">
        <f t="shared" si="1168"/>
        <v>15.121999999999993</v>
      </c>
      <c r="BI514" s="90">
        <f t="shared" si="1168"/>
        <v>65.178000000000026</v>
      </c>
      <c r="BJ514" s="2">
        <f t="shared" si="1168"/>
        <v>20.976569401224751</v>
      </c>
      <c r="BK514" s="2">
        <f t="shared" ca="1" si="1168"/>
        <v>26.289999138042987</v>
      </c>
      <c r="BL514" s="2">
        <f t="shared" ca="1" si="1168"/>
        <v>4.3789704435898145</v>
      </c>
      <c r="BM514" s="2">
        <f t="shared" ca="1" si="1168"/>
        <v>58.806565809979219</v>
      </c>
      <c r="BN514" s="86">
        <f t="shared" ca="1" si="1168"/>
        <v>110.45210479283674</v>
      </c>
      <c r="BO514" s="2">
        <f t="shared" ca="1" si="1168"/>
        <v>24.349634211368198</v>
      </c>
      <c r="BP514" s="2">
        <f t="shared" ca="1" si="1168"/>
        <v>27.655179232782189</v>
      </c>
      <c r="BQ514" s="2">
        <f t="shared" ca="1" si="1168"/>
        <v>8.4714903245250426</v>
      </c>
      <c r="BR514" s="2">
        <f t="shared" ca="1" si="1168"/>
        <v>65.93496909808718</v>
      </c>
      <c r="BS514" s="86">
        <f t="shared" ca="1" si="1168"/>
        <v>126.4112728667626</v>
      </c>
      <c r="BT514" s="86">
        <f t="shared" ca="1" si="1168"/>
        <v>161.40096598449685</v>
      </c>
      <c r="BU514" s="86">
        <f t="shared" ca="1" si="1168"/>
        <v>183.84802679112107</v>
      </c>
      <c r="BV514" s="86">
        <f t="shared" ca="1" si="1168"/>
        <v>213.97558395499408</v>
      </c>
      <c r="BW514" s="2"/>
    </row>
    <row r="515" spans="1:75" ht="15.75" customHeight="1" x14ac:dyDescent="0.2">
      <c r="A515" s="2" t="s">
        <v>799</v>
      </c>
      <c r="B515" s="85"/>
      <c r="C515" s="86">
        <f t="shared" ref="C515:BV515" si="1169">C514+C503</f>
        <v>159.892</v>
      </c>
      <c r="D515" s="86">
        <f t="shared" si="1169"/>
        <v>123.38900000000007</v>
      </c>
      <c r="E515" s="86">
        <f t="shared" si="1169"/>
        <v>118.44799999999996</v>
      </c>
      <c r="F515" s="86">
        <f t="shared" si="1169"/>
        <v>94.454999999999984</v>
      </c>
      <c r="G515" s="2">
        <f t="shared" si="1169"/>
        <v>23.857000000000006</v>
      </c>
      <c r="H515" s="2">
        <f t="shared" si="1169"/>
        <v>13.855999999999991</v>
      </c>
      <c r="I515" s="2">
        <f t="shared" si="1169"/>
        <v>24.311000000000003</v>
      </c>
      <c r="J515" s="2">
        <f t="shared" si="1169"/>
        <v>7.6269999999999989</v>
      </c>
      <c r="K515" s="86">
        <f t="shared" si="1169"/>
        <v>69.651000000000025</v>
      </c>
      <c r="L515" s="2">
        <f t="shared" si="1169"/>
        <v>39.462999999999987</v>
      </c>
      <c r="M515" s="2">
        <f t="shared" si="1169"/>
        <v>10.051999999999998</v>
      </c>
      <c r="N515" s="2">
        <f t="shared" si="1169"/>
        <v>-0.10499999999999687</v>
      </c>
      <c r="O515" s="2">
        <f t="shared" si="1169"/>
        <v>44.045999999999985</v>
      </c>
      <c r="P515" s="86">
        <f t="shared" si="1169"/>
        <v>93.456000000000046</v>
      </c>
      <c r="Q515" s="2">
        <f t="shared" si="1169"/>
        <v>32.206999999999987</v>
      </c>
      <c r="R515" s="2">
        <f t="shared" si="1169"/>
        <v>11.89999999999999</v>
      </c>
      <c r="S515" s="2">
        <f t="shared" si="1169"/>
        <v>-19.097000000000019</v>
      </c>
      <c r="T515" s="2">
        <f t="shared" si="1169"/>
        <v>18.743000000000016</v>
      </c>
      <c r="U515" s="86">
        <f t="shared" si="1169"/>
        <v>43.753000000000036</v>
      </c>
      <c r="V515" s="2">
        <f t="shared" si="1169"/>
        <v>43.307999999999993</v>
      </c>
      <c r="W515" s="2">
        <f t="shared" si="1169"/>
        <v>47.763000000000012</v>
      </c>
      <c r="X515" s="2">
        <f t="shared" si="1169"/>
        <v>22.508999999999979</v>
      </c>
      <c r="Y515" s="2">
        <f t="shared" si="1169"/>
        <v>29.10799999999999</v>
      </c>
      <c r="Z515" s="86">
        <f t="shared" si="1169"/>
        <v>142.68800000000002</v>
      </c>
      <c r="AA515" s="2">
        <f t="shared" si="1169"/>
        <v>16.893999999999991</v>
      </c>
      <c r="AB515" s="2">
        <f t="shared" si="1169"/>
        <v>29.550000000000011</v>
      </c>
      <c r="AC515" s="2">
        <f t="shared" si="1169"/>
        <v>-3.1859999999999999</v>
      </c>
      <c r="AD515" s="2">
        <f t="shared" si="1169"/>
        <v>23.215999999999987</v>
      </c>
      <c r="AE515" s="86">
        <f t="shared" si="1169"/>
        <v>66.473999999999961</v>
      </c>
      <c r="AF515" s="2">
        <f t="shared" si="1169"/>
        <v>30.779999999999987</v>
      </c>
      <c r="AG515" s="2">
        <f t="shared" si="1169"/>
        <v>30.641999999999989</v>
      </c>
      <c r="AH515" s="2">
        <f t="shared" si="1169"/>
        <v>-2.1579999999999941</v>
      </c>
      <c r="AI515" s="2">
        <f t="shared" si="1169"/>
        <v>69.870999999999981</v>
      </c>
      <c r="AJ515" s="86">
        <f t="shared" si="1169"/>
        <v>129.13499999999993</v>
      </c>
      <c r="AK515" s="2">
        <f t="shared" si="1169"/>
        <v>5.4410000000000167</v>
      </c>
      <c r="AL515" s="2">
        <f t="shared" si="1169"/>
        <v>19.472000000000001</v>
      </c>
      <c r="AM515" s="2">
        <f t="shared" si="1169"/>
        <v>-0.75099999999999412</v>
      </c>
      <c r="AN515" s="2">
        <f t="shared" si="1169"/>
        <v>58.012</v>
      </c>
      <c r="AO515" s="86">
        <f t="shared" si="1169"/>
        <v>82.17399999999995</v>
      </c>
      <c r="AP515" s="2">
        <f t="shared" si="1169"/>
        <v>-64.674000000000021</v>
      </c>
      <c r="AQ515" s="2">
        <f t="shared" si="1169"/>
        <v>-30.402999999999963</v>
      </c>
      <c r="AR515" s="2">
        <f t="shared" si="1169"/>
        <v>-10.874000000000027</v>
      </c>
      <c r="AS515" s="2">
        <f t="shared" si="1169"/>
        <v>18.412000000000024</v>
      </c>
      <c r="AT515" s="86">
        <f t="shared" si="1169"/>
        <v>-87.538999999999987</v>
      </c>
      <c r="AU515" s="2">
        <f t="shared" si="1169"/>
        <v>6.6859999999999982</v>
      </c>
      <c r="AV515" s="2">
        <f t="shared" si="1169"/>
        <v>70.48899999999999</v>
      </c>
      <c r="AW515" s="2">
        <f t="shared" si="1169"/>
        <v>-29.703999999999979</v>
      </c>
      <c r="AX515" s="2">
        <f t="shared" si="1169"/>
        <v>75.937000000000012</v>
      </c>
      <c r="AY515" s="86">
        <f t="shared" si="1169"/>
        <v>121.87800000000004</v>
      </c>
      <c r="AZ515" s="2">
        <f t="shared" si="1169"/>
        <v>4.2800000000000011</v>
      </c>
      <c r="BA515" s="2">
        <f t="shared" si="1169"/>
        <v>22.284999999999993</v>
      </c>
      <c r="BB515" s="2">
        <f t="shared" si="1169"/>
        <v>-34.56</v>
      </c>
      <c r="BC515" s="2">
        <f t="shared" si="1169"/>
        <v>14.504999999999995</v>
      </c>
      <c r="BD515" s="86">
        <f t="shared" si="1169"/>
        <v>6.5100000000000122</v>
      </c>
      <c r="BE515" s="2">
        <f t="shared" si="1169"/>
        <v>13.708999999999977</v>
      </c>
      <c r="BF515" s="2">
        <f t="shared" si="1169"/>
        <v>-2.242999999999979</v>
      </c>
      <c r="BG515" s="2">
        <f t="shared" si="1169"/>
        <v>-1.5359999999999836</v>
      </c>
      <c r="BH515" s="2">
        <f t="shared" si="1169"/>
        <v>2.0409999999999897</v>
      </c>
      <c r="BI515" s="90">
        <f t="shared" si="1169"/>
        <v>11.971000000000025</v>
      </c>
      <c r="BJ515" s="2">
        <f t="shared" ca="1" si="1169"/>
        <v>8.0790697284832511</v>
      </c>
      <c r="BK515" s="2">
        <f t="shared" ca="1" si="1169"/>
        <v>13.391209715334213</v>
      </c>
      <c r="BL515" s="2">
        <f t="shared" ca="1" si="1169"/>
        <v>-8.5211088580612309</v>
      </c>
      <c r="BM515" s="2">
        <f t="shared" ca="1" si="1169"/>
        <v>45.905196500398006</v>
      </c>
      <c r="BN515" s="86">
        <f t="shared" ca="1" si="1169"/>
        <v>58.854367086154213</v>
      </c>
      <c r="BO515" s="2">
        <f t="shared" ca="1" si="1169"/>
        <v>11.44697476485603</v>
      </c>
      <c r="BP515" s="2">
        <f t="shared" ca="1" si="1169"/>
        <v>14.751229520325371</v>
      </c>
      <c r="BQ515" s="2">
        <f t="shared" ca="1" si="1169"/>
        <v>-4.4337497829030212</v>
      </c>
      <c r="BR515" s="2">
        <f t="shared" ca="1" si="1169"/>
        <v>53.028438466648375</v>
      </c>
      <c r="BS515" s="86">
        <f t="shared" ca="1" si="1169"/>
        <v>74.792892968926736</v>
      </c>
      <c r="BT515" s="86">
        <f t="shared" ca="1" si="1169"/>
        <v>109.76193654093362</v>
      </c>
      <c r="BU515" s="86">
        <f t="shared" ca="1" si="1169"/>
        <v>132.18834173578043</v>
      </c>
      <c r="BV515" s="86">
        <f t="shared" ca="1" si="1169"/>
        <v>162.29523502563129</v>
      </c>
      <c r="BW515" s="2"/>
    </row>
    <row r="516" spans="1:75" ht="15.75" customHeight="1" x14ac:dyDescent="0.2">
      <c r="A516" s="2" t="s">
        <v>800</v>
      </c>
      <c r="B516" s="85"/>
      <c r="C516" s="86">
        <f t="shared" ref="C516:BV516" si="1170">C515+C501+C502</f>
        <v>159.892</v>
      </c>
      <c r="D516" s="86">
        <f t="shared" si="1170"/>
        <v>123.38900000000007</v>
      </c>
      <c r="E516" s="86">
        <f t="shared" si="1170"/>
        <v>118.44799999999996</v>
      </c>
      <c r="F516" s="86">
        <f t="shared" si="1170"/>
        <v>94.454999999999984</v>
      </c>
      <c r="G516" s="2">
        <f t="shared" si="1170"/>
        <v>23.857000000000006</v>
      </c>
      <c r="H516" s="2">
        <f t="shared" si="1170"/>
        <v>13.855999999999991</v>
      </c>
      <c r="I516" s="2">
        <f t="shared" si="1170"/>
        <v>24.311000000000003</v>
      </c>
      <c r="J516" s="2">
        <f t="shared" si="1170"/>
        <v>7.6269999999999989</v>
      </c>
      <c r="K516" s="86">
        <f t="shared" si="1170"/>
        <v>69.651000000000025</v>
      </c>
      <c r="L516" s="2">
        <f t="shared" si="1170"/>
        <v>39.462999999999987</v>
      </c>
      <c r="M516" s="2">
        <f t="shared" si="1170"/>
        <v>10.051999999999998</v>
      </c>
      <c r="N516" s="2">
        <f t="shared" si="1170"/>
        <v>-0.10499999999999687</v>
      </c>
      <c r="O516" s="2">
        <f t="shared" si="1170"/>
        <v>44.045999999999985</v>
      </c>
      <c r="P516" s="86">
        <f t="shared" si="1170"/>
        <v>93.456000000000046</v>
      </c>
      <c r="Q516" s="2">
        <f t="shared" si="1170"/>
        <v>32.206999999999987</v>
      </c>
      <c r="R516" s="2">
        <f t="shared" si="1170"/>
        <v>11.89999999999999</v>
      </c>
      <c r="S516" s="2">
        <f t="shared" si="1170"/>
        <v>-19.097000000000019</v>
      </c>
      <c r="T516" s="2">
        <f t="shared" si="1170"/>
        <v>18.743000000000016</v>
      </c>
      <c r="U516" s="86">
        <f t="shared" si="1170"/>
        <v>43.753000000000036</v>
      </c>
      <c r="V516" s="2">
        <f t="shared" si="1170"/>
        <v>43.307999999999993</v>
      </c>
      <c r="W516" s="2">
        <f t="shared" si="1170"/>
        <v>47.763000000000012</v>
      </c>
      <c r="X516" s="2">
        <f t="shared" si="1170"/>
        <v>22.508999999999979</v>
      </c>
      <c r="Y516" s="2">
        <f t="shared" si="1170"/>
        <v>29.10799999999999</v>
      </c>
      <c r="Z516" s="86">
        <f t="shared" si="1170"/>
        <v>142.68800000000002</v>
      </c>
      <c r="AA516" s="2">
        <f t="shared" si="1170"/>
        <v>16.893999999999991</v>
      </c>
      <c r="AB516" s="2">
        <f t="shared" si="1170"/>
        <v>29.550000000000011</v>
      </c>
      <c r="AC516" s="2">
        <f t="shared" si="1170"/>
        <v>-3.1859999999999999</v>
      </c>
      <c r="AD516" s="2">
        <f t="shared" si="1170"/>
        <v>23.215999999999987</v>
      </c>
      <c r="AE516" s="86">
        <f t="shared" si="1170"/>
        <v>66.473999999999961</v>
      </c>
      <c r="AF516" s="2">
        <f t="shared" si="1170"/>
        <v>30.779999999999987</v>
      </c>
      <c r="AG516" s="2">
        <f t="shared" si="1170"/>
        <v>30.641999999999989</v>
      </c>
      <c r="AH516" s="2">
        <f t="shared" si="1170"/>
        <v>-2.1579999999999941</v>
      </c>
      <c r="AI516" s="2">
        <f t="shared" si="1170"/>
        <v>69.870999999999981</v>
      </c>
      <c r="AJ516" s="86">
        <f t="shared" si="1170"/>
        <v>129.13499999999993</v>
      </c>
      <c r="AK516" s="2">
        <f t="shared" si="1170"/>
        <v>5.4410000000000167</v>
      </c>
      <c r="AL516" s="2">
        <f t="shared" si="1170"/>
        <v>19.472000000000001</v>
      </c>
      <c r="AM516" s="2">
        <f t="shared" si="1170"/>
        <v>-0.75099999999999412</v>
      </c>
      <c r="AN516" s="2">
        <f t="shared" si="1170"/>
        <v>-203.68299999999999</v>
      </c>
      <c r="AO516" s="86">
        <f t="shared" si="1170"/>
        <v>-179.52100000000004</v>
      </c>
      <c r="AP516" s="2">
        <f t="shared" si="1170"/>
        <v>-64.674000000000021</v>
      </c>
      <c r="AQ516" s="2">
        <f t="shared" si="1170"/>
        <v>-30.402999999999963</v>
      </c>
      <c r="AR516" s="2">
        <f t="shared" si="1170"/>
        <v>-10.874000000000027</v>
      </c>
      <c r="AS516" s="2">
        <f t="shared" si="1170"/>
        <v>1.1620000000000239</v>
      </c>
      <c r="AT516" s="86">
        <f t="shared" si="1170"/>
        <v>-104.78899999999999</v>
      </c>
      <c r="AU516" s="2">
        <f t="shared" si="1170"/>
        <v>6.6859999999999982</v>
      </c>
      <c r="AV516" s="2">
        <f t="shared" si="1170"/>
        <v>70.48899999999999</v>
      </c>
      <c r="AW516" s="2">
        <f t="shared" si="1170"/>
        <v>-29.703999999999979</v>
      </c>
      <c r="AX516" s="2">
        <f t="shared" si="1170"/>
        <v>58.937000000000012</v>
      </c>
      <c r="AY516" s="86">
        <f t="shared" si="1170"/>
        <v>104.87800000000004</v>
      </c>
      <c r="AZ516" s="2">
        <f t="shared" si="1170"/>
        <v>-2.9069999999999991</v>
      </c>
      <c r="BA516" s="2">
        <f t="shared" si="1170"/>
        <v>22.284999999999993</v>
      </c>
      <c r="BB516" s="2">
        <f t="shared" si="1170"/>
        <v>-34.56</v>
      </c>
      <c r="BC516" s="2">
        <f t="shared" si="1170"/>
        <v>3.3759999999999977</v>
      </c>
      <c r="BD516" s="86">
        <f t="shared" si="1170"/>
        <v>-11.805999999999987</v>
      </c>
      <c r="BE516" s="2">
        <f t="shared" si="1170"/>
        <v>13.708999999999977</v>
      </c>
      <c r="BF516" s="2">
        <f t="shared" si="1170"/>
        <v>-15.236999999999979</v>
      </c>
      <c r="BG516" s="2">
        <f t="shared" si="1170"/>
        <v>-12.784999999999982</v>
      </c>
      <c r="BH516" s="2">
        <f t="shared" si="1170"/>
        <v>2.0409999999999897</v>
      </c>
      <c r="BI516" s="90">
        <f t="shared" si="1170"/>
        <v>-12.271999999999974</v>
      </c>
      <c r="BJ516" s="2">
        <f t="shared" ca="1" si="1170"/>
        <v>8.0790697284832511</v>
      </c>
      <c r="BK516" s="2">
        <f t="shared" ca="1" si="1170"/>
        <v>13.391209715334213</v>
      </c>
      <c r="BL516" s="2">
        <f t="shared" ca="1" si="1170"/>
        <v>-8.5211088580612309</v>
      </c>
      <c r="BM516" s="2">
        <f t="shared" ca="1" si="1170"/>
        <v>45.905196500398006</v>
      </c>
      <c r="BN516" s="86">
        <f t="shared" ca="1" si="1170"/>
        <v>58.854367086154213</v>
      </c>
      <c r="BO516" s="2">
        <f t="shared" ca="1" si="1170"/>
        <v>11.44697476485603</v>
      </c>
      <c r="BP516" s="2">
        <f t="shared" ca="1" si="1170"/>
        <v>14.751229520325371</v>
      </c>
      <c r="BQ516" s="2">
        <f t="shared" ca="1" si="1170"/>
        <v>-4.4337497829030212</v>
      </c>
      <c r="BR516" s="2">
        <f t="shared" ca="1" si="1170"/>
        <v>53.028438466648375</v>
      </c>
      <c r="BS516" s="86">
        <f t="shared" ca="1" si="1170"/>
        <v>74.792892968926736</v>
      </c>
      <c r="BT516" s="86">
        <f t="shared" ca="1" si="1170"/>
        <v>109.76193654093362</v>
      </c>
      <c r="BU516" s="86">
        <f t="shared" ca="1" si="1170"/>
        <v>132.18834173578043</v>
      </c>
      <c r="BV516" s="86">
        <f t="shared" ca="1" si="1170"/>
        <v>162.29523502563129</v>
      </c>
      <c r="BW516" s="2"/>
    </row>
    <row r="517" spans="1:75" ht="15.75" customHeight="1" x14ac:dyDescent="0.2">
      <c r="A517" s="110" t="s">
        <v>801</v>
      </c>
      <c r="B517" s="108"/>
      <c r="C517" s="109">
        <f t="shared" ref="C517:BV517" si="1171">C516+C506+C507</f>
        <v>-12.568000000000005</v>
      </c>
      <c r="D517" s="109">
        <f t="shared" si="1171"/>
        <v>5.2350000000000705</v>
      </c>
      <c r="E517" s="109">
        <f t="shared" si="1171"/>
        <v>-36.791000000000039</v>
      </c>
      <c r="F517" s="109">
        <f t="shared" si="1171"/>
        <v>35.146999999999991</v>
      </c>
      <c r="G517" s="110">
        <f t="shared" si="1171"/>
        <v>4.0720000000000063</v>
      </c>
      <c r="H517" s="110">
        <f t="shared" si="1171"/>
        <v>41.04399999999999</v>
      </c>
      <c r="I517" s="110">
        <f t="shared" si="1171"/>
        <v>-50.462000000000003</v>
      </c>
      <c r="J517" s="110">
        <f t="shared" si="1171"/>
        <v>-28.000999999999987</v>
      </c>
      <c r="K517" s="109">
        <f t="shared" si="1171"/>
        <v>-33.346999999999966</v>
      </c>
      <c r="L517" s="110">
        <f t="shared" si="1171"/>
        <v>-29.671999999999997</v>
      </c>
      <c r="M517" s="110">
        <f t="shared" si="1171"/>
        <v>-10.361000000000006</v>
      </c>
      <c r="N517" s="110">
        <f t="shared" si="1171"/>
        <v>-6.8999999999999968</v>
      </c>
      <c r="O517" s="110">
        <f t="shared" si="1171"/>
        <v>31.706999999999979</v>
      </c>
      <c r="P517" s="109">
        <f t="shared" si="1171"/>
        <v>-15.225999999999956</v>
      </c>
      <c r="Q517" s="110">
        <f t="shared" si="1171"/>
        <v>-17.797000000000004</v>
      </c>
      <c r="R517" s="110">
        <f t="shared" si="1171"/>
        <v>22.823999999999984</v>
      </c>
      <c r="S517" s="110">
        <f t="shared" si="1171"/>
        <v>-34.934000000000026</v>
      </c>
      <c r="T517" s="110">
        <f t="shared" si="1171"/>
        <v>4.5950000000000255</v>
      </c>
      <c r="U517" s="109">
        <f t="shared" si="1171"/>
        <v>-25.311999999999962</v>
      </c>
      <c r="V517" s="110">
        <f t="shared" si="1171"/>
        <v>10.940999999999988</v>
      </c>
      <c r="W517" s="110">
        <f t="shared" si="1171"/>
        <v>23.930000000000017</v>
      </c>
      <c r="X517" s="110">
        <f t="shared" si="1171"/>
        <v>-12.848000000000035</v>
      </c>
      <c r="Y517" s="110">
        <f t="shared" si="1171"/>
        <v>16.436999999999983</v>
      </c>
      <c r="Z517" s="109">
        <f t="shared" si="1171"/>
        <v>38.460000000000008</v>
      </c>
      <c r="AA517" s="110">
        <f t="shared" si="1171"/>
        <v>12.970999999999991</v>
      </c>
      <c r="AB517" s="110">
        <f t="shared" si="1171"/>
        <v>10.628000000000014</v>
      </c>
      <c r="AC517" s="110">
        <f t="shared" si="1171"/>
        <v>-48.620999999999988</v>
      </c>
      <c r="AD517" s="110">
        <f t="shared" si="1171"/>
        <v>-12.443000000000012</v>
      </c>
      <c r="AE517" s="109">
        <f t="shared" si="1171"/>
        <v>-37.465000000000032</v>
      </c>
      <c r="AF517" s="110">
        <f t="shared" si="1171"/>
        <v>16.416999999999987</v>
      </c>
      <c r="AG517" s="110">
        <f t="shared" si="1171"/>
        <v>19.292999999999985</v>
      </c>
      <c r="AH517" s="110">
        <f t="shared" si="1171"/>
        <v>-20.001999999999992</v>
      </c>
      <c r="AI517" s="110">
        <f t="shared" si="1171"/>
        <v>12.72699999999999</v>
      </c>
      <c r="AJ517" s="109">
        <f t="shared" si="1171"/>
        <v>28.434999999999945</v>
      </c>
      <c r="AK517" s="110">
        <f t="shared" si="1171"/>
        <v>9.9110000000000174</v>
      </c>
      <c r="AL517" s="110">
        <f t="shared" si="1171"/>
        <v>7.0289999999999964</v>
      </c>
      <c r="AM517" s="110">
        <f t="shared" si="1171"/>
        <v>288.17700000000002</v>
      </c>
      <c r="AN517" s="110">
        <f t="shared" si="1171"/>
        <v>-247.89599999999999</v>
      </c>
      <c r="AO517" s="109">
        <f t="shared" si="1171"/>
        <v>57.220999999999961</v>
      </c>
      <c r="AP517" s="110">
        <f t="shared" si="1171"/>
        <v>22.85299999999998</v>
      </c>
      <c r="AQ517" s="110">
        <f t="shared" si="1171"/>
        <v>155.07400000000004</v>
      </c>
      <c r="AR517" s="110">
        <f t="shared" si="1171"/>
        <v>-11.264000000000028</v>
      </c>
      <c r="AS517" s="110">
        <f t="shared" si="1171"/>
        <v>-94.71899999999998</v>
      </c>
      <c r="AT517" s="109">
        <f t="shared" si="1171"/>
        <v>71.943999999999988</v>
      </c>
      <c r="AU517" s="110">
        <f t="shared" si="1171"/>
        <v>23.151999999999994</v>
      </c>
      <c r="AV517" s="110">
        <f t="shared" si="1171"/>
        <v>-36.262</v>
      </c>
      <c r="AW517" s="110">
        <f t="shared" si="1171"/>
        <v>-30.38499999999998</v>
      </c>
      <c r="AX517" s="110">
        <f t="shared" si="1171"/>
        <v>58.413000000000011</v>
      </c>
      <c r="AY517" s="109">
        <f t="shared" si="1171"/>
        <v>13.388000000000034</v>
      </c>
      <c r="AZ517" s="110">
        <f t="shared" si="1171"/>
        <v>-6.7619999999999987</v>
      </c>
      <c r="BA517" s="110">
        <f t="shared" si="1171"/>
        <v>11.405999999999993</v>
      </c>
      <c r="BB517" s="110">
        <f t="shared" si="1171"/>
        <v>-61.238</v>
      </c>
      <c r="BC517" s="110">
        <f t="shared" si="1171"/>
        <v>-18.259999999999998</v>
      </c>
      <c r="BD517" s="109">
        <f t="shared" si="1171"/>
        <v>-74.853999999999985</v>
      </c>
      <c r="BE517" s="110">
        <f t="shared" si="1171"/>
        <v>1.3329999999999771</v>
      </c>
      <c r="BF517" s="110">
        <f t="shared" si="1171"/>
        <v>-24.55599999999998</v>
      </c>
      <c r="BG517" s="110">
        <f t="shared" si="1171"/>
        <v>-27.34999999999998</v>
      </c>
      <c r="BH517" s="110">
        <f t="shared" si="1171"/>
        <v>-7.7840000000000131</v>
      </c>
      <c r="BI517" s="107">
        <f t="shared" si="1171"/>
        <v>-58.356999999999971</v>
      </c>
      <c r="BJ517" s="110">
        <f t="shared" ca="1" si="1171"/>
        <v>8.0790697284832511</v>
      </c>
      <c r="BK517" s="110">
        <f t="shared" ca="1" si="1171"/>
        <v>13.391209715334213</v>
      </c>
      <c r="BL517" s="110">
        <f t="shared" ca="1" si="1171"/>
        <v>-8.5211088580612309</v>
      </c>
      <c r="BM517" s="110">
        <f t="shared" ca="1" si="1171"/>
        <v>45.905196500398006</v>
      </c>
      <c r="BN517" s="109">
        <f t="shared" ca="1" si="1171"/>
        <v>58.854367086154213</v>
      </c>
      <c r="BO517" s="110">
        <f t="shared" ca="1" si="1171"/>
        <v>11.44697476485603</v>
      </c>
      <c r="BP517" s="110">
        <f t="shared" ca="1" si="1171"/>
        <v>14.751229520325371</v>
      </c>
      <c r="BQ517" s="110">
        <f t="shared" ca="1" si="1171"/>
        <v>-4.4337497829030212</v>
      </c>
      <c r="BR517" s="110">
        <f t="shared" ca="1" si="1171"/>
        <v>53.028438466648375</v>
      </c>
      <c r="BS517" s="109">
        <f t="shared" ca="1" si="1171"/>
        <v>74.792892968926736</v>
      </c>
      <c r="BT517" s="109">
        <f t="shared" ca="1" si="1171"/>
        <v>109.76193654093362</v>
      </c>
      <c r="BU517" s="109">
        <f t="shared" ca="1" si="1171"/>
        <v>132.18834173578043</v>
      </c>
      <c r="BV517" s="109">
        <f t="shared" ca="1" si="1171"/>
        <v>162.29523502563129</v>
      </c>
      <c r="BW517" s="2"/>
    </row>
    <row r="518" spans="1:75" ht="15.75" customHeight="1" x14ac:dyDescent="0.2">
      <c r="A518" s="2"/>
      <c r="B518" s="85"/>
      <c r="C518" s="86"/>
      <c r="D518" s="86"/>
      <c r="E518" s="86"/>
      <c r="F518" s="86"/>
      <c r="G518" s="2"/>
      <c r="H518" s="2"/>
      <c r="I518" s="2"/>
      <c r="J518" s="2"/>
      <c r="K518" s="86"/>
      <c r="L518" s="2"/>
      <c r="M518" s="2"/>
      <c r="N518" s="2"/>
      <c r="O518" s="2"/>
      <c r="P518" s="86"/>
      <c r="Q518" s="2"/>
      <c r="R518" s="2"/>
      <c r="S518" s="2"/>
      <c r="T518" s="2"/>
      <c r="U518" s="86"/>
      <c r="V518" s="2"/>
      <c r="W518" s="2"/>
      <c r="X518" s="2"/>
      <c r="Y518" s="2"/>
      <c r="Z518" s="86"/>
      <c r="AA518" s="2"/>
      <c r="AB518" s="2"/>
      <c r="AC518" s="2"/>
      <c r="AD518" s="2"/>
      <c r="AE518" s="86"/>
      <c r="AF518" s="2"/>
      <c r="AG518" s="2"/>
      <c r="AH518" s="2"/>
      <c r="AI518" s="2"/>
      <c r="AJ518" s="86"/>
      <c r="AK518" s="2"/>
      <c r="AL518" s="2"/>
      <c r="AM518" s="2"/>
      <c r="AN518" s="2"/>
      <c r="AO518" s="86"/>
      <c r="AP518" s="2"/>
      <c r="AQ518" s="2"/>
      <c r="AR518" s="2"/>
      <c r="AS518" s="2"/>
      <c r="AT518" s="86"/>
      <c r="AU518" s="2"/>
      <c r="AV518" s="2"/>
      <c r="AW518" s="2"/>
      <c r="AX518" s="2"/>
      <c r="AY518" s="86"/>
      <c r="AZ518" s="2"/>
      <c r="BA518" s="2"/>
      <c r="BB518" s="2"/>
      <c r="BC518" s="2"/>
      <c r="BD518" s="86"/>
      <c r="BE518" s="2"/>
      <c r="BF518" s="2"/>
      <c r="BG518" s="2"/>
      <c r="BH518" s="2"/>
      <c r="BI518" s="90"/>
      <c r="BJ518" s="2"/>
      <c r="BK518" s="2"/>
      <c r="BL518" s="2"/>
      <c r="BM518" s="2"/>
      <c r="BN518" s="86"/>
      <c r="BO518" s="2"/>
      <c r="BP518" s="2"/>
      <c r="BQ518" s="2"/>
      <c r="BR518" s="2"/>
      <c r="BS518" s="86"/>
      <c r="BT518" s="86"/>
      <c r="BU518" s="86"/>
      <c r="BV518" s="86"/>
      <c r="BW518" s="4"/>
    </row>
    <row r="519" spans="1:75" ht="15.75" customHeight="1" x14ac:dyDescent="0.2">
      <c r="A519" s="81" t="s">
        <v>802</v>
      </c>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c r="BC519" s="81"/>
      <c r="BD519" s="81"/>
      <c r="BE519" s="81"/>
      <c r="BF519" s="81"/>
      <c r="BG519" s="81"/>
      <c r="BH519" s="81"/>
      <c r="BI519" s="82"/>
      <c r="BJ519" s="81"/>
      <c r="BK519" s="81"/>
      <c r="BL519" s="81"/>
      <c r="BM519" s="81"/>
      <c r="BN519" s="81"/>
      <c r="BO519" s="81"/>
      <c r="BP519" s="81"/>
      <c r="BQ519" s="81"/>
      <c r="BR519" s="81"/>
      <c r="BS519" s="81"/>
      <c r="BT519" s="81"/>
      <c r="BU519" s="81"/>
      <c r="BV519" s="81"/>
      <c r="BW519" s="83"/>
    </row>
    <row r="520" spans="1:75" ht="15.75" customHeight="1" x14ac:dyDescent="0.2">
      <c r="A520" s="4" t="s">
        <v>44</v>
      </c>
      <c r="B520" s="85"/>
      <c r="C520" s="111">
        <f t="shared" ref="C520:BV520" si="1172">C743</f>
        <v>73.715000000000003</v>
      </c>
      <c r="D520" s="111">
        <f t="shared" si="1172"/>
        <v>81.619</v>
      </c>
      <c r="E520" s="111">
        <f t="shared" si="1172"/>
        <v>48.210999999999999</v>
      </c>
      <c r="F520" s="111">
        <f t="shared" si="1172"/>
        <v>83.569000000000003</v>
      </c>
      <c r="G520" s="4">
        <f t="shared" si="1172"/>
        <v>87.14</v>
      </c>
      <c r="H520" s="4">
        <f t="shared" si="1172"/>
        <v>130.62299999999999</v>
      </c>
      <c r="I520" s="4">
        <f t="shared" si="1172"/>
        <v>82.625</v>
      </c>
      <c r="J520" s="4">
        <f t="shared" si="1172"/>
        <v>61.750999999999998</v>
      </c>
      <c r="K520" s="111">
        <f t="shared" si="1172"/>
        <v>61.750999999999998</v>
      </c>
      <c r="L520" s="4">
        <f t="shared" si="1172"/>
        <v>31.465</v>
      </c>
      <c r="M520" s="4">
        <f t="shared" si="1172"/>
        <v>25.577000000000002</v>
      </c>
      <c r="N520" s="4">
        <f t="shared" si="1172"/>
        <v>22.140999999999998</v>
      </c>
      <c r="O520" s="4">
        <f t="shared" si="1172"/>
        <v>58.018000000000001</v>
      </c>
      <c r="P520" s="111">
        <f t="shared" si="1172"/>
        <v>58.018000000000001</v>
      </c>
      <c r="Q520" s="4">
        <f t="shared" si="1172"/>
        <v>39.478000000000002</v>
      </c>
      <c r="R520" s="4">
        <f t="shared" si="1172"/>
        <v>61.548000000000002</v>
      </c>
      <c r="S520" s="4">
        <f t="shared" si="1172"/>
        <v>29.606999999999999</v>
      </c>
      <c r="T520" s="4">
        <f t="shared" si="1172"/>
        <v>43.853999999999999</v>
      </c>
      <c r="U520" s="111">
        <f t="shared" si="1172"/>
        <v>43.853999999999999</v>
      </c>
      <c r="V520" s="4">
        <f t="shared" si="1172"/>
        <v>53.921999999999997</v>
      </c>
      <c r="W520" s="4">
        <f t="shared" si="1172"/>
        <v>79.617999999999995</v>
      </c>
      <c r="X520" s="4">
        <f t="shared" si="1172"/>
        <v>65.844999999999999</v>
      </c>
      <c r="Y520" s="2">
        <f t="shared" si="1172"/>
        <v>53.838999999999999</v>
      </c>
      <c r="Z520" s="86">
        <f t="shared" si="1172"/>
        <v>53.838999999999999</v>
      </c>
      <c r="AA520" s="4">
        <f t="shared" si="1172"/>
        <v>65.665999999999997</v>
      </c>
      <c r="AB520" s="4">
        <f t="shared" si="1172"/>
        <v>66.313999999999993</v>
      </c>
      <c r="AC520" s="4">
        <f t="shared" si="1172"/>
        <v>19.795000000000002</v>
      </c>
      <c r="AD520" s="2">
        <f t="shared" si="1172"/>
        <v>6.008</v>
      </c>
      <c r="AE520" s="86">
        <f t="shared" si="1172"/>
        <v>6.008</v>
      </c>
      <c r="AF520" s="4">
        <f t="shared" si="1172"/>
        <v>24.800999999999998</v>
      </c>
      <c r="AG520" s="4">
        <f t="shared" si="1172"/>
        <v>29.369</v>
      </c>
      <c r="AH520" s="4">
        <f t="shared" si="1172"/>
        <v>12.638999999999999</v>
      </c>
      <c r="AI520" s="2">
        <f t="shared" si="1172"/>
        <v>26.577999999999999</v>
      </c>
      <c r="AJ520" s="86">
        <f t="shared" si="1172"/>
        <v>26.577999999999999</v>
      </c>
      <c r="AK520" s="2">
        <f t="shared" si="1172"/>
        <v>22.529</v>
      </c>
      <c r="AL520" s="2">
        <f t="shared" si="1172"/>
        <v>22.603999999999999</v>
      </c>
      <c r="AM520" s="2">
        <f t="shared" si="1172"/>
        <v>306.25200000000001</v>
      </c>
      <c r="AN520" s="2">
        <f t="shared" si="1172"/>
        <v>58.416000000000004</v>
      </c>
      <c r="AO520" s="86">
        <f t="shared" si="1172"/>
        <v>58.416000000000004</v>
      </c>
      <c r="AP520" s="2">
        <f t="shared" si="1172"/>
        <v>81.022999999999996</v>
      </c>
      <c r="AQ520" s="2">
        <f t="shared" si="1172"/>
        <v>250.155</v>
      </c>
      <c r="AR520" s="2">
        <f t="shared" si="1172"/>
        <v>243.768</v>
      </c>
      <c r="AS520" s="2">
        <f t="shared" si="1172"/>
        <v>154.08500000000001</v>
      </c>
      <c r="AT520" s="86">
        <f t="shared" si="1172"/>
        <v>154.08500000000001</v>
      </c>
      <c r="AU520" s="2">
        <f t="shared" si="1172"/>
        <v>181.345</v>
      </c>
      <c r="AV520" s="2">
        <f t="shared" si="1172"/>
        <v>161.768</v>
      </c>
      <c r="AW520" s="2">
        <f t="shared" si="1172"/>
        <v>131.03</v>
      </c>
      <c r="AX520" s="2">
        <f t="shared" si="1172"/>
        <v>189.62700000000001</v>
      </c>
      <c r="AY520" s="86">
        <f t="shared" si="1172"/>
        <v>189.62700000000001</v>
      </c>
      <c r="AZ520" s="2">
        <f t="shared" si="1172"/>
        <v>183.55600000000001</v>
      </c>
      <c r="BA520" s="2">
        <f t="shared" si="1172"/>
        <v>194.89099999999999</v>
      </c>
      <c r="BB520" s="2">
        <f t="shared" si="1172"/>
        <v>133.15700000000001</v>
      </c>
      <c r="BC520" s="2">
        <f t="shared" si="1172"/>
        <v>114.777</v>
      </c>
      <c r="BD520" s="86">
        <f t="shared" si="1172"/>
        <v>114.777</v>
      </c>
      <c r="BE520" s="2">
        <f t="shared" si="1172"/>
        <v>116.164</v>
      </c>
      <c r="BF520" s="2">
        <f t="shared" si="1172"/>
        <v>91.557000000000002</v>
      </c>
      <c r="BG520" s="2">
        <f t="shared" si="1172"/>
        <v>63.987000000000002</v>
      </c>
      <c r="BH520" s="2">
        <f t="shared" si="1172"/>
        <v>56.29</v>
      </c>
      <c r="BI520" s="90">
        <f t="shared" si="1172"/>
        <v>56.29</v>
      </c>
      <c r="BJ520" s="2">
        <f t="shared" ca="1" si="1172"/>
        <v>64.369069728483254</v>
      </c>
      <c r="BK520" s="2">
        <f t="shared" ca="1" si="1172"/>
        <v>77.760279443817467</v>
      </c>
      <c r="BL520" s="2">
        <f t="shared" ca="1" si="1172"/>
        <v>69.239170585756227</v>
      </c>
      <c r="BM520" s="2">
        <f t="shared" ca="1" si="1172"/>
        <v>115.14436708615423</v>
      </c>
      <c r="BN520" s="86">
        <f t="shared" ca="1" si="1172"/>
        <v>115.14436708615423</v>
      </c>
      <c r="BO520" s="2">
        <f t="shared" ca="1" si="1172"/>
        <v>126.59134185101027</v>
      </c>
      <c r="BP520" s="2">
        <f t="shared" ca="1" si="1172"/>
        <v>141.34257137133562</v>
      </c>
      <c r="BQ520" s="2">
        <f t="shared" ca="1" si="1172"/>
        <v>136.9088215884326</v>
      </c>
      <c r="BR520" s="2">
        <f t="shared" ca="1" si="1172"/>
        <v>189.93726005508097</v>
      </c>
      <c r="BS520" s="86">
        <f t="shared" ca="1" si="1172"/>
        <v>189.93726005508097</v>
      </c>
      <c r="BT520" s="86">
        <f t="shared" ca="1" si="1172"/>
        <v>299.69919659601459</v>
      </c>
      <c r="BU520" s="86">
        <f t="shared" ca="1" si="1172"/>
        <v>431.88753833179499</v>
      </c>
      <c r="BV520" s="86">
        <f t="shared" ca="1" si="1172"/>
        <v>594.1827733574263</v>
      </c>
      <c r="BW520" s="4"/>
    </row>
    <row r="521" spans="1:75" ht="15.75" customHeight="1" x14ac:dyDescent="0.2">
      <c r="A521" s="84" t="s">
        <v>803</v>
      </c>
      <c r="B521" s="85"/>
      <c r="C521" s="87">
        <v>0</v>
      </c>
      <c r="D521" s="87">
        <v>0</v>
      </c>
      <c r="E521" s="87">
        <v>0</v>
      </c>
      <c r="F521" s="87">
        <v>0</v>
      </c>
      <c r="G521" s="88">
        <v>0</v>
      </c>
      <c r="H521" s="88">
        <v>0</v>
      </c>
      <c r="I521" s="88">
        <v>0</v>
      </c>
      <c r="J521" s="88">
        <v>0</v>
      </c>
      <c r="K521" s="87">
        <v>0</v>
      </c>
      <c r="L521" s="88">
        <v>0</v>
      </c>
      <c r="M521" s="88">
        <v>0</v>
      </c>
      <c r="N521" s="88">
        <v>0</v>
      </c>
      <c r="O521" s="88">
        <v>0</v>
      </c>
      <c r="P521" s="87">
        <v>0</v>
      </c>
      <c r="Q521" s="88">
        <v>0</v>
      </c>
      <c r="R521" s="88">
        <v>0</v>
      </c>
      <c r="S521" s="88">
        <v>0</v>
      </c>
      <c r="T521" s="88">
        <v>0</v>
      </c>
      <c r="U521" s="87">
        <v>0</v>
      </c>
      <c r="V521" s="88">
        <v>0</v>
      </c>
      <c r="W521" s="88">
        <v>0</v>
      </c>
      <c r="X521" s="88">
        <v>0</v>
      </c>
      <c r="Y521" s="88">
        <v>0</v>
      </c>
      <c r="Z521" s="87">
        <v>0</v>
      </c>
      <c r="AA521" s="88">
        <v>0</v>
      </c>
      <c r="AB521" s="88">
        <v>0</v>
      </c>
      <c r="AC521" s="88">
        <v>0</v>
      </c>
      <c r="AD521" s="88">
        <v>0</v>
      </c>
      <c r="AE521" s="87">
        <v>0</v>
      </c>
      <c r="AF521" s="88">
        <v>0</v>
      </c>
      <c r="AG521" s="88">
        <v>0</v>
      </c>
      <c r="AH521" s="88">
        <v>0</v>
      </c>
      <c r="AI521" s="88">
        <v>0</v>
      </c>
      <c r="AJ521" s="87">
        <v>0</v>
      </c>
      <c r="AK521" s="88">
        <v>0</v>
      </c>
      <c r="AL521" s="88">
        <v>0</v>
      </c>
      <c r="AM521" s="88">
        <v>0</v>
      </c>
      <c r="AN521" s="88">
        <v>0</v>
      </c>
      <c r="AO521" s="87">
        <v>0</v>
      </c>
      <c r="AP521" s="88">
        <v>0</v>
      </c>
      <c r="AQ521" s="88">
        <v>0</v>
      </c>
      <c r="AR521" s="88">
        <v>0</v>
      </c>
      <c r="AS521" s="88">
        <v>0</v>
      </c>
      <c r="AT521" s="87">
        <v>0</v>
      </c>
      <c r="AU521" s="88">
        <v>0</v>
      </c>
      <c r="AV521" s="88">
        <v>0</v>
      </c>
      <c r="AW521" s="88">
        <v>0</v>
      </c>
      <c r="AX521" s="88">
        <v>0</v>
      </c>
      <c r="AY521" s="87">
        <v>0</v>
      </c>
      <c r="AZ521" s="88">
        <v>0</v>
      </c>
      <c r="BA521" s="88">
        <v>0</v>
      </c>
      <c r="BB521" s="88">
        <v>0</v>
      </c>
      <c r="BC521" s="88">
        <v>0</v>
      </c>
      <c r="BD521" s="87">
        <v>0</v>
      </c>
      <c r="BE521" s="88">
        <v>0</v>
      </c>
      <c r="BF521" s="88">
        <v>0</v>
      </c>
      <c r="BG521" s="88">
        <v>0</v>
      </c>
      <c r="BH521" s="88">
        <v>0</v>
      </c>
      <c r="BI521" s="89">
        <v>0</v>
      </c>
      <c r="BJ521" s="2">
        <f t="shared" ref="BJ521:BM521" si="1173">BJ523-BJ522</f>
        <v>0</v>
      </c>
      <c r="BK521" s="2">
        <f t="shared" si="1173"/>
        <v>0</v>
      </c>
      <c r="BL521" s="2">
        <f t="shared" si="1173"/>
        <v>0</v>
      </c>
      <c r="BM521" s="2">
        <f t="shared" si="1173"/>
        <v>0</v>
      </c>
      <c r="BN521" s="86">
        <f>BM521</f>
        <v>0</v>
      </c>
      <c r="BO521" s="2">
        <f t="shared" ref="BO521:BR521" si="1174">BO523-BO522</f>
        <v>0</v>
      </c>
      <c r="BP521" s="2">
        <f t="shared" si="1174"/>
        <v>0</v>
      </c>
      <c r="BQ521" s="2">
        <f t="shared" si="1174"/>
        <v>0</v>
      </c>
      <c r="BR521" s="2">
        <f t="shared" si="1174"/>
        <v>0</v>
      </c>
      <c r="BS521" s="86">
        <f>BR521</f>
        <v>0</v>
      </c>
      <c r="BT521" s="86">
        <f t="shared" ref="BT521:BV521" si="1175">BT523-BT522</f>
        <v>0</v>
      </c>
      <c r="BU521" s="86">
        <f t="shared" si="1175"/>
        <v>0</v>
      </c>
      <c r="BV521" s="86">
        <f t="shared" si="1175"/>
        <v>0</v>
      </c>
      <c r="BW521" s="4"/>
    </row>
    <row r="522" spans="1:75" ht="15.75" customHeight="1" x14ac:dyDescent="0.2">
      <c r="A522" s="91" t="s">
        <v>804</v>
      </c>
      <c r="B522" s="92"/>
      <c r="C522" s="96">
        <f t="shared" ref="C522:BI522" si="1176">C776</f>
        <v>100</v>
      </c>
      <c r="D522" s="96">
        <f t="shared" si="1176"/>
        <v>0</v>
      </c>
      <c r="E522" s="96">
        <f t="shared" si="1176"/>
        <v>0</v>
      </c>
      <c r="F522" s="96">
        <f t="shared" si="1176"/>
        <v>0</v>
      </c>
      <c r="G522" s="95">
        <f t="shared" si="1176"/>
        <v>0</v>
      </c>
      <c r="H522" s="95">
        <f t="shared" si="1176"/>
        <v>0</v>
      </c>
      <c r="I522" s="95">
        <f t="shared" si="1176"/>
        <v>0</v>
      </c>
      <c r="J522" s="95">
        <f t="shared" si="1176"/>
        <v>0</v>
      </c>
      <c r="K522" s="96">
        <f t="shared" si="1176"/>
        <v>0</v>
      </c>
      <c r="L522" s="95">
        <f t="shared" si="1176"/>
        <v>25</v>
      </c>
      <c r="M522" s="95">
        <f t="shared" si="1176"/>
        <v>25</v>
      </c>
      <c r="N522" s="95">
        <f t="shared" si="1176"/>
        <v>25</v>
      </c>
      <c r="O522" s="95">
        <f t="shared" si="1176"/>
        <v>0</v>
      </c>
      <c r="P522" s="96">
        <f t="shared" si="1176"/>
        <v>0</v>
      </c>
      <c r="Q522" s="95">
        <f t="shared" si="1176"/>
        <v>25</v>
      </c>
      <c r="R522" s="95">
        <f t="shared" si="1176"/>
        <v>25</v>
      </c>
      <c r="S522" s="95">
        <f t="shared" si="1176"/>
        <v>0</v>
      </c>
      <c r="T522" s="95">
        <f t="shared" si="1176"/>
        <v>0</v>
      </c>
      <c r="U522" s="96">
        <f t="shared" si="1176"/>
        <v>0</v>
      </c>
      <c r="V522" s="95">
        <f t="shared" si="1176"/>
        <v>0</v>
      </c>
      <c r="W522" s="95">
        <f t="shared" si="1176"/>
        <v>0</v>
      </c>
      <c r="X522" s="95">
        <f t="shared" si="1176"/>
        <v>0</v>
      </c>
      <c r="Y522" s="94">
        <f t="shared" si="1176"/>
        <v>0</v>
      </c>
      <c r="Z522" s="93">
        <f t="shared" si="1176"/>
        <v>0</v>
      </c>
      <c r="AA522" s="95">
        <f t="shared" si="1176"/>
        <v>0</v>
      </c>
      <c r="AB522" s="95">
        <f t="shared" si="1176"/>
        <v>0</v>
      </c>
      <c r="AC522" s="95">
        <f t="shared" si="1176"/>
        <v>30</v>
      </c>
      <c r="AD522" s="94">
        <f t="shared" si="1176"/>
        <v>10</v>
      </c>
      <c r="AE522" s="93">
        <f t="shared" si="1176"/>
        <v>10</v>
      </c>
      <c r="AF522" s="95">
        <f t="shared" si="1176"/>
        <v>30</v>
      </c>
      <c r="AG522" s="95">
        <f t="shared" si="1176"/>
        <v>20</v>
      </c>
      <c r="AH522" s="95">
        <f t="shared" si="1176"/>
        <v>20</v>
      </c>
      <c r="AI522" s="94">
        <f t="shared" si="1176"/>
        <v>10</v>
      </c>
      <c r="AJ522" s="93">
        <f t="shared" si="1176"/>
        <v>10</v>
      </c>
      <c r="AK522" s="94">
        <f t="shared" si="1176"/>
        <v>20</v>
      </c>
      <c r="AL522" s="94">
        <f t="shared" si="1176"/>
        <v>35</v>
      </c>
      <c r="AM522" s="94">
        <f t="shared" si="1176"/>
        <v>335</v>
      </c>
      <c r="AN522" s="94">
        <f t="shared" si="1176"/>
        <v>290</v>
      </c>
      <c r="AO522" s="93">
        <f t="shared" si="1176"/>
        <v>290</v>
      </c>
      <c r="AP522" s="94">
        <f t="shared" si="1176"/>
        <v>380</v>
      </c>
      <c r="AQ522" s="94">
        <f t="shared" si="1176"/>
        <v>376</v>
      </c>
      <c r="AR522" s="94">
        <f t="shared" si="1176"/>
        <v>376</v>
      </c>
      <c r="AS522" s="94">
        <f t="shared" si="1176"/>
        <v>280</v>
      </c>
      <c r="AT522" s="93">
        <f t="shared" si="1176"/>
        <v>280</v>
      </c>
      <c r="AU522" s="94">
        <f t="shared" si="1176"/>
        <v>280</v>
      </c>
      <c r="AV522" s="94">
        <f t="shared" si="1176"/>
        <v>465.01</v>
      </c>
      <c r="AW522" s="94">
        <f t="shared" si="1176"/>
        <v>465.51400000000001</v>
      </c>
      <c r="AX522" s="94">
        <f t="shared" si="1176"/>
        <v>466.017</v>
      </c>
      <c r="AY522" s="93">
        <f t="shared" si="1176"/>
        <v>466.017</v>
      </c>
      <c r="AZ522" s="94">
        <f t="shared" si="1176"/>
        <v>466.52100000000002</v>
      </c>
      <c r="BA522" s="94">
        <f t="shared" si="1176"/>
        <v>467.02499999999998</v>
      </c>
      <c r="BB522" s="94">
        <f t="shared" si="1176"/>
        <v>467.52800000000002</v>
      </c>
      <c r="BC522" s="94">
        <f t="shared" si="1176"/>
        <v>468.03199999999998</v>
      </c>
      <c r="BD522" s="93">
        <f t="shared" si="1176"/>
        <v>468.03199999999998</v>
      </c>
      <c r="BE522" s="94">
        <f t="shared" si="1176"/>
        <v>468.536</v>
      </c>
      <c r="BF522" s="94">
        <f t="shared" si="1176"/>
        <v>469.04</v>
      </c>
      <c r="BG522" s="94">
        <f t="shared" si="1176"/>
        <v>469.54300000000001</v>
      </c>
      <c r="BH522" s="94">
        <f t="shared" si="1176"/>
        <v>470.04700000000003</v>
      </c>
      <c r="BI522" s="97">
        <f t="shared" si="1176"/>
        <v>470.04700000000003</v>
      </c>
      <c r="BJ522" s="94">
        <f t="shared" ref="BJ522:BM522" si="1177">MAX(0,BI522+BJ506)</f>
        <v>470.04700000000003</v>
      </c>
      <c r="BK522" s="94">
        <f t="shared" si="1177"/>
        <v>470.04700000000003</v>
      </c>
      <c r="BL522" s="94">
        <f t="shared" si="1177"/>
        <v>470.04700000000003</v>
      </c>
      <c r="BM522" s="94">
        <f t="shared" si="1177"/>
        <v>470.04700000000003</v>
      </c>
      <c r="BN522" s="93">
        <f>BN776</f>
        <v>470.04700000000003</v>
      </c>
      <c r="BO522" s="94">
        <f t="shared" ref="BO522:BR522" si="1178">MAX(0,BN522+BO506)</f>
        <v>470.04700000000003</v>
      </c>
      <c r="BP522" s="94">
        <f t="shared" si="1178"/>
        <v>470.04700000000003</v>
      </c>
      <c r="BQ522" s="94">
        <f t="shared" si="1178"/>
        <v>470.04700000000003</v>
      </c>
      <c r="BR522" s="94">
        <f t="shared" si="1178"/>
        <v>470.04700000000003</v>
      </c>
      <c r="BS522" s="93">
        <f>BS776</f>
        <v>470.04700000000003</v>
      </c>
      <c r="BT522" s="93">
        <f t="shared" ref="BT522:BV522" si="1179">MAX(0,BS522+BT506)</f>
        <v>470.04700000000003</v>
      </c>
      <c r="BU522" s="93">
        <f t="shared" si="1179"/>
        <v>470.04700000000003</v>
      </c>
      <c r="BV522" s="93">
        <f t="shared" si="1179"/>
        <v>470.04700000000003</v>
      </c>
      <c r="BW522" s="4"/>
    </row>
    <row r="523" spans="1:75" ht="15.75" customHeight="1" x14ac:dyDescent="0.2">
      <c r="A523" s="4" t="s">
        <v>805</v>
      </c>
      <c r="B523" s="85"/>
      <c r="C523" s="111">
        <f t="shared" ref="C523:BI523" si="1180">C776</f>
        <v>100</v>
      </c>
      <c r="D523" s="111">
        <f t="shared" si="1180"/>
        <v>0</v>
      </c>
      <c r="E523" s="111">
        <f t="shared" si="1180"/>
        <v>0</v>
      </c>
      <c r="F523" s="111">
        <f t="shared" si="1180"/>
        <v>0</v>
      </c>
      <c r="G523" s="4">
        <f t="shared" si="1180"/>
        <v>0</v>
      </c>
      <c r="H523" s="4">
        <f t="shared" si="1180"/>
        <v>0</v>
      </c>
      <c r="I523" s="4">
        <f t="shared" si="1180"/>
        <v>0</v>
      </c>
      <c r="J523" s="4">
        <f t="shared" si="1180"/>
        <v>0</v>
      </c>
      <c r="K523" s="111">
        <f t="shared" si="1180"/>
        <v>0</v>
      </c>
      <c r="L523" s="4">
        <f t="shared" si="1180"/>
        <v>25</v>
      </c>
      <c r="M523" s="4">
        <f t="shared" si="1180"/>
        <v>25</v>
      </c>
      <c r="N523" s="4">
        <f t="shared" si="1180"/>
        <v>25</v>
      </c>
      <c r="O523" s="4">
        <f t="shared" si="1180"/>
        <v>0</v>
      </c>
      <c r="P523" s="111">
        <f t="shared" si="1180"/>
        <v>0</v>
      </c>
      <c r="Q523" s="4">
        <f t="shared" si="1180"/>
        <v>25</v>
      </c>
      <c r="R523" s="4">
        <f t="shared" si="1180"/>
        <v>25</v>
      </c>
      <c r="S523" s="4">
        <f t="shared" si="1180"/>
        <v>0</v>
      </c>
      <c r="T523" s="4">
        <f t="shared" si="1180"/>
        <v>0</v>
      </c>
      <c r="U523" s="111">
        <f t="shared" si="1180"/>
        <v>0</v>
      </c>
      <c r="V523" s="4">
        <f t="shared" si="1180"/>
        <v>0</v>
      </c>
      <c r="W523" s="4">
        <f t="shared" si="1180"/>
        <v>0</v>
      </c>
      <c r="X523" s="4">
        <f t="shared" si="1180"/>
        <v>0</v>
      </c>
      <c r="Y523" s="2">
        <f t="shared" si="1180"/>
        <v>0</v>
      </c>
      <c r="Z523" s="86">
        <f t="shared" si="1180"/>
        <v>0</v>
      </c>
      <c r="AA523" s="4">
        <f t="shared" si="1180"/>
        <v>0</v>
      </c>
      <c r="AB523" s="4">
        <f t="shared" si="1180"/>
        <v>0</v>
      </c>
      <c r="AC523" s="4">
        <f t="shared" si="1180"/>
        <v>30</v>
      </c>
      <c r="AD523" s="2">
        <f t="shared" si="1180"/>
        <v>10</v>
      </c>
      <c r="AE523" s="86">
        <f t="shared" si="1180"/>
        <v>10</v>
      </c>
      <c r="AF523" s="4">
        <f t="shared" si="1180"/>
        <v>30</v>
      </c>
      <c r="AG523" s="4">
        <f t="shared" si="1180"/>
        <v>20</v>
      </c>
      <c r="AH523" s="4">
        <f t="shared" si="1180"/>
        <v>20</v>
      </c>
      <c r="AI523" s="2">
        <f t="shared" si="1180"/>
        <v>10</v>
      </c>
      <c r="AJ523" s="86">
        <f t="shared" si="1180"/>
        <v>10</v>
      </c>
      <c r="AK523" s="2">
        <f t="shared" si="1180"/>
        <v>20</v>
      </c>
      <c r="AL523" s="2">
        <f t="shared" si="1180"/>
        <v>35</v>
      </c>
      <c r="AM523" s="2">
        <f t="shared" si="1180"/>
        <v>335</v>
      </c>
      <c r="AN523" s="2">
        <f t="shared" si="1180"/>
        <v>290</v>
      </c>
      <c r="AO523" s="86">
        <f t="shared" si="1180"/>
        <v>290</v>
      </c>
      <c r="AP523" s="2">
        <f t="shared" si="1180"/>
        <v>380</v>
      </c>
      <c r="AQ523" s="2">
        <f t="shared" si="1180"/>
        <v>376</v>
      </c>
      <c r="AR523" s="2">
        <f t="shared" si="1180"/>
        <v>376</v>
      </c>
      <c r="AS523" s="2">
        <f t="shared" si="1180"/>
        <v>280</v>
      </c>
      <c r="AT523" s="86">
        <f t="shared" si="1180"/>
        <v>280</v>
      </c>
      <c r="AU523" s="2">
        <f t="shared" si="1180"/>
        <v>280</v>
      </c>
      <c r="AV523" s="2">
        <f t="shared" si="1180"/>
        <v>465.01</v>
      </c>
      <c r="AW523" s="2">
        <f t="shared" si="1180"/>
        <v>465.51400000000001</v>
      </c>
      <c r="AX523" s="2">
        <f t="shared" si="1180"/>
        <v>466.017</v>
      </c>
      <c r="AY523" s="86">
        <f t="shared" si="1180"/>
        <v>466.017</v>
      </c>
      <c r="AZ523" s="2">
        <f t="shared" si="1180"/>
        <v>466.52100000000002</v>
      </c>
      <c r="BA523" s="2">
        <f t="shared" si="1180"/>
        <v>467.02499999999998</v>
      </c>
      <c r="BB523" s="2">
        <f t="shared" si="1180"/>
        <v>467.52800000000002</v>
      </c>
      <c r="BC523" s="2">
        <f t="shared" si="1180"/>
        <v>468.03199999999998</v>
      </c>
      <c r="BD523" s="86">
        <f t="shared" si="1180"/>
        <v>468.03199999999998</v>
      </c>
      <c r="BE523" s="2">
        <f t="shared" si="1180"/>
        <v>468.536</v>
      </c>
      <c r="BF523" s="2">
        <f t="shared" si="1180"/>
        <v>469.04</v>
      </c>
      <c r="BG523" s="2">
        <f t="shared" si="1180"/>
        <v>469.54300000000001</v>
      </c>
      <c r="BH523" s="2">
        <f t="shared" si="1180"/>
        <v>470.04700000000003</v>
      </c>
      <c r="BI523" s="90">
        <f t="shared" si="1180"/>
        <v>470.04700000000003</v>
      </c>
      <c r="BJ523" s="2">
        <f t="shared" ref="BJ523:BM523" si="1181">BI523+BJ506</f>
        <v>470.04700000000003</v>
      </c>
      <c r="BK523" s="2">
        <f t="shared" si="1181"/>
        <v>470.04700000000003</v>
      </c>
      <c r="BL523" s="2">
        <f t="shared" si="1181"/>
        <v>470.04700000000003</v>
      </c>
      <c r="BM523" s="2">
        <f t="shared" si="1181"/>
        <v>470.04700000000003</v>
      </c>
      <c r="BN523" s="86">
        <f>BN776</f>
        <v>470.04700000000003</v>
      </c>
      <c r="BO523" s="2">
        <f t="shared" ref="BO523:BR523" si="1182">BN523+BO506</f>
        <v>470.04700000000003</v>
      </c>
      <c r="BP523" s="2">
        <f t="shared" si="1182"/>
        <v>470.04700000000003</v>
      </c>
      <c r="BQ523" s="2">
        <f t="shared" si="1182"/>
        <v>470.04700000000003</v>
      </c>
      <c r="BR523" s="2">
        <f t="shared" si="1182"/>
        <v>470.04700000000003</v>
      </c>
      <c r="BS523" s="86">
        <f>BS776</f>
        <v>470.04700000000003</v>
      </c>
      <c r="BT523" s="86">
        <f t="shared" ref="BT523:BV523" si="1183">BS523+BT506</f>
        <v>470.04700000000003</v>
      </c>
      <c r="BU523" s="86">
        <f t="shared" si="1183"/>
        <v>470.04700000000003</v>
      </c>
      <c r="BV523" s="86">
        <f t="shared" si="1183"/>
        <v>470.04700000000003</v>
      </c>
      <c r="BW523" s="4"/>
    </row>
    <row r="524" spans="1:75" ht="15.75" customHeight="1" x14ac:dyDescent="0.2">
      <c r="A524" s="4" t="s">
        <v>806</v>
      </c>
      <c r="B524" s="85"/>
      <c r="C524" s="111">
        <f t="shared" ref="C524:BV524" si="1184">C777+C767</f>
        <v>0</v>
      </c>
      <c r="D524" s="111">
        <f t="shared" si="1184"/>
        <v>0</v>
      </c>
      <c r="E524" s="111">
        <f t="shared" si="1184"/>
        <v>0</v>
      </c>
      <c r="F524" s="111">
        <f t="shared" si="1184"/>
        <v>0</v>
      </c>
      <c r="G524" s="4">
        <f t="shared" si="1184"/>
        <v>0</v>
      </c>
      <c r="H524" s="4">
        <f t="shared" si="1184"/>
        <v>0</v>
      </c>
      <c r="I524" s="4">
        <f t="shared" si="1184"/>
        <v>0</v>
      </c>
      <c r="J524" s="4">
        <f t="shared" si="1184"/>
        <v>0</v>
      </c>
      <c r="K524" s="111">
        <f t="shared" si="1184"/>
        <v>0</v>
      </c>
      <c r="L524" s="4">
        <f t="shared" si="1184"/>
        <v>0</v>
      </c>
      <c r="M524" s="4">
        <f t="shared" si="1184"/>
        <v>0</v>
      </c>
      <c r="N524" s="4">
        <f t="shared" si="1184"/>
        <v>0</v>
      </c>
      <c r="O524" s="4">
        <f t="shared" si="1184"/>
        <v>0</v>
      </c>
      <c r="P524" s="111">
        <f t="shared" si="1184"/>
        <v>0</v>
      </c>
      <c r="Q524" s="4">
        <f t="shared" si="1184"/>
        <v>0</v>
      </c>
      <c r="R524" s="4">
        <f t="shared" si="1184"/>
        <v>0</v>
      </c>
      <c r="S524" s="4">
        <f t="shared" si="1184"/>
        <v>0</v>
      </c>
      <c r="T524" s="4">
        <f t="shared" si="1184"/>
        <v>0</v>
      </c>
      <c r="U524" s="111">
        <f t="shared" si="1184"/>
        <v>0</v>
      </c>
      <c r="V524" s="4">
        <f t="shared" si="1184"/>
        <v>0</v>
      </c>
      <c r="W524" s="4">
        <f t="shared" si="1184"/>
        <v>0</v>
      </c>
      <c r="X524" s="4">
        <f t="shared" si="1184"/>
        <v>0</v>
      </c>
      <c r="Y524" s="2">
        <f t="shared" si="1184"/>
        <v>0</v>
      </c>
      <c r="Z524" s="86">
        <f t="shared" si="1184"/>
        <v>0</v>
      </c>
      <c r="AA524" s="4">
        <f t="shared" si="1184"/>
        <v>0</v>
      </c>
      <c r="AB524" s="4">
        <f t="shared" si="1184"/>
        <v>0</v>
      </c>
      <c r="AC524" s="4">
        <f t="shared" si="1184"/>
        <v>0</v>
      </c>
      <c r="AD524" s="2">
        <f t="shared" si="1184"/>
        <v>0</v>
      </c>
      <c r="AE524" s="86">
        <f t="shared" si="1184"/>
        <v>0</v>
      </c>
      <c r="AF524" s="4">
        <f t="shared" si="1184"/>
        <v>0</v>
      </c>
      <c r="AG524" s="4">
        <f t="shared" si="1184"/>
        <v>0</v>
      </c>
      <c r="AH524" s="4">
        <f t="shared" si="1184"/>
        <v>0</v>
      </c>
      <c r="AI524" s="2">
        <f t="shared" si="1184"/>
        <v>0</v>
      </c>
      <c r="AJ524" s="86">
        <f t="shared" si="1184"/>
        <v>0</v>
      </c>
      <c r="AK524" s="2">
        <f t="shared" si="1184"/>
        <v>1039.9369999999999</v>
      </c>
      <c r="AL524" s="2">
        <f t="shared" si="1184"/>
        <v>1028.2550000000001</v>
      </c>
      <c r="AM524" s="2">
        <f t="shared" si="1184"/>
        <v>1049.6589999999999</v>
      </c>
      <c r="AN524" s="2">
        <f t="shared" si="1184"/>
        <v>1317.9499999999998</v>
      </c>
      <c r="AO524" s="86">
        <f t="shared" si="1184"/>
        <v>1317.9499999999998</v>
      </c>
      <c r="AP524" s="2">
        <f t="shared" si="1184"/>
        <v>1340.7710000000002</v>
      </c>
      <c r="AQ524" s="2">
        <f t="shared" si="1184"/>
        <v>1362.385</v>
      </c>
      <c r="AR524" s="2">
        <f t="shared" si="1184"/>
        <v>1365.3790000000001</v>
      </c>
      <c r="AS524" s="2">
        <f t="shared" si="1184"/>
        <v>1356.84</v>
      </c>
      <c r="AT524" s="86">
        <f t="shared" si="1184"/>
        <v>1356.84</v>
      </c>
      <c r="AU524" s="2">
        <f t="shared" si="1184"/>
        <v>1348.9939999999999</v>
      </c>
      <c r="AV524" s="2">
        <f t="shared" si="1184"/>
        <v>1343.067</v>
      </c>
      <c r="AW524" s="2">
        <f t="shared" si="1184"/>
        <v>1360.2549999999999</v>
      </c>
      <c r="AX524" s="2">
        <f t="shared" si="1184"/>
        <v>1350.087</v>
      </c>
      <c r="AY524" s="86">
        <f t="shared" si="1184"/>
        <v>1350.087</v>
      </c>
      <c r="AZ524" s="2">
        <f t="shared" si="1184"/>
        <v>1346.5160000000001</v>
      </c>
      <c r="BA524" s="2">
        <f t="shared" si="1184"/>
        <v>1340.741</v>
      </c>
      <c r="BB524" s="2">
        <f t="shared" si="1184"/>
        <v>1362.422</v>
      </c>
      <c r="BC524" s="2">
        <f t="shared" si="1184"/>
        <v>1372.596</v>
      </c>
      <c r="BD524" s="86">
        <f t="shared" si="1184"/>
        <v>1372.596</v>
      </c>
      <c r="BE524" s="2">
        <f t="shared" si="1184"/>
        <v>1358.5169999999998</v>
      </c>
      <c r="BF524" s="2">
        <f t="shared" si="1184"/>
        <v>1371.0340000000001</v>
      </c>
      <c r="BG524" s="2">
        <f t="shared" si="1184"/>
        <v>1391.307</v>
      </c>
      <c r="BH524" s="2">
        <f t="shared" si="1184"/>
        <v>1389.86</v>
      </c>
      <c r="BI524" s="90">
        <f t="shared" si="1184"/>
        <v>1389.86</v>
      </c>
      <c r="BJ524" s="2">
        <f t="shared" si="1184"/>
        <v>1389.86</v>
      </c>
      <c r="BK524" s="2">
        <f t="shared" si="1184"/>
        <v>1389.86</v>
      </c>
      <c r="BL524" s="2">
        <f t="shared" si="1184"/>
        <v>1389.86</v>
      </c>
      <c r="BM524" s="2">
        <f t="shared" si="1184"/>
        <v>1389.86</v>
      </c>
      <c r="BN524" s="86">
        <f t="shared" si="1184"/>
        <v>1389.86</v>
      </c>
      <c r="BO524" s="2">
        <f t="shared" si="1184"/>
        <v>1389.86</v>
      </c>
      <c r="BP524" s="2">
        <f t="shared" si="1184"/>
        <v>1389.86</v>
      </c>
      <c r="BQ524" s="2">
        <f t="shared" si="1184"/>
        <v>1389.86</v>
      </c>
      <c r="BR524" s="2">
        <f t="shared" si="1184"/>
        <v>1389.86</v>
      </c>
      <c r="BS524" s="86">
        <f t="shared" si="1184"/>
        <v>1389.86</v>
      </c>
      <c r="BT524" s="86">
        <f t="shared" si="1184"/>
        <v>1389.86</v>
      </c>
      <c r="BU524" s="86">
        <f t="shared" si="1184"/>
        <v>1389.86</v>
      </c>
      <c r="BV524" s="86">
        <f t="shared" si="1184"/>
        <v>1389.86</v>
      </c>
      <c r="BW524" s="4"/>
    </row>
    <row r="525" spans="1:75" ht="15.75" customHeight="1" x14ac:dyDescent="0.2">
      <c r="A525" s="4" t="s">
        <v>807</v>
      </c>
      <c r="B525" s="85"/>
      <c r="C525" s="111">
        <f t="shared" ref="C525:BV525" si="1185">C523+C524-C520</f>
        <v>26.284999999999997</v>
      </c>
      <c r="D525" s="111">
        <f t="shared" si="1185"/>
        <v>-81.619</v>
      </c>
      <c r="E525" s="111">
        <f t="shared" si="1185"/>
        <v>-48.210999999999999</v>
      </c>
      <c r="F525" s="111">
        <f t="shared" si="1185"/>
        <v>-83.569000000000003</v>
      </c>
      <c r="G525" s="4">
        <f t="shared" si="1185"/>
        <v>-87.14</v>
      </c>
      <c r="H525" s="4">
        <f t="shared" si="1185"/>
        <v>-130.62299999999999</v>
      </c>
      <c r="I525" s="4">
        <f t="shared" si="1185"/>
        <v>-82.625</v>
      </c>
      <c r="J525" s="4">
        <f t="shared" si="1185"/>
        <v>-61.750999999999998</v>
      </c>
      <c r="K525" s="111">
        <f t="shared" si="1185"/>
        <v>-61.750999999999998</v>
      </c>
      <c r="L525" s="4">
        <f t="shared" si="1185"/>
        <v>-6.4649999999999999</v>
      </c>
      <c r="M525" s="4">
        <f t="shared" si="1185"/>
        <v>-0.57700000000000173</v>
      </c>
      <c r="N525" s="4">
        <f t="shared" si="1185"/>
        <v>2.8590000000000018</v>
      </c>
      <c r="O525" s="4">
        <f t="shared" si="1185"/>
        <v>-58.018000000000001</v>
      </c>
      <c r="P525" s="111">
        <f t="shared" si="1185"/>
        <v>-58.018000000000001</v>
      </c>
      <c r="Q525" s="4">
        <f t="shared" si="1185"/>
        <v>-14.478000000000002</v>
      </c>
      <c r="R525" s="4">
        <f t="shared" si="1185"/>
        <v>-36.548000000000002</v>
      </c>
      <c r="S525" s="4">
        <f t="shared" si="1185"/>
        <v>-29.606999999999999</v>
      </c>
      <c r="T525" s="4">
        <f t="shared" si="1185"/>
        <v>-43.853999999999999</v>
      </c>
      <c r="U525" s="111">
        <f t="shared" si="1185"/>
        <v>-43.853999999999999</v>
      </c>
      <c r="V525" s="4">
        <f t="shared" si="1185"/>
        <v>-53.921999999999997</v>
      </c>
      <c r="W525" s="4">
        <f t="shared" si="1185"/>
        <v>-79.617999999999995</v>
      </c>
      <c r="X525" s="4">
        <f t="shared" si="1185"/>
        <v>-65.844999999999999</v>
      </c>
      <c r="Y525" s="2">
        <f t="shared" si="1185"/>
        <v>-53.838999999999999</v>
      </c>
      <c r="Z525" s="86">
        <f t="shared" si="1185"/>
        <v>-53.838999999999999</v>
      </c>
      <c r="AA525" s="4">
        <f t="shared" si="1185"/>
        <v>-65.665999999999997</v>
      </c>
      <c r="AB525" s="4">
        <f t="shared" si="1185"/>
        <v>-66.313999999999993</v>
      </c>
      <c r="AC525" s="4">
        <f t="shared" si="1185"/>
        <v>10.204999999999998</v>
      </c>
      <c r="AD525" s="2">
        <f t="shared" si="1185"/>
        <v>3.992</v>
      </c>
      <c r="AE525" s="86">
        <f t="shared" si="1185"/>
        <v>3.992</v>
      </c>
      <c r="AF525" s="4">
        <f t="shared" si="1185"/>
        <v>5.1990000000000016</v>
      </c>
      <c r="AG525" s="4">
        <f t="shared" si="1185"/>
        <v>-9.3689999999999998</v>
      </c>
      <c r="AH525" s="4">
        <f t="shared" si="1185"/>
        <v>7.3610000000000007</v>
      </c>
      <c r="AI525" s="2">
        <f t="shared" si="1185"/>
        <v>-16.577999999999999</v>
      </c>
      <c r="AJ525" s="86">
        <f t="shared" si="1185"/>
        <v>-16.577999999999999</v>
      </c>
      <c r="AK525" s="2">
        <f t="shared" si="1185"/>
        <v>1037.4079999999999</v>
      </c>
      <c r="AL525" s="2">
        <f t="shared" si="1185"/>
        <v>1040.6510000000001</v>
      </c>
      <c r="AM525" s="2">
        <f t="shared" si="1185"/>
        <v>1078.4069999999999</v>
      </c>
      <c r="AN525" s="2">
        <f t="shared" si="1185"/>
        <v>1549.5339999999999</v>
      </c>
      <c r="AO525" s="86">
        <f t="shared" si="1185"/>
        <v>1549.5339999999999</v>
      </c>
      <c r="AP525" s="2">
        <f t="shared" si="1185"/>
        <v>1639.7480000000003</v>
      </c>
      <c r="AQ525" s="2">
        <f t="shared" si="1185"/>
        <v>1488.23</v>
      </c>
      <c r="AR525" s="2">
        <f t="shared" si="1185"/>
        <v>1497.6110000000001</v>
      </c>
      <c r="AS525" s="2">
        <f t="shared" si="1185"/>
        <v>1482.7549999999999</v>
      </c>
      <c r="AT525" s="86">
        <f t="shared" si="1185"/>
        <v>1482.7549999999999</v>
      </c>
      <c r="AU525" s="2">
        <f t="shared" si="1185"/>
        <v>1447.6489999999999</v>
      </c>
      <c r="AV525" s="2">
        <f t="shared" si="1185"/>
        <v>1646.309</v>
      </c>
      <c r="AW525" s="2">
        <f t="shared" si="1185"/>
        <v>1694.7389999999998</v>
      </c>
      <c r="AX525" s="2">
        <f t="shared" si="1185"/>
        <v>1626.4770000000001</v>
      </c>
      <c r="AY525" s="86">
        <f t="shared" si="1185"/>
        <v>1626.4770000000001</v>
      </c>
      <c r="AZ525" s="2">
        <f t="shared" si="1185"/>
        <v>1629.481</v>
      </c>
      <c r="BA525" s="2">
        <f t="shared" si="1185"/>
        <v>1612.875</v>
      </c>
      <c r="BB525" s="2">
        <f t="shared" si="1185"/>
        <v>1696.7930000000001</v>
      </c>
      <c r="BC525" s="2">
        <f t="shared" si="1185"/>
        <v>1725.8509999999999</v>
      </c>
      <c r="BD525" s="86">
        <f t="shared" si="1185"/>
        <v>1725.8509999999999</v>
      </c>
      <c r="BE525" s="2">
        <f t="shared" si="1185"/>
        <v>1710.8889999999999</v>
      </c>
      <c r="BF525" s="2">
        <f t="shared" si="1185"/>
        <v>1748.5170000000001</v>
      </c>
      <c r="BG525" s="2">
        <f t="shared" si="1185"/>
        <v>1796.8629999999998</v>
      </c>
      <c r="BH525" s="2">
        <f t="shared" si="1185"/>
        <v>1803.617</v>
      </c>
      <c r="BI525" s="90">
        <f t="shared" si="1185"/>
        <v>1803.617</v>
      </c>
      <c r="BJ525" s="2">
        <f t="shared" ca="1" si="1185"/>
        <v>1795.5379302715166</v>
      </c>
      <c r="BK525" s="2">
        <f t="shared" ca="1" si="1185"/>
        <v>1782.1467205561826</v>
      </c>
      <c r="BL525" s="2">
        <f t="shared" ca="1" si="1185"/>
        <v>1790.6678294142437</v>
      </c>
      <c r="BM525" s="2">
        <f t="shared" ca="1" si="1185"/>
        <v>1744.7626329138457</v>
      </c>
      <c r="BN525" s="86">
        <f t="shared" ca="1" si="1185"/>
        <v>1744.7626329138457</v>
      </c>
      <c r="BO525" s="2">
        <f t="shared" ca="1" si="1185"/>
        <v>1733.3156581489898</v>
      </c>
      <c r="BP525" s="2">
        <f t="shared" ca="1" si="1185"/>
        <v>1718.5644286286642</v>
      </c>
      <c r="BQ525" s="2">
        <f t="shared" ca="1" si="1185"/>
        <v>1722.9981784115673</v>
      </c>
      <c r="BR525" s="2">
        <f t="shared" ca="1" si="1185"/>
        <v>1669.969739944919</v>
      </c>
      <c r="BS525" s="86">
        <f t="shared" ca="1" si="1185"/>
        <v>1669.969739944919</v>
      </c>
      <c r="BT525" s="86">
        <f t="shared" ca="1" si="1185"/>
        <v>1560.2078034039853</v>
      </c>
      <c r="BU525" s="86">
        <f t="shared" ca="1" si="1185"/>
        <v>1428.0194616682049</v>
      </c>
      <c r="BV525" s="86">
        <f t="shared" ca="1" si="1185"/>
        <v>1265.7242266425737</v>
      </c>
      <c r="BW525" s="4"/>
    </row>
    <row r="526" spans="1:75" ht="15.75" customHeight="1" x14ac:dyDescent="0.2">
      <c r="A526" s="2"/>
      <c r="B526" s="85"/>
      <c r="C526" s="86"/>
      <c r="D526" s="86"/>
      <c r="E526" s="86"/>
      <c r="F526" s="86"/>
      <c r="G526" s="2"/>
      <c r="H526" s="2"/>
      <c r="I526" s="2"/>
      <c r="J526" s="2"/>
      <c r="K526" s="86"/>
      <c r="L526" s="2"/>
      <c r="M526" s="2"/>
      <c r="N526" s="2"/>
      <c r="O526" s="2"/>
      <c r="P526" s="86"/>
      <c r="Q526" s="2"/>
      <c r="R526" s="2"/>
      <c r="S526" s="2"/>
      <c r="T526" s="2"/>
      <c r="U526" s="86"/>
      <c r="V526" s="2"/>
      <c r="W526" s="2"/>
      <c r="X526" s="2"/>
      <c r="Y526" s="2"/>
      <c r="Z526" s="86"/>
      <c r="AA526" s="2"/>
      <c r="AB526" s="2"/>
      <c r="AC526" s="2"/>
      <c r="AD526" s="2"/>
      <c r="AE526" s="86"/>
      <c r="AF526" s="2"/>
      <c r="AG526" s="2"/>
      <c r="AH526" s="2"/>
      <c r="AI526" s="2"/>
      <c r="AJ526" s="86"/>
      <c r="AK526" s="2"/>
      <c r="AL526" s="2"/>
      <c r="AM526" s="2"/>
      <c r="AN526" s="2"/>
      <c r="AO526" s="86"/>
      <c r="AP526" s="2"/>
      <c r="AQ526" s="2"/>
      <c r="AR526" s="2"/>
      <c r="AS526" s="2"/>
      <c r="AT526" s="86"/>
      <c r="AU526" s="2"/>
      <c r="AV526" s="2"/>
      <c r="AW526" s="2"/>
      <c r="AX526" s="2"/>
      <c r="AY526" s="86"/>
      <c r="AZ526" s="2"/>
      <c r="BA526" s="2"/>
      <c r="BB526" s="2"/>
      <c r="BC526" s="2"/>
      <c r="BD526" s="86"/>
      <c r="BE526" s="2"/>
      <c r="BF526" s="2"/>
      <c r="BG526" s="2"/>
      <c r="BH526" s="2"/>
      <c r="BI526" s="90"/>
      <c r="BJ526" s="2"/>
      <c r="BK526" s="2"/>
      <c r="BL526" s="2"/>
      <c r="BM526" s="2"/>
      <c r="BN526" s="86"/>
      <c r="BO526" s="2"/>
      <c r="BP526" s="2"/>
      <c r="BQ526" s="2"/>
      <c r="BR526" s="2"/>
      <c r="BS526" s="86"/>
      <c r="BT526" s="86"/>
      <c r="BU526" s="86"/>
      <c r="BV526" s="86"/>
      <c r="BW526" s="4"/>
    </row>
    <row r="527" spans="1:75" ht="15.75" customHeight="1" x14ac:dyDescent="0.2">
      <c r="A527" s="4" t="s">
        <v>141</v>
      </c>
      <c r="B527" s="85"/>
      <c r="C527" s="237"/>
      <c r="D527" s="237"/>
      <c r="E527" s="237"/>
      <c r="F527" s="237"/>
      <c r="G527" s="239"/>
      <c r="H527" s="239"/>
      <c r="I527" s="239"/>
      <c r="J527" s="239"/>
      <c r="K527" s="237"/>
      <c r="L527" s="239"/>
      <c r="M527" s="239"/>
      <c r="N527" s="239"/>
      <c r="O527" s="239"/>
      <c r="P527" s="237"/>
      <c r="Q527" s="239"/>
      <c r="R527" s="239"/>
      <c r="S527" s="239"/>
      <c r="T527" s="239"/>
      <c r="U527" s="237"/>
      <c r="V527" s="239"/>
      <c r="W527" s="239"/>
      <c r="X527" s="239"/>
      <c r="Y527" s="239"/>
      <c r="Z527" s="237"/>
      <c r="AA527" s="239"/>
      <c r="AB527" s="239"/>
      <c r="AC527" s="239"/>
      <c r="AD527" s="239"/>
      <c r="AE527" s="237"/>
      <c r="AF527" s="239"/>
      <c r="AG527" s="239"/>
      <c r="AH527" s="239"/>
      <c r="AI527" s="239"/>
      <c r="AJ527" s="237"/>
      <c r="AK527" s="239"/>
      <c r="AL527" s="239"/>
      <c r="AM527" s="239"/>
      <c r="AN527" s="239"/>
      <c r="AO527" s="237"/>
      <c r="AP527" s="239"/>
      <c r="AQ527" s="239"/>
      <c r="AR527" s="239"/>
      <c r="AS527" s="239"/>
      <c r="AT527" s="237"/>
      <c r="AU527" s="239"/>
      <c r="AV527" s="239"/>
      <c r="AW527" s="239"/>
      <c r="AX527" s="239"/>
      <c r="AY527" s="237"/>
      <c r="AZ527" s="239"/>
      <c r="BA527" s="239"/>
      <c r="BB527" s="239"/>
      <c r="BC527" s="239"/>
      <c r="BD527" s="237"/>
      <c r="BE527" s="239"/>
      <c r="BF527" s="239"/>
      <c r="BG527" s="239"/>
      <c r="BH527" s="239"/>
      <c r="BI527" s="259"/>
      <c r="BJ527" s="239">
        <f>MAX(0,BJ528*AVERAGE(BI523,BJ523)*BJ3/BN3)</f>
        <v>2.3502350000000001</v>
      </c>
      <c r="BK527" s="239">
        <f>MAX(0,BK528*AVERAGE(BJ523,BK523)*BK3/BN3)</f>
        <v>2.3502350000000001</v>
      </c>
      <c r="BL527" s="239">
        <f>MAX(0,BL528*AVERAGE(BK523,BL523)*BL3/BN3)</f>
        <v>2.3502350000000001</v>
      </c>
      <c r="BM527" s="239">
        <f>MAX(0,BM528*AVERAGE(BL523,BM523)*BM3/BN3)</f>
        <v>2.3502350000000001</v>
      </c>
      <c r="BN527" s="237">
        <f>IF(OR(ISBLANK(BJ527),ISBLANK(BK527),ISBLANK(BL527),ISBLANK(BM527)),"n/a",SUM(BJ527,BK527,BL527,BM527))</f>
        <v>9.4009400000000003</v>
      </c>
      <c r="BO527" s="239">
        <f>MAX(0,BO528*AVERAGE(BN523,BO523)*BO3/BS3)</f>
        <v>2.3502350000000001</v>
      </c>
      <c r="BP527" s="239">
        <f>MAX(0,BP528*AVERAGE(BO523,BP523)*BP3/BS3)</f>
        <v>2.3502350000000001</v>
      </c>
      <c r="BQ527" s="239">
        <f>MAX(0,BQ528*AVERAGE(BP523,BQ523)*BQ3/BS3)</f>
        <v>2.3502350000000001</v>
      </c>
      <c r="BR527" s="239">
        <f>MAX(0,BR528*AVERAGE(BQ523,BR523)*BR3/BS3)</f>
        <v>2.3502350000000001</v>
      </c>
      <c r="BS527" s="237">
        <f>IF(OR(ISBLANK(BO527),ISBLANK(BP527),ISBLANK(BQ527),ISBLANK(BR527)),"n/a",SUM(BO527,BP527,BQ527,BR527))</f>
        <v>9.4009400000000003</v>
      </c>
      <c r="BT527" s="237">
        <f t="shared" ref="BT527:BV527" si="1186">BT528*AVERAGE(BS523,BT523)</f>
        <v>9.4009400000000003</v>
      </c>
      <c r="BU527" s="237">
        <f t="shared" si="1186"/>
        <v>9.4009400000000003</v>
      </c>
      <c r="BV527" s="237">
        <f t="shared" si="1186"/>
        <v>9.4009400000000003</v>
      </c>
      <c r="BW527" s="4"/>
    </row>
    <row r="528" spans="1:75" ht="15.75" customHeight="1" x14ac:dyDescent="0.2">
      <c r="A528" s="83" t="s">
        <v>808</v>
      </c>
      <c r="B528" s="108"/>
      <c r="C528" s="68"/>
      <c r="D528" s="68"/>
      <c r="E528" s="68"/>
      <c r="F528" s="68"/>
      <c r="G528" s="69"/>
      <c r="H528" s="69"/>
      <c r="I528" s="69"/>
      <c r="J528" s="69"/>
      <c r="K528" s="68"/>
      <c r="L528" s="69"/>
      <c r="M528" s="69"/>
      <c r="N528" s="69"/>
      <c r="O528" s="69"/>
      <c r="P528" s="68"/>
      <c r="Q528" s="69"/>
      <c r="R528" s="69"/>
      <c r="S528" s="69"/>
      <c r="T528" s="69"/>
      <c r="U528" s="68"/>
      <c r="V528" s="69"/>
      <c r="W528" s="69"/>
      <c r="X528" s="69"/>
      <c r="Y528" s="69"/>
      <c r="Z528" s="68"/>
      <c r="AA528" s="69"/>
      <c r="AB528" s="69"/>
      <c r="AC528" s="69"/>
      <c r="AD528" s="69"/>
      <c r="AE528" s="68"/>
      <c r="AF528" s="69"/>
      <c r="AG528" s="69"/>
      <c r="AH528" s="69"/>
      <c r="AI528" s="69"/>
      <c r="AJ528" s="68"/>
      <c r="AK528" s="69"/>
      <c r="AL528" s="69"/>
      <c r="AM528" s="69"/>
      <c r="AN528" s="69"/>
      <c r="AO528" s="68"/>
      <c r="AP528" s="69"/>
      <c r="AQ528" s="69"/>
      <c r="AR528" s="69"/>
      <c r="AS528" s="69"/>
      <c r="AT528" s="68"/>
      <c r="AU528" s="69"/>
      <c r="AV528" s="69"/>
      <c r="AW528" s="69"/>
      <c r="AX528" s="69"/>
      <c r="AY528" s="68"/>
      <c r="AZ528" s="69"/>
      <c r="BA528" s="69"/>
      <c r="BB528" s="69"/>
      <c r="BC528" s="69"/>
      <c r="BD528" s="68"/>
      <c r="BE528" s="69"/>
      <c r="BF528" s="69"/>
      <c r="BG528" s="69"/>
      <c r="BH528" s="69"/>
      <c r="BI528" s="70"/>
      <c r="BJ528" s="438">
        <v>0.02</v>
      </c>
      <c r="BK528" s="438">
        <v>0.02</v>
      </c>
      <c r="BL528" s="438">
        <v>0.02</v>
      </c>
      <c r="BM528" s="438">
        <v>0.02</v>
      </c>
      <c r="BN528" s="68">
        <f>IFERROR(BN527/AVERAGE(BJ523,BK523,BL523,BM523),"n/a")</f>
        <v>0.02</v>
      </c>
      <c r="BO528" s="438">
        <v>0.02</v>
      </c>
      <c r="BP528" s="438">
        <v>0.02</v>
      </c>
      <c r="BQ528" s="438">
        <v>0.02</v>
      </c>
      <c r="BR528" s="438">
        <v>0.02</v>
      </c>
      <c r="BS528" s="68">
        <f>IFERROR(BS527/AVERAGE(BO523,BP523,BQ523,BR523),"n/a")</f>
        <v>0.02</v>
      </c>
      <c r="BT528" s="439">
        <v>0.02</v>
      </c>
      <c r="BU528" s="439">
        <v>0.02</v>
      </c>
      <c r="BV528" s="439">
        <v>0.02</v>
      </c>
      <c r="BW528" s="4"/>
    </row>
    <row r="529" spans="1:75" ht="15.75" customHeight="1" x14ac:dyDescent="0.2">
      <c r="A529" s="2" t="s">
        <v>809</v>
      </c>
      <c r="B529" s="85"/>
      <c r="C529" s="237"/>
      <c r="D529" s="237"/>
      <c r="E529" s="237"/>
      <c r="F529" s="237"/>
      <c r="G529" s="239"/>
      <c r="H529" s="239"/>
      <c r="I529" s="239"/>
      <c r="J529" s="239"/>
      <c r="K529" s="237"/>
      <c r="L529" s="239"/>
      <c r="M529" s="239"/>
      <c r="N529" s="239"/>
      <c r="O529" s="239"/>
      <c r="P529" s="237"/>
      <c r="Q529" s="239"/>
      <c r="R529" s="239"/>
      <c r="S529" s="239"/>
      <c r="T529" s="239"/>
      <c r="U529" s="237"/>
      <c r="V529" s="239"/>
      <c r="W529" s="239"/>
      <c r="X529" s="239"/>
      <c r="Y529" s="239"/>
      <c r="Z529" s="237"/>
      <c r="AA529" s="239"/>
      <c r="AB529" s="239"/>
      <c r="AC529" s="239"/>
      <c r="AD529" s="239"/>
      <c r="AE529" s="237"/>
      <c r="AF529" s="239"/>
      <c r="AG529" s="239"/>
      <c r="AH529" s="239"/>
      <c r="AI529" s="239"/>
      <c r="AJ529" s="237"/>
      <c r="AK529" s="239"/>
      <c r="AL529" s="239"/>
      <c r="AM529" s="239"/>
      <c r="AN529" s="239"/>
      <c r="AO529" s="237"/>
      <c r="AP529" s="239"/>
      <c r="AQ529" s="239"/>
      <c r="AR529" s="239"/>
      <c r="AS529" s="239"/>
      <c r="AT529" s="237"/>
      <c r="AU529" s="239"/>
      <c r="AV529" s="239"/>
      <c r="AW529" s="239"/>
      <c r="AX529" s="239"/>
      <c r="AY529" s="237"/>
      <c r="AZ529" s="239"/>
      <c r="BA529" s="239"/>
      <c r="BB529" s="239"/>
      <c r="BC529" s="239"/>
      <c r="BD529" s="237"/>
      <c r="BE529" s="239"/>
      <c r="BF529" s="239"/>
      <c r="BG529" s="239"/>
      <c r="BH529" s="239"/>
      <c r="BI529" s="259"/>
      <c r="BJ529" s="239">
        <f>MAX(0,BJ530*BI520*BJ3/BN3)</f>
        <v>7.0362499999999994E-2</v>
      </c>
      <c r="BK529" s="239">
        <f ca="1">MAX(0,BK530*BJ520*BK3/BN3)</f>
        <v>8.0461337160604066E-2</v>
      </c>
      <c r="BL529" s="239">
        <f ca="1">MAX(0,BL530*BK520*BL3/BN3)</f>
        <v>9.7200349304771838E-2</v>
      </c>
      <c r="BM529" s="239">
        <f ca="1">MAX(0,BM530*BL520*BM3/BN3)</f>
        <v>8.6548963232195283E-2</v>
      </c>
      <c r="BN529" s="237">
        <f ca="1">IF(OR(ISBLANK(BJ529),ISBLANK(BK529),ISBLANK(BL529),ISBLANK(BM529)),"n/a",SUM(BJ529,BK529,BL529,BM529))</f>
        <v>0.33457314969757118</v>
      </c>
      <c r="BO529" s="239">
        <f ca="1">MAX(0,BO530*BN520*BO3/BS3)</f>
        <v>0.14393045885769279</v>
      </c>
      <c r="BP529" s="239">
        <f ca="1">MAX(0,BP530*BO520*BP3/BS3)</f>
        <v>0.15823917731376283</v>
      </c>
      <c r="BQ529" s="239">
        <f ca="1">MAX(0,BQ530*BP520*BQ3/BS3)</f>
        <v>0.17667821421416952</v>
      </c>
      <c r="BR529" s="239">
        <f ca="1">MAX(0,BR530*BQ520*BR3/BS3)</f>
        <v>0.17113602698554076</v>
      </c>
      <c r="BS529" s="237">
        <f ca="1">IF(OR(ISBLANK(BO529),ISBLANK(BP529),ISBLANK(BQ529),ISBLANK(BR529)),"n/a",SUM(BO529,BP529,BQ529,BR529))</f>
        <v>0.64998387737116592</v>
      </c>
      <c r="BT529" s="237">
        <f t="shared" ref="BT529:BV529" ca="1" si="1187">BT530*BS520</f>
        <v>0.9496863002754049</v>
      </c>
      <c r="BU529" s="237">
        <f t="shared" ca="1" si="1187"/>
        <v>1.498495982980073</v>
      </c>
      <c r="BV529" s="237">
        <f t="shared" ca="1" si="1187"/>
        <v>2.159437691658975</v>
      </c>
      <c r="BW529" s="4"/>
    </row>
    <row r="530" spans="1:75" ht="15.75" customHeight="1" x14ac:dyDescent="0.2">
      <c r="A530" s="110" t="s">
        <v>810</v>
      </c>
      <c r="B530" s="108"/>
      <c r="C530" s="68"/>
      <c r="D530" s="68"/>
      <c r="E530" s="68"/>
      <c r="F530" s="68"/>
      <c r="G530" s="69"/>
      <c r="H530" s="69"/>
      <c r="I530" s="69"/>
      <c r="J530" s="69"/>
      <c r="K530" s="68"/>
      <c r="L530" s="69"/>
      <c r="M530" s="69"/>
      <c r="N530" s="69"/>
      <c r="O530" s="69"/>
      <c r="P530" s="68"/>
      <c r="Q530" s="69"/>
      <c r="R530" s="69"/>
      <c r="S530" s="69"/>
      <c r="T530" s="69"/>
      <c r="U530" s="68"/>
      <c r="V530" s="69"/>
      <c r="W530" s="69"/>
      <c r="X530" s="69"/>
      <c r="Y530" s="69"/>
      <c r="Z530" s="68"/>
      <c r="AA530" s="69"/>
      <c r="AB530" s="69"/>
      <c r="AC530" s="69"/>
      <c r="AD530" s="69"/>
      <c r="AE530" s="68"/>
      <c r="AF530" s="69"/>
      <c r="AG530" s="69"/>
      <c r="AH530" s="69"/>
      <c r="AI530" s="69"/>
      <c r="AJ530" s="68"/>
      <c r="AK530" s="69"/>
      <c r="AL530" s="69"/>
      <c r="AM530" s="69"/>
      <c r="AN530" s="69"/>
      <c r="AO530" s="68"/>
      <c r="AP530" s="69"/>
      <c r="AQ530" s="69"/>
      <c r="AR530" s="69"/>
      <c r="AS530" s="69"/>
      <c r="AT530" s="68"/>
      <c r="AU530" s="69"/>
      <c r="AV530" s="69"/>
      <c r="AW530" s="69"/>
      <c r="AX530" s="69"/>
      <c r="AY530" s="68"/>
      <c r="AZ530" s="69"/>
      <c r="BA530" s="69"/>
      <c r="BB530" s="69"/>
      <c r="BC530" s="69"/>
      <c r="BD530" s="68"/>
      <c r="BE530" s="69"/>
      <c r="BF530" s="69"/>
      <c r="BG530" s="69"/>
      <c r="BH530" s="69"/>
      <c r="BI530" s="70"/>
      <c r="BJ530" s="438">
        <v>5.0000000000000001E-3</v>
      </c>
      <c r="BK530" s="438">
        <v>5.0000000000000001E-3</v>
      </c>
      <c r="BL530" s="438">
        <v>5.0000000000000001E-3</v>
      </c>
      <c r="BM530" s="438">
        <v>5.0000000000000001E-3</v>
      </c>
      <c r="BN530" s="68">
        <f ca="1">IFERROR(BN529/AVERAGE(BJ520,BK520,BL520,BM520),"n/a")</f>
        <v>4.098743580154076E-3</v>
      </c>
      <c r="BO530" s="438">
        <v>5.0000000000000001E-3</v>
      </c>
      <c r="BP530" s="438">
        <v>5.0000000000000001E-3</v>
      </c>
      <c r="BQ530" s="438">
        <v>5.0000000000000001E-3</v>
      </c>
      <c r="BR530" s="438">
        <v>5.0000000000000001E-3</v>
      </c>
      <c r="BS530" s="68">
        <f ca="1">IFERROR(BS529/AVERAGE(BO520,BP520,BQ520,BR520),"n/a")</f>
        <v>4.3712558121108743E-3</v>
      </c>
      <c r="BT530" s="439">
        <v>5.0000000000000001E-3</v>
      </c>
      <c r="BU530" s="439">
        <v>5.0000000000000001E-3</v>
      </c>
      <c r="BV530" s="439">
        <v>5.0000000000000001E-3</v>
      </c>
      <c r="BW530" s="4"/>
    </row>
    <row r="531" spans="1:75" ht="15.75" customHeight="1" x14ac:dyDescent="0.2">
      <c r="A531" s="2" t="s">
        <v>811</v>
      </c>
      <c r="B531" s="85"/>
      <c r="C531" s="237">
        <f t="shared" ref="C531:BI531" si="1188">C398</f>
        <v>22.41</v>
      </c>
      <c r="D531" s="237">
        <f t="shared" si="1188"/>
        <v>17.122</v>
      </c>
      <c r="E531" s="237">
        <f t="shared" si="1188"/>
        <v>4.3070000000000004</v>
      </c>
      <c r="F531" s="237">
        <f t="shared" si="1188"/>
        <v>4.7249999999999996</v>
      </c>
      <c r="G531" s="239">
        <f t="shared" si="1188"/>
        <v>1.31</v>
      </c>
      <c r="H531" s="239">
        <f t="shared" si="1188"/>
        <v>1.2709999999999999</v>
      </c>
      <c r="I531" s="239">
        <f t="shared" si="1188"/>
        <v>0.72699999999999998</v>
      </c>
      <c r="J531" s="239">
        <f t="shared" si="1188"/>
        <v>1.196</v>
      </c>
      <c r="K531" s="237">
        <f t="shared" si="1188"/>
        <v>4.5039999999999996</v>
      </c>
      <c r="L531" s="239">
        <f t="shared" si="1188"/>
        <v>1.391</v>
      </c>
      <c r="M531" s="239">
        <f t="shared" si="1188"/>
        <v>1.544</v>
      </c>
      <c r="N531" s="239">
        <f t="shared" si="1188"/>
        <v>1.381</v>
      </c>
      <c r="O531" s="239">
        <f t="shared" si="1188"/>
        <v>1.871</v>
      </c>
      <c r="P531" s="237">
        <f t="shared" si="1188"/>
        <v>6.1870000000000003</v>
      </c>
      <c r="Q531" s="239">
        <f t="shared" si="1188"/>
        <v>1.895</v>
      </c>
      <c r="R531" s="239">
        <f t="shared" si="1188"/>
        <v>1.4319999999999999</v>
      </c>
      <c r="S531" s="239">
        <f t="shared" si="1188"/>
        <v>0.72199999999999998</v>
      </c>
      <c r="T531" s="239">
        <f t="shared" si="1188"/>
        <v>1.845</v>
      </c>
      <c r="U531" s="237">
        <f t="shared" si="1188"/>
        <v>5.8940000000000001</v>
      </c>
      <c r="V531" s="239">
        <f t="shared" si="1188"/>
        <v>2.3039999999999998</v>
      </c>
      <c r="W531" s="239">
        <f t="shared" si="1188"/>
        <v>2.181</v>
      </c>
      <c r="X531" s="239">
        <f t="shared" si="1188"/>
        <v>2.4769999999999999</v>
      </c>
      <c r="Y531" s="239">
        <f t="shared" si="1188"/>
        <v>2.2629999999999999</v>
      </c>
      <c r="Z531" s="237">
        <f t="shared" si="1188"/>
        <v>9.2249999999999996</v>
      </c>
      <c r="AA531" s="239">
        <f t="shared" si="1188"/>
        <v>1.256</v>
      </c>
      <c r="AB531" s="239">
        <f t="shared" si="1188"/>
        <v>1.5699999999999998</v>
      </c>
      <c r="AC531" s="239">
        <f t="shared" si="1188"/>
        <v>1.6</v>
      </c>
      <c r="AD531" s="239">
        <f t="shared" si="1188"/>
        <v>1.9530000000000001</v>
      </c>
      <c r="AE531" s="237">
        <f t="shared" si="1188"/>
        <v>6.3789999999999996</v>
      </c>
      <c r="AF531" s="239">
        <f t="shared" si="1188"/>
        <v>1.506</v>
      </c>
      <c r="AG531" s="239">
        <f t="shared" si="1188"/>
        <v>2.9079999999999999</v>
      </c>
      <c r="AH531" s="239">
        <f t="shared" si="1188"/>
        <v>3.29</v>
      </c>
      <c r="AI531" s="239">
        <f t="shared" si="1188"/>
        <v>1.7649999999999999</v>
      </c>
      <c r="AJ531" s="237">
        <f t="shared" si="1188"/>
        <v>6.7830000000000004</v>
      </c>
      <c r="AK531" s="239">
        <f t="shared" si="1188"/>
        <v>-2E-3</v>
      </c>
      <c r="AL531" s="239">
        <f t="shared" si="1188"/>
        <v>2.5000000000000001E-2</v>
      </c>
      <c r="AM531" s="239">
        <f t="shared" si="1188"/>
        <v>-6.0000000000000001E-3</v>
      </c>
      <c r="AN531" s="239">
        <f t="shared" si="1188"/>
        <v>2.48</v>
      </c>
      <c r="AO531" s="237">
        <f t="shared" si="1188"/>
        <v>2.4969999999999999</v>
      </c>
      <c r="AP531" s="239">
        <f t="shared" si="1188"/>
        <v>1.518</v>
      </c>
      <c r="AQ531" s="239">
        <f t="shared" si="1188"/>
        <v>2.5659999999999998</v>
      </c>
      <c r="AR531" s="239">
        <f t="shared" si="1188"/>
        <v>2.9350000000000001</v>
      </c>
      <c r="AS531" s="239">
        <f t="shared" si="1188"/>
        <v>1.58</v>
      </c>
      <c r="AT531" s="237">
        <f t="shared" si="1188"/>
        <v>8.5990000000000002</v>
      </c>
      <c r="AU531" s="239">
        <f t="shared" si="1188"/>
        <v>2.694</v>
      </c>
      <c r="AV531" s="239">
        <f t="shared" si="1188"/>
        <v>4.7060000000000004</v>
      </c>
      <c r="AW531" s="239">
        <f t="shared" si="1188"/>
        <v>1.794</v>
      </c>
      <c r="AX531" s="239">
        <f t="shared" si="1188"/>
        <v>1.5039999999999996</v>
      </c>
      <c r="AY531" s="237">
        <f t="shared" si="1188"/>
        <v>10.698</v>
      </c>
      <c r="AZ531" s="239">
        <f t="shared" si="1188"/>
        <v>1.4610000000000001</v>
      </c>
      <c r="BA531" s="239">
        <f t="shared" si="1188"/>
        <v>1.1299999999999999</v>
      </c>
      <c r="BB531" s="239">
        <f t="shared" si="1188"/>
        <v>1.3149999999999999</v>
      </c>
      <c r="BC531" s="239">
        <f t="shared" si="1188"/>
        <v>2.137</v>
      </c>
      <c r="BD531" s="237">
        <f t="shared" si="1188"/>
        <v>6.0430000000000001</v>
      </c>
      <c r="BE531" s="239">
        <f t="shared" si="1188"/>
        <v>1.88</v>
      </c>
      <c r="BF531" s="239">
        <f t="shared" si="1188"/>
        <v>2.1619999999999999</v>
      </c>
      <c r="BG531" s="239">
        <f t="shared" si="1188"/>
        <v>2.0270000000000001</v>
      </c>
      <c r="BH531" s="239">
        <f t="shared" si="1188"/>
        <v>2.4829999999999997</v>
      </c>
      <c r="BI531" s="259">
        <f t="shared" si="1188"/>
        <v>8.5519999999999996</v>
      </c>
      <c r="BJ531" s="239">
        <f t="shared" ref="BJ531:BM531" si="1189">IFERROR(BJ527-BJ529,"n/a")</f>
        <v>2.2798725000000002</v>
      </c>
      <c r="BK531" s="239">
        <f t="shared" ca="1" si="1189"/>
        <v>2.2697736628393961</v>
      </c>
      <c r="BL531" s="239">
        <f t="shared" ca="1" si="1189"/>
        <v>2.2530346506952283</v>
      </c>
      <c r="BM531" s="239">
        <f t="shared" ca="1" si="1189"/>
        <v>2.2636860367678047</v>
      </c>
      <c r="BN531" s="237">
        <f ca="1">SUM(BJ531,BK531,BL531,BM531)</f>
        <v>9.0663668503024297</v>
      </c>
      <c r="BO531" s="239">
        <f t="shared" ref="BO531:BR531" ca="1" si="1190">IFERROR(BO527-BO529,"n/a")</f>
        <v>2.2063045411423072</v>
      </c>
      <c r="BP531" s="239">
        <f t="shared" ca="1" si="1190"/>
        <v>2.1919958226862373</v>
      </c>
      <c r="BQ531" s="239">
        <f t="shared" ca="1" si="1190"/>
        <v>2.1735567857858307</v>
      </c>
      <c r="BR531" s="239">
        <f t="shared" ca="1" si="1190"/>
        <v>2.1790989730144594</v>
      </c>
      <c r="BS531" s="237">
        <f ca="1">SUM(BO531,BP531,BQ531,BR531)</f>
        <v>8.7509561226288355</v>
      </c>
      <c r="BT531" s="237">
        <f t="shared" ref="BT531:BV531" ca="1" si="1191">IFERROR(BT527-BT529,"n/a")</f>
        <v>8.4512536997245959</v>
      </c>
      <c r="BU531" s="237">
        <f t="shared" ca="1" si="1191"/>
        <v>7.9024440170199277</v>
      </c>
      <c r="BV531" s="237">
        <f t="shared" ca="1" si="1191"/>
        <v>7.2415023083410253</v>
      </c>
      <c r="BW531" s="4"/>
    </row>
    <row r="532" spans="1:75" ht="15.75" customHeight="1" x14ac:dyDescent="0.2">
      <c r="A532" s="110" t="s">
        <v>812</v>
      </c>
      <c r="B532" s="108"/>
      <c r="C532" s="68"/>
      <c r="D532" s="68">
        <f t="shared" ref="D532:F532" si="1192">IFERROR(IF(D531/AVERAGE(C523,D523)&lt;0,"n/a",D531/AVERAGE(C523,D523)),"n/a")</f>
        <v>0.34244000000000002</v>
      </c>
      <c r="E532" s="68" t="str">
        <f t="shared" si="1192"/>
        <v>n/a</v>
      </c>
      <c r="F532" s="68" t="str">
        <f t="shared" si="1192"/>
        <v>n/a</v>
      </c>
      <c r="G532" s="69" t="str">
        <f>IFERROR(IF(G531/AVERAGE(F523,G523)&lt;0,"n/a",G531/AVERAGE(F523,G523)*K3/G3),"n/a")</f>
        <v>n/a</v>
      </c>
      <c r="H532" s="69" t="str">
        <f>IFERROR(IF(H531/AVERAGE(G523,H523)&lt;0,"n/a",H531/AVERAGE(G523,H523)*K3/H3),"n/a")</f>
        <v>n/a</v>
      </c>
      <c r="I532" s="69" t="str">
        <f>IFERROR(IF(I531/AVERAGE(H523,I523)&lt;0,"n/a",I531/AVERAGE(H523,I523)*K3/I3),"n/a")</f>
        <v>n/a</v>
      </c>
      <c r="J532" s="69" t="str">
        <f>IFERROR(IF(J531/AVERAGE(I523,J523)&lt;0,"n/a",J531/AVERAGE(I523,J523)*K3/J3),"n/a")</f>
        <v>n/a</v>
      </c>
      <c r="K532" s="68" t="str">
        <f>IFERROR(IF(K531/AVERAGE(G523,H523,I523,J523)&lt;0,"n/a",K531/AVERAGE(G523,H523,I523,J523)),"n/a")</f>
        <v>n/a</v>
      </c>
      <c r="L532" s="69">
        <f>IFERROR(IF(L531/AVERAGE(K523,L523)&lt;0,"n/a",L531/AVERAGE(K523,L523)*P3/L3),"n/a")</f>
        <v>0.44512000000000002</v>
      </c>
      <c r="M532" s="69">
        <f>IFERROR(IF(M531/AVERAGE(L523,M523)&lt;0,"n/a",M531/AVERAGE(L523,M523)*P3/M3),"n/a")</f>
        <v>0.24704000000000001</v>
      </c>
      <c r="N532" s="69">
        <f>IFERROR(IF(N531/AVERAGE(M523,N523)&lt;0,"n/a",N531/AVERAGE(M523,N523)*P3/N3),"n/a")</f>
        <v>0.22095999999999999</v>
      </c>
      <c r="O532" s="69">
        <f>IFERROR(IF(O531/AVERAGE(N523,O523)&lt;0,"n/a",O531/AVERAGE(N523,O523)*P3/O3),"n/a")</f>
        <v>0.59872000000000003</v>
      </c>
      <c r="P532" s="68">
        <f>IFERROR(IF(P531/AVERAGE(L523,M523,N523,O523)&lt;0,"n/a",P531/AVERAGE(L523,M523,N523,O523)),"n/a")</f>
        <v>0.32997333333333334</v>
      </c>
      <c r="Q532" s="69">
        <f>IFERROR(IF(Q531/AVERAGE(P523,Q523)&lt;0,"n/a",Q531/AVERAGE(P523,Q523)*U3/Q3),"n/a")</f>
        <v>0.60640000000000005</v>
      </c>
      <c r="R532" s="69">
        <f>IFERROR(IF(R531/AVERAGE(Q523,R523)&lt;0,"n/a",R531/AVERAGE(Q523,R523)*U3/R3),"n/a")</f>
        <v>0.22911999999999996</v>
      </c>
      <c r="S532" s="69">
        <f>IFERROR(IF(S531/AVERAGE(R523,S523)&lt;0,"n/a",S531/AVERAGE(R523,S523)*U3/S3),"n/a")</f>
        <v>0.23103999999999997</v>
      </c>
      <c r="T532" s="69" t="str">
        <f>IFERROR(IF(T531/AVERAGE(S523,T523)&lt;0,"n/a",T531/AVERAGE(S523,T523)*U3/T3),"n/a")</f>
        <v>n/a</v>
      </c>
      <c r="U532" s="68">
        <f>IFERROR(IF(U531/AVERAGE(Q523,R523,S523,T523)&lt;0,"n/a",U531/AVERAGE(Q523,R523,S523,T523)),"n/a")</f>
        <v>0.47151999999999999</v>
      </c>
      <c r="V532" s="69" t="str">
        <f>IFERROR(IF(V531/AVERAGE(U523,V523)&lt;0,"n/a",V531/AVERAGE(U523,V523)*Z3/V3),"n/a")</f>
        <v>n/a</v>
      </c>
      <c r="W532" s="69" t="str">
        <f>IFERROR(IF(W531/AVERAGE(V523,W523)&lt;0,"n/a",W531/AVERAGE(V523,W523)*Z3/W3),"n/a")</f>
        <v>n/a</v>
      </c>
      <c r="X532" s="69" t="str">
        <f>IFERROR(IF(X531/AVERAGE(W523,X523)&lt;0,"n/a",X531/AVERAGE(W523,X523)*Z3/X3),"n/a")</f>
        <v>n/a</v>
      </c>
      <c r="Y532" s="69" t="str">
        <f>IFERROR(IF(Y531/AVERAGE(X523,Y523)&lt;0,"n/a",Y531/AVERAGE(X523,Y523)*Z3/Y3),"n/a")</f>
        <v>n/a</v>
      </c>
      <c r="Z532" s="68" t="str">
        <f>IFERROR(IF(Z531/AVERAGE(V523,W523,X523,Y523)&lt;0,"n/a",Z531/AVERAGE(V523,W523,X523,Y523)),"n/a")</f>
        <v>n/a</v>
      </c>
      <c r="AA532" s="69" t="str">
        <f>IFERROR(IF(AA531/AVERAGE(Z523,AA523)&lt;0,"n/a",AA531/AVERAGE(Z523,AA523)*AE3/AA3),"n/a")</f>
        <v>n/a</v>
      </c>
      <c r="AB532" s="69" t="str">
        <f>IFERROR(IF(AB531/AVERAGE(AA523,AB523)&lt;0,"n/a",AB531/AVERAGE(AA523,AB523)*AE3/AB3),"n/a")</f>
        <v>n/a</v>
      </c>
      <c r="AC532" s="69">
        <f>IFERROR(IF(AC531/AVERAGE(AB523,AC523)&lt;0,"n/a",AC531/AVERAGE(AB523,AC523)*AE3/AC3),"n/a")</f>
        <v>0.42666666666666669</v>
      </c>
      <c r="AD532" s="69">
        <f>IFERROR(IF(AD531/AVERAGE(AC523,AD523)&lt;0,"n/a",AD531/AVERAGE(AC523,AD523)*AE3/AD3),"n/a")</f>
        <v>0.3906</v>
      </c>
      <c r="AE532" s="68">
        <f>IFERROR(IF(AE531/AVERAGE(AA523,AB523,AC523,AD523)&lt;0,"n/a",AE531/AVERAGE(AA523,AB523,AC523,AD523)),"n/a")</f>
        <v>0.63789999999999991</v>
      </c>
      <c r="AF532" s="69">
        <f>IFERROR(IF(AF531/AVERAGE(AE523,AF523)&lt;0,"n/a",AF531/AVERAGE(AE523,AF523)*AJ3/AF3),"n/a")</f>
        <v>0.30120000000000002</v>
      </c>
      <c r="AG532" s="69">
        <f>IFERROR(IF(AG531/AVERAGE(AF523,AG523)&lt;0,"n/a",AG531/AVERAGE(AF523,AG523)*AJ3/AG3),"n/a")</f>
        <v>0.46527999999999997</v>
      </c>
      <c r="AH532" s="69">
        <f>IFERROR(IF(AH531/AVERAGE(AG523,AH523)&lt;0,"n/a",AH531/AVERAGE(AG523,AH523)*AJ3/AH3),"n/a")</f>
        <v>0.65800000000000003</v>
      </c>
      <c r="AI532" s="69">
        <f>IFERROR(IF(AI531/AVERAGE(AH523,AI523)&lt;0,"n/a",AI531/AVERAGE(AH523,AI523)*AJ3/AI3),"n/a")</f>
        <v>0.47066666666666668</v>
      </c>
      <c r="AJ532" s="68">
        <f>IFERROR(IF(AJ531/AVERAGE(AF523,AG523,AH523,AI523)&lt;0,"n/a",AJ531/AVERAGE(AF523,AG523,AH523,AI523)),"n/a")</f>
        <v>0.33915000000000001</v>
      </c>
      <c r="AK532" s="69" t="str">
        <f>IFERROR(IF(AK531/AVERAGE(AJ523,AK523)&lt;0,"n/a",AK531/AVERAGE(AJ523,AK523)*AO3/AK3),"n/a")</f>
        <v>n/a</v>
      </c>
      <c r="AL532" s="69">
        <f>IFERROR(IF(AL531/AVERAGE(AK523,AL523)&lt;0,"n/a",AL531/AVERAGE(AK523,AL523)*AO3/AL3),"n/a")</f>
        <v>3.6363636363636368E-3</v>
      </c>
      <c r="AM532" s="69" t="str">
        <f>IFERROR(IF(AM531/AVERAGE(AL523,AM523)&lt;0,"n/a",AM531/AVERAGE(AL523,AM523)*AO3/AM3),"n/a")</f>
        <v>n/a</v>
      </c>
      <c r="AN532" s="69">
        <f>IFERROR(IF(AN531/AVERAGE(AM523,AN523)&lt;0,"n/a",AN531/AVERAGE(AM523,AN523)*AO3/AN3),"n/a")</f>
        <v>3.1744000000000001E-2</v>
      </c>
      <c r="AO532" s="68">
        <f>IFERROR(IF(AO531/AVERAGE(AK523,AL523,AM523,AN523)&lt;0,"n/a",AO531/AVERAGE(AK523,AL523,AM523,AN523)),"n/a")</f>
        <v>1.4688235294117646E-2</v>
      </c>
      <c r="AP532" s="69">
        <f>IFERROR(IF(AP531/AVERAGE(AO523,AP523)&lt;0,"n/a",AP531/AVERAGE(AO523,AP523)*AT3/AP3),"n/a")</f>
        <v>1.8125373134328358E-2</v>
      </c>
      <c r="AQ532" s="69">
        <f>IFERROR(IF(AQ531/AVERAGE(AP523,AQ523)&lt;0,"n/a",AQ531/AVERAGE(AP523,AQ523)*AT3/AQ3),"n/a")</f>
        <v>2.7153439153439152E-2</v>
      </c>
      <c r="AR532" s="69">
        <f>IFERROR(IF(AR531/AVERAGE(AQ523,AR523)&lt;0,"n/a",AR531/AVERAGE(AQ523,AR523)*AT3/AR3),"n/a")</f>
        <v>3.1223404255319151E-2</v>
      </c>
      <c r="AS532" s="69">
        <f>IFERROR(IF(AS531/AVERAGE(AR523,AS523)&lt;0,"n/a",AS531/AVERAGE(AR523,AS523)*AT3/AS3),"n/a")</f>
        <v>1.9268292682926829E-2</v>
      </c>
      <c r="AT532" s="68">
        <f>IFERROR(IF(AT531/AVERAGE(AP523,AQ523,AR523,AS523)&lt;0,"n/a",AT531/AVERAGE(AP523,AQ523,AR523,AS523)),"n/a")</f>
        <v>2.4359773371104815E-2</v>
      </c>
      <c r="AU532" s="69">
        <f>IFERROR(IF(AU531/AVERAGE(AT523,AU523)&lt;0,"n/a",AU531/AVERAGE(AT523,AU523)*AY3/AU3),"n/a")</f>
        <v>3.8485714285714283E-2</v>
      </c>
      <c r="AV532" s="69">
        <f>IFERROR(IF(AV531/AVERAGE(AU523,AV523)&lt;0,"n/a",AV531/AVERAGE(AU523,AV523)*AY3/AV3),"n/a")</f>
        <v>5.0533549885236444E-2</v>
      </c>
      <c r="AW532" s="69">
        <f>IFERROR(IF(AW531/AVERAGE(AV523,AW523)&lt;0,"n/a",AW531/AVERAGE(AV523,AW523)*AY3/AW3),"n/a")</f>
        <v>1.5423567796209448E-2</v>
      </c>
      <c r="AX532" s="69">
        <f>IFERROR(IF(AX531/AVERAGE(AW523,AX523)&lt;0,"n/a",AX531/AVERAGE(AW523,AX523)*AY3/AX3),"n/a")</f>
        <v>1.2916371006439931E-2</v>
      </c>
      <c r="AY532" s="68">
        <f>IFERROR(IF(AY531/AVERAGE(AU523,AV523,AW523,AX523)&lt;0,"n/a",AY531/AVERAGE(AU523,AV523,AW523,AX523)),"n/a")</f>
        <v>2.5523980624392723E-2</v>
      </c>
      <c r="AZ532" s="69">
        <f>IFERROR(IF(AZ531/AVERAGE(AY523,AZ523)&lt;0,"n/a",AZ531/AVERAGE(AY523,AZ523)*BD3/AZ3),"n/a")</f>
        <v>1.2774567074767172E-2</v>
      </c>
      <c r="BA532" s="69">
        <f>IFERROR(IF(BA531/AVERAGE(AZ523,BA523)&lt;0,"n/a",BA531/AVERAGE(AZ523,BA523)*BD3/BA3),"n/a")</f>
        <v>9.8697291336968408E-3</v>
      </c>
      <c r="BB532" s="69">
        <f>IFERROR(IF(BB531/AVERAGE(BA523,BB523)&lt;0,"n/a",BB531/AVERAGE(BA523,BB523)*BD3/BB3),"n/a")</f>
        <v>1.1473193807422044E-2</v>
      </c>
      <c r="BC532" s="69">
        <f>IFERROR(IF(BC531/AVERAGE(BB523,BC523)&lt;0,"n/a",BC531/AVERAGE(BB523,BC523)*BD3/BC3),"n/a")</f>
        <v>1.7294607355105882E-2</v>
      </c>
      <c r="BD532" s="68">
        <f>IFERROR(IF(BD531/AVERAGE(AZ523,BA523,BB523,BC523)&lt;0,"n/a",BD531/AVERAGE(AZ523,BA523,BB523,BC523)),"n/a")</f>
        <v>1.29323858571959E-2</v>
      </c>
      <c r="BE532" s="69">
        <f>IFERROR(IF(BE531/AVERAGE(BD523,BE523)&lt;0,"n/a",BE531/AVERAGE(BD523,BE523)*BI3/BE3),"n/a")</f>
        <v>1.6237060321419385E-2</v>
      </c>
      <c r="BF532" s="69">
        <f>IFERROR(IF(BF531/AVERAGE(BE523,BF523)&lt;0,"n/a",BF531/AVERAGE(BE523,BF523)*BI3/BF3),"n/a")</f>
        <v>1.8247054105480512E-2</v>
      </c>
      <c r="BG532" s="69">
        <f>IFERROR(IF(BG531/AVERAGE(BF523,BG523)&lt;0,"n/a",BG531/AVERAGE(BF523,BG523)*BI3/BG3),"n/a")</f>
        <v>1.727710815133025E-2</v>
      </c>
      <c r="BH532" s="69">
        <f>IFERROR(IF(BH531/AVERAGE(BG523,BH523)&lt;0,"n/a",BH531/AVERAGE(BG523,BH523)*BI3/BH3),"n/a")</f>
        <v>2.114113602741621E-2</v>
      </c>
      <c r="BI532" s="70">
        <f>IFERROR(IF(BI531/AVERAGE(BE523,BF523,BG523,BH523)&lt;0,"n/a",BI531/AVERAGE(BE523,BF523,BG523,BH523)),"n/a")</f>
        <v>1.8223215208457853E-2</v>
      </c>
      <c r="BJ532" s="69">
        <f>IFERROR(IF(BJ531/AVERAGE(BI523,BJ523)&lt;0,"n/a",BJ531/AVERAGE(BI523,BJ523)*BN3/BJ3),"n/a")</f>
        <v>1.9401230089756982E-2</v>
      </c>
      <c r="BK532" s="69">
        <f ca="1">IFERROR(IF(BK531/AVERAGE(BJ523,BK523)&lt;0,"n/a",BK531/AVERAGE(BJ523,BK523)*BN3/BK3),"n/a")</f>
        <v>1.9315291133349611E-2</v>
      </c>
      <c r="BL532" s="69">
        <f ca="1">IFERROR(IF(BL531/AVERAGE(BK523,BL523)&lt;0,"n/a",BL531/AVERAGE(BK523,BL523)*BN3/BL3),"n/a")</f>
        <v>1.9172845700070232E-2</v>
      </c>
      <c r="BM532" s="69">
        <f ca="1">IFERROR(IF(BM531/AVERAGE(BL523,BM523)&lt;0,"n/a",BM531/AVERAGE(BL523,BM523)*BN3/BM3),"n/a")</f>
        <v>1.9263486730201913E-2</v>
      </c>
      <c r="BN532" s="68">
        <f ca="1">IFERROR(IF(BN531/AVERAGE(BJ523,BK523,BL523,BM523)&lt;0,"n/a",BN531/AVERAGE(BJ523,BK523,BL523,BM523)),"n/a")</f>
        <v>1.9288213413344687E-2</v>
      </c>
      <c r="BO532" s="69">
        <f ca="1">IFERROR(IF(BO531/AVERAGE(BN523,BO523)&lt;0,"n/a",BO531/AVERAGE(BN523,BO523)*BS3/BO3),"n/a")</f>
        <v>1.8775182406374741E-2</v>
      </c>
      <c r="BP532" s="69">
        <f ca="1">IFERROR(IF(BP531/AVERAGE(BO523,BP523)&lt;0,"n/a",BP531/AVERAGE(BO523,BP523)*BS3/BP3),"n/a")</f>
        <v>1.8653418255504126E-2</v>
      </c>
      <c r="BQ532" s="69">
        <f ca="1">IFERROR(IF(BQ531/AVERAGE(BP523,BQ523)&lt;0,"n/a",BQ531/AVERAGE(BP523,BQ523)*BS3/BQ3),"n/a")</f>
        <v>1.8496505973111886E-2</v>
      </c>
      <c r="BR532" s="69">
        <f ca="1">IFERROR(IF(BR531/AVERAGE(BQ523,BR523)&lt;0,"n/a",BR531/AVERAGE(BQ523,BR523)*BS3/BR3),"n/a")</f>
        <v>1.8543668807710374E-2</v>
      </c>
      <c r="BS532" s="68">
        <f ca="1">IFERROR(IF(BS531/AVERAGE(BO523,BP523,BQ523,BR523)&lt;0,"n/a",BS531/AVERAGE(BO523,BP523,BQ523,BR523)),"n/a")</f>
        <v>1.8617193860675285E-2</v>
      </c>
      <c r="BT532" s="68">
        <f t="shared" ref="BT532:BV532" ca="1" si="1193">IFERROR(IF(BT531/AVERAGE(BS523,BT523)&lt;0,"n/a",BT531/AVERAGE(BS523,BT523)),"n/a")</f>
        <v>1.7979592891188743E-2</v>
      </c>
      <c r="BU532" s="68">
        <f t="shared" ca="1" si="1193"/>
        <v>1.6812029471563326E-2</v>
      </c>
      <c r="BV532" s="68">
        <f t="shared" ca="1" si="1193"/>
        <v>1.5405911128761645E-2</v>
      </c>
      <c r="BW532" s="4"/>
    </row>
    <row r="533" spans="1:75" ht="15.75" customHeight="1" x14ac:dyDescent="0.2">
      <c r="A533" s="110"/>
      <c r="B533" s="108"/>
      <c r="C533" s="68"/>
      <c r="D533" s="68"/>
      <c r="E533" s="68"/>
      <c r="F533" s="68"/>
      <c r="G533" s="69"/>
      <c r="H533" s="69"/>
      <c r="I533" s="69"/>
      <c r="J533" s="69"/>
      <c r="K533" s="68"/>
      <c r="L533" s="69"/>
      <c r="M533" s="69"/>
      <c r="N533" s="69"/>
      <c r="O533" s="69"/>
      <c r="P533" s="68"/>
      <c r="Q533" s="69"/>
      <c r="R533" s="69"/>
      <c r="S533" s="69"/>
      <c r="T533" s="69"/>
      <c r="U533" s="68"/>
      <c r="V533" s="69"/>
      <c r="W533" s="69"/>
      <c r="X533" s="69"/>
      <c r="Y533" s="69"/>
      <c r="Z533" s="68"/>
      <c r="AA533" s="69"/>
      <c r="AB533" s="69"/>
      <c r="AC533" s="69"/>
      <c r="AD533" s="69"/>
      <c r="AE533" s="68"/>
      <c r="AF533" s="69"/>
      <c r="AG533" s="69"/>
      <c r="AH533" s="69"/>
      <c r="AI533" s="69"/>
      <c r="AJ533" s="68"/>
      <c r="AK533" s="69"/>
      <c r="AL533" s="69"/>
      <c r="AM533" s="69"/>
      <c r="AN533" s="69"/>
      <c r="AO533" s="68"/>
      <c r="AP533" s="69"/>
      <c r="AQ533" s="69"/>
      <c r="AR533" s="69"/>
      <c r="AS533" s="69"/>
      <c r="AT533" s="68"/>
      <c r="AU533" s="69"/>
      <c r="AV533" s="69"/>
      <c r="AW533" s="69"/>
      <c r="AX533" s="69"/>
      <c r="AY533" s="68"/>
      <c r="AZ533" s="69"/>
      <c r="BA533" s="69"/>
      <c r="BB533" s="69"/>
      <c r="BC533" s="69"/>
      <c r="BD533" s="68"/>
      <c r="BE533" s="69"/>
      <c r="BF533" s="69"/>
      <c r="BG533" s="69"/>
      <c r="BH533" s="69"/>
      <c r="BI533" s="70"/>
      <c r="BJ533" s="69"/>
      <c r="BK533" s="69"/>
      <c r="BL533" s="69"/>
      <c r="BM533" s="69"/>
      <c r="BN533" s="68"/>
      <c r="BO533" s="69"/>
      <c r="BP533" s="69"/>
      <c r="BQ533" s="69"/>
      <c r="BR533" s="69"/>
      <c r="BS533" s="68"/>
      <c r="BT533" s="68"/>
      <c r="BU533" s="68"/>
      <c r="BV533" s="68"/>
      <c r="BW533" s="4"/>
    </row>
    <row r="534" spans="1:75" ht="15.75" customHeight="1" x14ac:dyDescent="0.2">
      <c r="A534" s="110" t="s">
        <v>813</v>
      </c>
      <c r="B534" s="108"/>
      <c r="C534" s="440">
        <f t="shared" ref="C534:BV534" si="1194">IFERROR(IF(OR(C395&lt;0,C531&lt;0),"n/a",C395/C531),"n/a")</f>
        <v>8.627130745203031</v>
      </c>
      <c r="D534" s="440">
        <f t="shared" si="1194"/>
        <v>12.639703305688576</v>
      </c>
      <c r="E534" s="440">
        <f t="shared" si="1194"/>
        <v>52.641745994892034</v>
      </c>
      <c r="F534" s="440">
        <f t="shared" si="1194"/>
        <v>52.020105820105854</v>
      </c>
      <c r="G534" s="441">
        <f t="shared" si="1194"/>
        <v>46.854961832061029</v>
      </c>
      <c r="H534" s="441">
        <f t="shared" si="1194"/>
        <v>53.344610542879629</v>
      </c>
      <c r="I534" s="441">
        <f t="shared" si="1194"/>
        <v>92.240715268225586</v>
      </c>
      <c r="J534" s="441">
        <f t="shared" si="1194"/>
        <v>58.321070234113748</v>
      </c>
      <c r="K534" s="440">
        <f t="shared" si="1194"/>
        <v>59.056838365897029</v>
      </c>
      <c r="L534" s="441">
        <f t="shared" si="1194"/>
        <v>42.834651329978428</v>
      </c>
      <c r="M534" s="441">
        <f t="shared" si="1194"/>
        <v>45.493523316062188</v>
      </c>
      <c r="N534" s="441">
        <f t="shared" si="1194"/>
        <v>45.710354815351124</v>
      </c>
      <c r="O534" s="441">
        <f t="shared" si="1194"/>
        <v>35.533939070016025</v>
      </c>
      <c r="P534" s="440">
        <f t="shared" si="1194"/>
        <v>41.932277355745939</v>
      </c>
      <c r="Q534" s="441">
        <f t="shared" si="1194"/>
        <v>36.101846965699174</v>
      </c>
      <c r="R534" s="441">
        <f t="shared" si="1194"/>
        <v>55.806564245810002</v>
      </c>
      <c r="S534" s="441">
        <f t="shared" si="1194"/>
        <v>99.930747922437604</v>
      </c>
      <c r="T534" s="441">
        <f t="shared" si="1194"/>
        <v>39.725203252032514</v>
      </c>
      <c r="U534" s="440">
        <f t="shared" si="1194"/>
        <v>49.842382083474675</v>
      </c>
      <c r="V534" s="441">
        <f t="shared" si="1194"/>
        <v>33.660156250000028</v>
      </c>
      <c r="W534" s="441">
        <f t="shared" si="1194"/>
        <v>39.00596056854652</v>
      </c>
      <c r="X534" s="441">
        <f t="shared" si="1194"/>
        <v>31.712555510698436</v>
      </c>
      <c r="Y534" s="441">
        <f t="shared" si="1194"/>
        <v>36.669023420238581</v>
      </c>
      <c r="Z534" s="440">
        <f t="shared" si="1194"/>
        <v>35.139186991869913</v>
      </c>
      <c r="AA534" s="441">
        <f t="shared" si="1194"/>
        <v>58.224522292993697</v>
      </c>
      <c r="AB534" s="441">
        <f t="shared" si="1194"/>
        <v>51.236942675159227</v>
      </c>
      <c r="AC534" s="441">
        <f t="shared" si="1194"/>
        <v>41.22812500000007</v>
      </c>
      <c r="AD534" s="441">
        <f t="shared" si="1194"/>
        <v>33.853046594982104</v>
      </c>
      <c r="AE534" s="440">
        <f t="shared" si="1194"/>
        <v>44.780059570465582</v>
      </c>
      <c r="AF534" s="441">
        <f t="shared" si="1194"/>
        <v>41.610225763612277</v>
      </c>
      <c r="AG534" s="441">
        <f t="shared" si="1194"/>
        <v>23.165061898211846</v>
      </c>
      <c r="AH534" s="441">
        <f t="shared" si="1194"/>
        <v>20.009118541033413</v>
      </c>
      <c r="AI534" s="441">
        <f t="shared" si="1194"/>
        <v>38.441926345608969</v>
      </c>
      <c r="AJ534" s="440">
        <f t="shared" si="1194"/>
        <v>38.878077546808143</v>
      </c>
      <c r="AK534" s="441" t="str">
        <f t="shared" si="1194"/>
        <v>n/a</v>
      </c>
      <c r="AL534" s="441">
        <f t="shared" si="1194"/>
        <v>2742.9599999999996</v>
      </c>
      <c r="AM534" s="441" t="str">
        <f t="shared" si="1194"/>
        <v>n/a</v>
      </c>
      <c r="AN534" s="441">
        <f t="shared" si="1194"/>
        <v>25.021370967742008</v>
      </c>
      <c r="AO534" s="440">
        <f t="shared" si="1194"/>
        <v>99.640768922707267</v>
      </c>
      <c r="AP534" s="441">
        <f t="shared" si="1194"/>
        <v>20.287220026350447</v>
      </c>
      <c r="AQ534" s="441" t="str">
        <f t="shared" si="1194"/>
        <v>n/a</v>
      </c>
      <c r="AR534" s="441">
        <f t="shared" si="1194"/>
        <v>2.3795570698466957</v>
      </c>
      <c r="AS534" s="441">
        <f t="shared" si="1194"/>
        <v>4.772784810126625</v>
      </c>
      <c r="AT534" s="440" t="str">
        <f t="shared" si="1194"/>
        <v>n/a</v>
      </c>
      <c r="AU534" s="441">
        <f t="shared" si="1194"/>
        <v>15.328136599851542</v>
      </c>
      <c r="AV534" s="441">
        <f t="shared" si="1194"/>
        <v>17.630259243518939</v>
      </c>
      <c r="AW534" s="441">
        <f t="shared" si="1194"/>
        <v>35.22909698996655</v>
      </c>
      <c r="AX534" s="441">
        <f t="shared" si="1194"/>
        <v>39.133643617021086</v>
      </c>
      <c r="AY534" s="440">
        <f t="shared" si="1194"/>
        <v>23.024864460646839</v>
      </c>
      <c r="AZ534" s="441">
        <f t="shared" si="1194"/>
        <v>39.839835728952764</v>
      </c>
      <c r="BA534" s="441">
        <f t="shared" si="1194"/>
        <v>53.663716814159287</v>
      </c>
      <c r="BB534" s="441">
        <f t="shared" si="1194"/>
        <v>23.929277566539991</v>
      </c>
      <c r="BC534" s="441">
        <f t="shared" si="1194"/>
        <v>31.357978474496718</v>
      </c>
      <c r="BD534" s="440">
        <f t="shared" si="1194"/>
        <v>35.963097799106365</v>
      </c>
      <c r="BE534" s="441">
        <f t="shared" si="1194"/>
        <v>36.843617021276657</v>
      </c>
      <c r="BF534" s="441">
        <f t="shared" si="1194"/>
        <v>38.745605920443978</v>
      </c>
      <c r="BG534" s="441">
        <f t="shared" si="1194"/>
        <v>27.969412925505633</v>
      </c>
      <c r="BH534" s="441">
        <f t="shared" si="1194"/>
        <v>33.944422070076577</v>
      </c>
      <c r="BI534" s="442">
        <f t="shared" si="1194"/>
        <v>34.379326473339603</v>
      </c>
      <c r="BJ534" s="441">
        <f t="shared" si="1194"/>
        <v>32.32625894045465</v>
      </c>
      <c r="BK534" s="441">
        <f t="shared" ca="1" si="1194"/>
        <v>42.909645207472039</v>
      </c>
      <c r="BL534" s="441">
        <f t="shared" ca="1" si="1194"/>
        <v>31.019483880591139</v>
      </c>
      <c r="BM534" s="441">
        <f t="shared" ca="1" si="1194"/>
        <v>42.595848462072411</v>
      </c>
      <c r="BN534" s="440">
        <f t="shared" ca="1" si="1194"/>
        <v>37.215186231538169</v>
      </c>
      <c r="BO534" s="441">
        <f t="shared" ca="1" si="1194"/>
        <v>34.633797047575584</v>
      </c>
      <c r="BP534" s="441">
        <f t="shared" ca="1" si="1194"/>
        <v>46.195426690709063</v>
      </c>
      <c r="BQ534" s="441">
        <f t="shared" ca="1" si="1194"/>
        <v>33.310914066897858</v>
      </c>
      <c r="BR534" s="441">
        <f t="shared" ca="1" si="1194"/>
        <v>46.068542510348252</v>
      </c>
      <c r="BS534" s="440">
        <f t="shared" ca="1" si="1194"/>
        <v>40.048648182963994</v>
      </c>
      <c r="BT534" s="440">
        <f t="shared" ca="1" si="1194"/>
        <v>44.443981157066752</v>
      </c>
      <c r="BU534" s="440">
        <f t="shared" ca="1" si="1194"/>
        <v>50.484242213729615</v>
      </c>
      <c r="BV534" s="440">
        <f t="shared" ca="1" si="1194"/>
        <v>59.176445824161377</v>
      </c>
      <c r="BW534" s="4"/>
    </row>
    <row r="535" spans="1:75" ht="15.75" customHeight="1" x14ac:dyDescent="0.2">
      <c r="A535" s="443" t="s">
        <v>814</v>
      </c>
      <c r="B535" s="444"/>
      <c r="C535" s="445">
        <f t="shared" ref="C535:F535" si="1195">IF(C525&lt;0,"n/a",C525/C395)</f>
        <v>0.13595642773645611</v>
      </c>
      <c r="D535" s="445" t="str">
        <f t="shared" si="1195"/>
        <v>n/a</v>
      </c>
      <c r="E535" s="445" t="str">
        <f t="shared" si="1195"/>
        <v>n/a</v>
      </c>
      <c r="F535" s="445" t="str">
        <f t="shared" si="1195"/>
        <v>n/a</v>
      </c>
      <c r="G535" s="441"/>
      <c r="H535" s="441"/>
      <c r="I535" s="441"/>
      <c r="J535" s="441"/>
      <c r="K535" s="445" t="str">
        <f>IF(K525&lt;0,"n/a",K525/K395)</f>
        <v>n/a</v>
      </c>
      <c r="L535" s="441"/>
      <c r="M535" s="441"/>
      <c r="N535" s="441"/>
      <c r="O535" s="441"/>
      <c r="P535" s="445" t="str">
        <f>IF(P525&lt;0,"n/a",P525/P395)</f>
        <v>n/a</v>
      </c>
      <c r="Q535" s="441"/>
      <c r="R535" s="441"/>
      <c r="S535" s="441"/>
      <c r="T535" s="441"/>
      <c r="U535" s="445" t="str">
        <f>IF(U525&lt;0,"n/a",U525/U395)</f>
        <v>n/a</v>
      </c>
      <c r="V535" s="441"/>
      <c r="W535" s="441"/>
      <c r="X535" s="441"/>
      <c r="Y535" s="446"/>
      <c r="Z535" s="440" t="str">
        <f>IF(Z525&lt;0,"n/a",Z525/Z395)</f>
        <v>n/a</v>
      </c>
      <c r="AA535" s="446"/>
      <c r="AB535" s="441"/>
      <c r="AC535" s="441"/>
      <c r="AD535" s="446"/>
      <c r="AE535" s="440">
        <f>IF(AE525&lt;0,"n/a",AE525/AE395)</f>
        <v>1.3975046560150117E-2</v>
      </c>
      <c r="AF535" s="446"/>
      <c r="AG535" s="441"/>
      <c r="AH535" s="441"/>
      <c r="AI535" s="446"/>
      <c r="AJ535" s="440" t="str">
        <f>IF(AJ525&lt;0,"n/a",AJ525/AJ395)</f>
        <v>n/a</v>
      </c>
      <c r="AK535" s="446"/>
      <c r="AL535" s="446"/>
      <c r="AM535" s="446"/>
      <c r="AN535" s="446"/>
      <c r="AO535" s="440">
        <f>IF(AO525&lt;0,"n/a",AO525/AO395)</f>
        <v>6.2279554506979409</v>
      </c>
      <c r="AP535" s="446"/>
      <c r="AQ535" s="446"/>
      <c r="AR535" s="446"/>
      <c r="AS535" s="446"/>
      <c r="AT535" s="440">
        <f>IF(AT525&lt;0,"n/a",AT525/AT395)</f>
        <v>-244.8406538969474</v>
      </c>
      <c r="AU535" s="446"/>
      <c r="AV535" s="446"/>
      <c r="AW535" s="446"/>
      <c r="AX535" s="446"/>
      <c r="AY535" s="440">
        <f>IF(AY525&lt;0,"n/a",AY525/AY395)</f>
        <v>6.6031057161416076</v>
      </c>
      <c r="AZ535" s="446"/>
      <c r="BA535" s="446"/>
      <c r="BB535" s="446"/>
      <c r="BC535" s="446"/>
      <c r="BD535" s="440">
        <f>IF(BD525&lt;0,"n/a",BD525/BD395)</f>
        <v>7.9413367076958554</v>
      </c>
      <c r="BE535" s="446"/>
      <c r="BF535" s="446"/>
      <c r="BG535" s="446"/>
      <c r="BH535" s="446"/>
      <c r="BI535" s="442">
        <f>IF(BI525&lt;0,"n/a",BI525/BI395)</f>
        <v>6.1345013128715777</v>
      </c>
      <c r="BJ535" s="446"/>
      <c r="BK535" s="446"/>
      <c r="BL535" s="446"/>
      <c r="BM535" s="446"/>
      <c r="BN535" s="440">
        <f ca="1">IF(BN525&lt;0,"n/a",BN525/BN395)</f>
        <v>5.1710991749139517</v>
      </c>
      <c r="BO535" s="446"/>
      <c r="BP535" s="446"/>
      <c r="BQ535" s="446"/>
      <c r="BR535" s="446"/>
      <c r="BS535" s="440">
        <f t="shared" ref="BS535:BV535" ca="1" si="1196">IF(BS525&lt;0,"n/a",BS525/BS395)</f>
        <v>4.7650255551409346</v>
      </c>
      <c r="BT535" s="440">
        <f t="shared" ca="1" si="1196"/>
        <v>4.153826492215317</v>
      </c>
      <c r="BU535" s="440">
        <f t="shared" ca="1" si="1196"/>
        <v>3.5794545853248798</v>
      </c>
      <c r="BV535" s="440">
        <f t="shared" ca="1" si="1196"/>
        <v>2.9536670741934028</v>
      </c>
      <c r="BW535" s="443"/>
    </row>
    <row r="536" spans="1:75" ht="15.75" customHeight="1" x14ac:dyDescent="0.2">
      <c r="A536" s="443" t="s">
        <v>815</v>
      </c>
      <c r="B536" s="444"/>
      <c r="C536" s="445">
        <f t="shared" ref="C536:F536" si="1197">IF(C525&lt;0,"n/a",C525/C495)</f>
        <v>0.1321870583916277</v>
      </c>
      <c r="D536" s="445" t="str">
        <f t="shared" si="1197"/>
        <v>n/a</v>
      </c>
      <c r="E536" s="445" t="str">
        <f t="shared" si="1197"/>
        <v>n/a</v>
      </c>
      <c r="F536" s="445" t="str">
        <f t="shared" si="1197"/>
        <v>n/a</v>
      </c>
      <c r="G536" s="441"/>
      <c r="H536" s="441"/>
      <c r="I536" s="441"/>
      <c r="J536" s="441"/>
      <c r="K536" s="445" t="str">
        <f>IF(K525&lt;0,"n/a",K525/K495)</f>
        <v>n/a</v>
      </c>
      <c r="L536" s="441"/>
      <c r="M536" s="441"/>
      <c r="N536" s="441"/>
      <c r="O536" s="441"/>
      <c r="P536" s="445" t="str">
        <f>IF(P525&lt;0,"n/a",P525/P495)</f>
        <v>n/a</v>
      </c>
      <c r="Q536" s="441"/>
      <c r="R536" s="441"/>
      <c r="S536" s="441"/>
      <c r="T536" s="441"/>
      <c r="U536" s="445" t="str">
        <f>IF(U525&lt;0,"n/a",U525/U495)</f>
        <v>n/a</v>
      </c>
      <c r="V536" s="441"/>
      <c r="W536" s="441"/>
      <c r="X536" s="441"/>
      <c r="Y536" s="446"/>
      <c r="Z536" s="440" t="str">
        <f>IF(Z525&lt;0,"n/a",Z525/Z495)</f>
        <v>n/a</v>
      </c>
      <c r="AA536" s="446"/>
      <c r="AB536" s="441"/>
      <c r="AC536" s="441"/>
      <c r="AD536" s="446"/>
      <c r="AE536" s="440">
        <f>IF(AE525&lt;0,"n/a",AE525/AE495)</f>
        <v>1.6717197943014125E-2</v>
      </c>
      <c r="AF536" s="446"/>
      <c r="AG536" s="441"/>
      <c r="AH536" s="441"/>
      <c r="AI536" s="446"/>
      <c r="AJ536" s="440" t="str">
        <f>IF(AJ525&lt;0,"n/a",AJ525/AJ495)</f>
        <v>n/a</v>
      </c>
      <c r="AK536" s="446"/>
      <c r="AL536" s="446"/>
      <c r="AM536" s="446"/>
      <c r="AN536" s="446"/>
      <c r="AO536" s="440">
        <f>IF(AO525&lt;0,"n/a",AO525/AO495)</f>
        <v>7.0832278148298835</v>
      </c>
      <c r="AP536" s="446"/>
      <c r="AQ536" s="446"/>
      <c r="AR536" s="446"/>
      <c r="AS536" s="446"/>
      <c r="AT536" s="440">
        <f>IF(AT525&lt;0,"n/a",AT525/AT495)</f>
        <v>509.8882393397484</v>
      </c>
      <c r="AU536" s="446"/>
      <c r="AV536" s="446"/>
      <c r="AW536" s="446"/>
      <c r="AX536" s="446"/>
      <c r="AY536" s="440">
        <f>IF(AY525&lt;0,"n/a",AY525/AY495)</f>
        <v>7.6358271597983149</v>
      </c>
      <c r="AZ536" s="446"/>
      <c r="BA536" s="446"/>
      <c r="BB536" s="446"/>
      <c r="BC536" s="446"/>
      <c r="BD536" s="440">
        <f>IF(BD525&lt;0,"n/a",BD525/BD495)</f>
        <v>10.658269826957991</v>
      </c>
      <c r="BE536" s="446"/>
      <c r="BF536" s="446"/>
      <c r="BG536" s="446"/>
      <c r="BH536" s="446"/>
      <c r="BI536" s="442">
        <f>IF(BI525&lt;0,"n/a",BI525/BI495)</f>
        <v>8.2582817844240637</v>
      </c>
      <c r="BJ536" s="446"/>
      <c r="BK536" s="446"/>
      <c r="BL536" s="446"/>
      <c r="BM536" s="446"/>
      <c r="BN536" s="440">
        <f ca="1">IF(BN525&lt;0,"n/a",BN525/BN495)</f>
        <v>5.8558493289616544</v>
      </c>
      <c r="BO536" s="446"/>
      <c r="BP536" s="446"/>
      <c r="BQ536" s="446"/>
      <c r="BR536" s="446"/>
      <c r="BS536" s="440">
        <f t="shared" ref="BS536:BV536" ca="1" si="1198">IF(BS525&lt;0,"n/a",BS525/BS495)</f>
        <v>5.3198782085590333</v>
      </c>
      <c r="BT536" s="440">
        <f t="shared" ca="1" si="1198"/>
        <v>4.7800342707260581</v>
      </c>
      <c r="BU536" s="440">
        <f t="shared" ca="1" si="1198"/>
        <v>4.0935288492351338</v>
      </c>
      <c r="BV536" s="440">
        <f t="shared" ca="1" si="1198"/>
        <v>3.3398569201568593</v>
      </c>
      <c r="BW536" s="443"/>
    </row>
    <row r="537" spans="1:75" ht="15.75" customHeight="1" x14ac:dyDescent="0.2">
      <c r="A537" s="447"/>
      <c r="B537" s="447"/>
      <c r="C537" s="448"/>
      <c r="D537" s="448"/>
      <c r="E537" s="448"/>
      <c r="F537" s="448"/>
      <c r="G537" s="9"/>
      <c r="H537" s="9"/>
      <c r="I537" s="9"/>
      <c r="J537" s="9"/>
      <c r="K537" s="448"/>
      <c r="L537" s="9"/>
      <c r="M537" s="9"/>
      <c r="N537" s="9"/>
      <c r="O537" s="9"/>
      <c r="P537" s="448"/>
      <c r="Q537" s="9"/>
      <c r="R537" s="9"/>
      <c r="S537" s="9"/>
      <c r="T537" s="9"/>
      <c r="U537" s="448"/>
      <c r="V537" s="9"/>
      <c r="W537" s="9"/>
      <c r="X537" s="9"/>
      <c r="Y537" s="9"/>
      <c r="Z537" s="448"/>
      <c r="AA537" s="9"/>
      <c r="AB537" s="9"/>
      <c r="AC537" s="9"/>
      <c r="AD537" s="9"/>
      <c r="AE537" s="448"/>
      <c r="AF537" s="9"/>
      <c r="AG537" s="9"/>
      <c r="AH537" s="9"/>
      <c r="AI537" s="9"/>
      <c r="AJ537" s="448"/>
      <c r="AK537" s="9"/>
      <c r="AL537" s="9"/>
      <c r="AM537" s="9"/>
      <c r="AN537" s="9"/>
      <c r="AO537" s="448"/>
      <c r="AP537" s="9"/>
      <c r="AQ537" s="9"/>
      <c r="AR537" s="9"/>
      <c r="AS537" s="9"/>
      <c r="AT537" s="448"/>
      <c r="AU537" s="9"/>
      <c r="AV537" s="9"/>
      <c r="AW537" s="9"/>
      <c r="AX537" s="9"/>
      <c r="AY537" s="448"/>
      <c r="AZ537" s="9"/>
      <c r="BA537" s="9"/>
      <c r="BB537" s="9"/>
      <c r="BC537" s="9"/>
      <c r="BD537" s="448"/>
      <c r="BE537" s="9"/>
      <c r="BF537" s="9"/>
      <c r="BG537" s="9"/>
      <c r="BH537" s="9"/>
      <c r="BI537" s="449"/>
      <c r="BJ537" s="9"/>
      <c r="BK537" s="9"/>
      <c r="BL537" s="9"/>
      <c r="BM537" s="9"/>
      <c r="BN537" s="448"/>
      <c r="BO537" s="9"/>
      <c r="BP537" s="9"/>
      <c r="BQ537" s="9"/>
      <c r="BR537" s="9"/>
      <c r="BS537" s="448"/>
      <c r="BT537" s="448"/>
      <c r="BU537" s="448"/>
      <c r="BV537" s="448"/>
      <c r="BW537" s="29"/>
    </row>
    <row r="538" spans="1:75" ht="15.75" customHeight="1" x14ac:dyDescent="0.2">
      <c r="A538" s="81" t="s">
        <v>816</v>
      </c>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c r="BC538" s="81"/>
      <c r="BD538" s="81"/>
      <c r="BE538" s="81"/>
      <c r="BF538" s="81"/>
      <c r="BG538" s="81"/>
      <c r="BH538" s="81"/>
      <c r="BI538" s="82"/>
      <c r="BJ538" s="81"/>
      <c r="BK538" s="81"/>
      <c r="BL538" s="81"/>
      <c r="BM538" s="81"/>
      <c r="BN538" s="81"/>
      <c r="BO538" s="81"/>
      <c r="BP538" s="81"/>
      <c r="BQ538" s="81"/>
      <c r="BR538" s="81"/>
      <c r="BS538" s="81"/>
      <c r="BT538" s="81"/>
      <c r="BU538" s="81"/>
      <c r="BV538" s="81"/>
      <c r="BW538" s="83"/>
    </row>
    <row r="539" spans="1:75" ht="15.75" customHeight="1" x14ac:dyDescent="0.2">
      <c r="A539" s="450" t="str">
        <f>"Stock Price (Reporting Cur.) - "&amp;MO.ValuationToggle&amp;", "&amp;MO.ReportCurrency</f>
        <v>Stock Price (Reporting Cur.) - EoP, USD</v>
      </c>
      <c r="B539" s="451" t="s">
        <v>817</v>
      </c>
      <c r="C539" s="452">
        <f t="array" ref="C539">IF(MO.ValuationToggle="EoP",INDEX(MO_VA_StockPrice_TradingCurrency,1,COLUMN())/INDEX(MO_VA_FX_EoP,1,COLUMN()),INDEX(MO_VA_StockPrice_TradingCurrency,1,COLUMN())/INDEX(MO_VA_FX_Average,1,COLUMN()))</f>
        <v>22.38</v>
      </c>
      <c r="D539" s="452">
        <f t="array" ref="D539">IF(MO.ValuationToggle="EoP",INDEX(MO_VA_StockPrice_TradingCurrency,1,COLUMN())/INDEX(MO_VA_FX_EoP,1,COLUMN()),INDEX(MO_VA_StockPrice_TradingCurrency,1,COLUMN())/INDEX(MO_VA_FX_Average,1,COLUMN()))</f>
        <v>31.19</v>
      </c>
      <c r="E539" s="452">
        <f t="array" ref="E539">IF(MO.ValuationToggle="EoP",INDEX(MO_VA_StockPrice_TradingCurrency,1,COLUMN())/INDEX(MO_VA_FX_EoP,1,COLUMN()),INDEX(MO_VA_StockPrice_TradingCurrency,1,COLUMN())/INDEX(MO_VA_FX_Average,1,COLUMN()))</f>
        <v>29.35</v>
      </c>
      <c r="F539" s="452">
        <f t="array" ref="F539">IF(MO.ValuationToggle="EoP",INDEX(MO_VA_StockPrice_TradingCurrency,1,COLUMN())/INDEX(MO_VA_FX_EoP,1,COLUMN()),INDEX(MO_VA_StockPrice_TradingCurrency,1,COLUMN())/INDEX(MO_VA_FX_Average,1,COLUMN()))</f>
        <v>32.71</v>
      </c>
      <c r="G539" s="453">
        <f t="array" ref="G539">IF(MO.ValuationToggle="EoP",INDEX(MO_VA_StockPrice_TradingCurrency,1,COLUMN())/INDEX(MO_VA_FX_EoP,1,COLUMN()),INDEX(MO_VA_StockPrice_TradingCurrency,1,COLUMN())/INDEX(MO_VA_FX_Average,1,COLUMN()))</f>
        <v>37.99</v>
      </c>
      <c r="H539" s="453">
        <f t="array" ref="H539">IF(MO.ValuationToggle="EoP",INDEX(MO_VA_StockPrice_TradingCurrency,1,COLUMN())/INDEX(MO_VA_FX_EoP,1,COLUMN()),INDEX(MO_VA_StockPrice_TradingCurrency,1,COLUMN())/INDEX(MO_VA_FX_Average,1,COLUMN()))</f>
        <v>42.33</v>
      </c>
      <c r="I539" s="453">
        <f t="array" ref="I539">IF(MO.ValuationToggle="EoP",INDEX(MO_VA_StockPrice_TradingCurrency,1,COLUMN())/INDEX(MO_VA_FX_EoP,1,COLUMN()),INDEX(MO_VA_StockPrice_TradingCurrency,1,COLUMN())/INDEX(MO_VA_FX_Average,1,COLUMN()))</f>
        <v>43.95</v>
      </c>
      <c r="J539" s="453">
        <f t="array" ref="J539">IF(MO.ValuationToggle="EoP",INDEX(MO_VA_StockPrice_TradingCurrency,1,COLUMN())/INDEX(MO_VA_FX_EoP,1,COLUMN()),INDEX(MO_VA_StockPrice_TradingCurrency,1,COLUMN())/INDEX(MO_VA_FX_Average,1,COLUMN()))</f>
        <v>48.43</v>
      </c>
      <c r="K539" s="452">
        <f t="array" ref="K539">IF(MO.ValuationToggle="EoP",INDEX(MO_VA_StockPrice_TradingCurrency,1,COLUMN())/INDEX(MO_VA_FX_EoP,1,COLUMN()),INDEX(MO_VA_StockPrice_TradingCurrency,1,COLUMN())/INDEX(MO_VA_FX_Average,1,COLUMN()))</f>
        <v>48.43</v>
      </c>
      <c r="L539" s="453">
        <f t="array" ref="L539">IF(MO.ValuationToggle="EoP",INDEX(MO_VA_StockPrice_TradingCurrency,1,COLUMN())/INDEX(MO_VA_FX_EoP,1,COLUMN()),INDEX(MO_VA_StockPrice_TradingCurrency,1,COLUMN())/INDEX(MO_VA_FX_Average,1,COLUMN()))</f>
        <v>47.63</v>
      </c>
      <c r="M539" s="453">
        <f t="array" ref="M539">IF(MO.ValuationToggle="EoP",INDEX(MO_VA_StockPrice_TradingCurrency,1,COLUMN())/INDEX(MO_VA_FX_EoP,1,COLUMN()),INDEX(MO_VA_StockPrice_TradingCurrency,1,COLUMN())/INDEX(MO_VA_FX_Average,1,COLUMN()))</f>
        <v>46.42</v>
      </c>
      <c r="N539" s="453">
        <f t="array" ref="N539">IF(MO.ValuationToggle="EoP",INDEX(MO_VA_StockPrice_TradingCurrency,1,COLUMN())/INDEX(MO_VA_FX_EoP,1,COLUMN()),INDEX(MO_VA_StockPrice_TradingCurrency,1,COLUMN())/INDEX(MO_VA_FX_Average,1,COLUMN()))</f>
        <v>45.96</v>
      </c>
      <c r="O539" s="453">
        <f t="array" ref="O539">IF(MO.ValuationToggle="EoP",INDEX(MO_VA_StockPrice_TradingCurrency,1,COLUMN())/INDEX(MO_VA_FX_EoP,1,COLUMN()),INDEX(MO_VA_StockPrice_TradingCurrency,1,COLUMN())/INDEX(MO_VA_FX_Average,1,COLUMN()))</f>
        <v>50.91</v>
      </c>
      <c r="P539" s="452">
        <f t="array" ref="P539">IF(MO.ValuationToggle="EoP",INDEX(MO_VA_StockPrice_TradingCurrency,1,COLUMN())/INDEX(MO_VA_FX_EoP,1,COLUMN()),INDEX(MO_VA_StockPrice_TradingCurrency,1,COLUMN())/INDEX(MO_VA_FX_Average,1,COLUMN()))</f>
        <v>50.91</v>
      </c>
      <c r="Q539" s="453">
        <f t="array" ref="Q539">IF(MO.ValuationToggle="EoP",INDEX(MO_VA_StockPrice_TradingCurrency,1,COLUMN())/INDEX(MO_VA_FX_EoP,1,COLUMN()),INDEX(MO_VA_StockPrice_TradingCurrency,1,COLUMN())/INDEX(MO_VA_FX_Average,1,COLUMN()))</f>
        <v>49.47</v>
      </c>
      <c r="R539" s="453">
        <f t="array" ref="R539">IF(MO.ValuationToggle="EoP",INDEX(MO_VA_StockPrice_TradingCurrency,1,COLUMN())/INDEX(MO_VA_FX_EoP,1,COLUMN()),INDEX(MO_VA_StockPrice_TradingCurrency,1,COLUMN())/INDEX(MO_VA_FX_Average,1,COLUMN()))</f>
        <v>54.17</v>
      </c>
      <c r="S539" s="453">
        <f t="array" ref="S539">IF(MO.ValuationToggle="EoP",INDEX(MO_VA_StockPrice_TradingCurrency,1,COLUMN())/INDEX(MO_VA_FX_EoP,1,COLUMN()),INDEX(MO_VA_StockPrice_TradingCurrency,1,COLUMN())/INDEX(MO_VA_FX_Average,1,COLUMN()))</f>
        <v>53.44</v>
      </c>
      <c r="T539" s="453">
        <f t="array" ref="T539">IF(MO.ValuationToggle="EoP",INDEX(MO_VA_StockPrice_TradingCurrency,1,COLUMN())/INDEX(MO_VA_FX_EoP,1,COLUMN()),INDEX(MO_VA_StockPrice_TradingCurrency,1,COLUMN())/INDEX(MO_VA_FX_Average,1,COLUMN()))</f>
        <v>46.53</v>
      </c>
      <c r="U539" s="452">
        <f t="array" ref="U539">IF(MO.ValuationToggle="EoP",INDEX(MO_VA_StockPrice_TradingCurrency,1,COLUMN())/INDEX(MO_VA_FX_EoP,1,COLUMN()),INDEX(MO_VA_StockPrice_TradingCurrency,1,COLUMN())/INDEX(MO_VA_FX_Average,1,COLUMN()))</f>
        <v>46.53</v>
      </c>
      <c r="V539" s="453">
        <f t="array" ref="V539">IF(MO.ValuationToggle="EoP",INDEX(MO_VA_StockPrice_TradingCurrency,1,COLUMN())/INDEX(MO_VA_FX_EoP,1,COLUMN()),INDEX(MO_VA_StockPrice_TradingCurrency,1,COLUMN())/INDEX(MO_VA_FX_Average,1,COLUMN()))</f>
        <v>51.72</v>
      </c>
      <c r="W539" s="453">
        <f t="array" ref="W539">IF(MO.ValuationToggle="EoP",INDEX(MO_VA_StockPrice_TradingCurrency,1,COLUMN())/INDEX(MO_VA_FX_EoP,1,COLUMN()),INDEX(MO_VA_StockPrice_TradingCurrency,1,COLUMN())/INDEX(MO_VA_FX_Average,1,COLUMN()))</f>
        <v>47.25</v>
      </c>
      <c r="X539" s="453">
        <f t="array" ref="X539">IF(MO.ValuationToggle="EoP",INDEX(MO_VA_StockPrice_TradingCurrency,1,COLUMN())/INDEX(MO_VA_FX_EoP,1,COLUMN()),INDEX(MO_VA_StockPrice_TradingCurrency,1,COLUMN())/INDEX(MO_VA_FX_Average,1,COLUMN()))</f>
        <v>51.96</v>
      </c>
      <c r="Y539" s="453">
        <f t="array" ref="Y539">IF(MO.ValuationToggle="EoP",INDEX(MO_VA_StockPrice_TradingCurrency,1,COLUMN())/INDEX(MO_VA_FX_EoP,1,COLUMN()),INDEX(MO_VA_StockPrice_TradingCurrency,1,COLUMN())/INDEX(MO_VA_FX_Average,1,COLUMN()))</f>
        <v>59.88</v>
      </c>
      <c r="Z539" s="433">
        <f t="array" ref="Z539">IF(MO.ValuationToggle="EoP",INDEX(MO_VA_StockPrice_TradingCurrency,1,COLUMN())/INDEX(MO_VA_FX_EoP,1,COLUMN()),INDEX(MO_VA_StockPrice_TradingCurrency,1,COLUMN())/INDEX(MO_VA_FX_Average,1,COLUMN()))</f>
        <v>59.88</v>
      </c>
      <c r="AA539" s="453">
        <f t="array" ref="AA539">IF(MO.ValuationToggle="EoP",INDEX(MO_VA_StockPrice_TradingCurrency,1,COLUMN())/INDEX(MO_VA_FX_EoP,1,COLUMN()),INDEX(MO_VA_StockPrice_TradingCurrency,1,COLUMN())/INDEX(MO_VA_FX_Average,1,COLUMN()))</f>
        <v>63.18</v>
      </c>
      <c r="AB539" s="453">
        <f t="array" ref="AB539">IF(MO.ValuationToggle="EoP",INDEX(MO_VA_StockPrice_TradingCurrency,1,COLUMN())/INDEX(MO_VA_FX_EoP,1,COLUMN()),INDEX(MO_VA_StockPrice_TradingCurrency,1,COLUMN())/INDEX(MO_VA_FX_Average,1,COLUMN()))</f>
        <v>50.01</v>
      </c>
      <c r="AC539" s="453">
        <f t="array" ref="AC539">IF(MO.ValuationToggle="EoP",INDEX(MO_VA_StockPrice_TradingCurrency,1,COLUMN())/INDEX(MO_VA_FX_EoP,1,COLUMN()),INDEX(MO_VA_StockPrice_TradingCurrency,1,COLUMN())/INDEX(MO_VA_FX_Average,1,COLUMN()))</f>
        <v>42.32</v>
      </c>
      <c r="AD539" s="453">
        <f t="array" ref="AD539">IF(MO.ValuationToggle="EoP",INDEX(MO_VA_StockPrice_TradingCurrency,1,COLUMN())/INDEX(MO_VA_FX_EoP,1,COLUMN()),INDEX(MO_VA_StockPrice_TradingCurrency,1,COLUMN())/INDEX(MO_VA_FX_Average,1,COLUMN()))</f>
        <v>48.18</v>
      </c>
      <c r="AE539" s="433">
        <f t="array" ref="AE539">IF(MO.ValuationToggle="EoP",INDEX(MO_VA_StockPrice_TradingCurrency,1,COLUMN())/INDEX(MO_VA_FX_EoP,1,COLUMN()),INDEX(MO_VA_StockPrice_TradingCurrency,1,COLUMN())/INDEX(MO_VA_FX_Average,1,COLUMN()))</f>
        <v>48.18</v>
      </c>
      <c r="AF539" s="453">
        <f t="array" ref="AF539">IF(MO.ValuationToggle="EoP",INDEX(MO_VA_StockPrice_TradingCurrency,1,COLUMN())/INDEX(MO_VA_FX_EoP,1,COLUMN()),INDEX(MO_VA_StockPrice_TradingCurrency,1,COLUMN())/INDEX(MO_VA_FX_Average,1,COLUMN()))</f>
        <v>47.47</v>
      </c>
      <c r="AG539" s="453">
        <f t="array" ref="AG539">IF(MO.ValuationToggle="EoP",INDEX(MO_VA_StockPrice_TradingCurrency,1,COLUMN())/INDEX(MO_VA_FX_EoP,1,COLUMN()),INDEX(MO_VA_StockPrice_TradingCurrency,1,COLUMN())/INDEX(MO_VA_FX_Average,1,COLUMN()))</f>
        <v>55.76</v>
      </c>
      <c r="AH539" s="453">
        <f t="array" ref="AH539">IF(MO.ValuationToggle="EoP",INDEX(MO_VA_StockPrice_TradingCurrency,1,COLUMN())/INDEX(MO_VA_FX_EoP,1,COLUMN()),INDEX(MO_VA_StockPrice_TradingCurrency,1,COLUMN())/INDEX(MO_VA_FX_Average,1,COLUMN()))</f>
        <v>52.49</v>
      </c>
      <c r="AI539" s="453">
        <f t="array" ref="AI539">IF(MO.ValuationToggle="EoP",INDEX(MO_VA_StockPrice_TradingCurrency,1,COLUMN())/INDEX(MO_VA_FX_EoP,1,COLUMN()),INDEX(MO_VA_StockPrice_TradingCurrency,1,COLUMN())/INDEX(MO_VA_FX_Average,1,COLUMN()))</f>
        <v>43.51</v>
      </c>
      <c r="AJ539" s="433">
        <f t="array" ref="AJ539">IF(MO.ValuationToggle="EoP",INDEX(MO_VA_StockPrice_TradingCurrency,1,COLUMN())/INDEX(MO_VA_FX_EoP,1,COLUMN()),INDEX(MO_VA_StockPrice_TradingCurrency,1,COLUMN())/INDEX(MO_VA_FX_Average,1,COLUMN()))</f>
        <v>43.51</v>
      </c>
      <c r="AK539" s="453">
        <f t="array" ref="AK539">IF(MO.ValuationToggle="EoP",INDEX(MO_VA_StockPrice_TradingCurrency,1,COLUMN())/INDEX(MO_VA_FX_EoP,1,COLUMN()),INDEX(MO_VA_StockPrice_TradingCurrency,1,COLUMN())/INDEX(MO_VA_FX_Average,1,COLUMN()))</f>
        <v>48.59</v>
      </c>
      <c r="AL539" s="453">
        <f t="array" ref="AL539">IF(MO.ValuationToggle="EoP",INDEX(MO_VA_StockPrice_TradingCurrency,1,COLUMN())/INDEX(MO_VA_FX_EoP,1,COLUMN()),INDEX(MO_VA_StockPrice_TradingCurrency,1,COLUMN())/INDEX(MO_VA_FX_Average,1,COLUMN()))</f>
        <v>43.1</v>
      </c>
      <c r="AM539" s="453">
        <f t="array" ref="AM539">IF(MO.ValuationToggle="EoP",INDEX(MO_VA_StockPrice_TradingCurrency,1,COLUMN())/INDEX(MO_VA_FX_EoP,1,COLUMN()),INDEX(MO_VA_StockPrice_TradingCurrency,1,COLUMN())/INDEX(MO_VA_FX_Average,1,COLUMN()))</f>
        <v>41.68</v>
      </c>
      <c r="AN539" s="453">
        <f t="array" ref="AN539">IF(MO.ValuationToggle="EoP",INDEX(MO_VA_StockPrice_TradingCurrency,1,COLUMN())/INDEX(MO_VA_FX_EoP,1,COLUMN()),INDEX(MO_VA_StockPrice_TradingCurrency,1,COLUMN())/INDEX(MO_VA_FX_Average,1,COLUMN()))</f>
        <v>38.799999999999997</v>
      </c>
      <c r="AO539" s="433">
        <f t="array" ref="AO539">IF(MO.ValuationToggle="EoP",INDEX(MO_VA_StockPrice_TradingCurrency,1,COLUMN())/INDEX(MO_VA_FX_EoP,1,COLUMN()),INDEX(MO_VA_StockPrice_TradingCurrency,1,COLUMN())/INDEX(MO_VA_FX_Average,1,COLUMN()))</f>
        <v>38.799999999999997</v>
      </c>
      <c r="AP539" s="453">
        <f t="array" ref="AP539">IF(MO.ValuationToggle="EoP",INDEX(MO_VA_StockPrice_TradingCurrency,1,COLUMN())/INDEX(MO_VA_FX_EoP,1,COLUMN()),INDEX(MO_VA_StockPrice_TradingCurrency,1,COLUMN())/INDEX(MO_VA_FX_Average,1,COLUMN()))</f>
        <v>16.5</v>
      </c>
      <c r="AQ539" s="453">
        <f t="array" ref="AQ539">IF(MO.ValuationToggle="EoP",INDEX(MO_VA_StockPrice_TradingCurrency,1,COLUMN())/INDEX(MO_VA_FX_EoP,1,COLUMN()),INDEX(MO_VA_StockPrice_TradingCurrency,1,COLUMN())/INDEX(MO_VA_FX_Average,1,COLUMN()))</f>
        <v>22.74</v>
      </c>
      <c r="AR539" s="453">
        <f t="array" ref="AR539">IF(MO.ValuationToggle="EoP",INDEX(MO_VA_StockPrice_TradingCurrency,1,COLUMN())/INDEX(MO_VA_FX_EoP,1,COLUMN()),INDEX(MO_VA_StockPrice_TradingCurrency,1,COLUMN())/INDEX(MO_VA_FX_Average,1,COLUMN()))</f>
        <v>28.11</v>
      </c>
      <c r="AS539" s="453">
        <f t="array" ref="AS539">IF(MO.ValuationToggle="EoP",INDEX(MO_VA_StockPrice_TradingCurrency,1,COLUMN())/INDEX(MO_VA_FX_EoP,1,COLUMN()),INDEX(MO_VA_StockPrice_TradingCurrency,1,COLUMN())/INDEX(MO_VA_FX_Average,1,COLUMN()))</f>
        <v>37.35</v>
      </c>
      <c r="AT539" s="433">
        <f t="array" ref="AT539">IF(MO.ValuationToggle="EoP",INDEX(MO_VA_StockPrice_TradingCurrency,1,COLUMN())/INDEX(MO_VA_FX_EoP,1,COLUMN()),INDEX(MO_VA_StockPrice_TradingCurrency,1,COLUMN())/INDEX(MO_VA_FX_Average,1,COLUMN()))</f>
        <v>37.35</v>
      </c>
      <c r="AU539" s="453">
        <f t="array" ref="AU539">IF(MO.ValuationToggle="EoP",INDEX(MO_VA_StockPrice_TradingCurrency,1,COLUMN())/INDEX(MO_VA_FX_EoP,1,COLUMN()),INDEX(MO_VA_StockPrice_TradingCurrency,1,COLUMN())/INDEX(MO_VA_FX_Average,1,COLUMN()))</f>
        <v>58.18</v>
      </c>
      <c r="AV539" s="453">
        <f t="array" ref="AV539">IF(MO.ValuationToggle="EoP",INDEX(MO_VA_StockPrice_TradingCurrency,1,COLUMN())/INDEX(MO_VA_FX_EoP,1,COLUMN()),INDEX(MO_VA_StockPrice_TradingCurrency,1,COLUMN())/INDEX(MO_VA_FX_Average,1,COLUMN()))</f>
        <v>53.43</v>
      </c>
      <c r="AW539" s="453">
        <f t="array" ref="AW539">IF(MO.ValuationToggle="EoP",INDEX(MO_VA_StockPrice_TradingCurrency,1,COLUMN())/INDEX(MO_VA_FX_EoP,1,COLUMN()),INDEX(MO_VA_StockPrice_TradingCurrency,1,COLUMN())/INDEX(MO_VA_FX_Average,1,COLUMN()))</f>
        <v>49.82</v>
      </c>
      <c r="AX539" s="453">
        <f t="array" ref="AX539">IF(MO.ValuationToggle="EoP",INDEX(MO_VA_StockPrice_TradingCurrency,1,COLUMN())/INDEX(MO_VA_FX_EoP,1,COLUMN()),INDEX(MO_VA_StockPrice_TradingCurrency,1,COLUMN())/INDEX(MO_VA_FX_Average,1,COLUMN()))</f>
        <v>40.35</v>
      </c>
      <c r="AY539" s="433">
        <f t="array" ref="AY539">IF(MO.ValuationToggle="EoP",INDEX(MO_VA_StockPrice_TradingCurrency,1,COLUMN())/INDEX(MO_VA_FX_EoP,1,COLUMN()),INDEX(MO_VA_StockPrice_TradingCurrency,1,COLUMN())/INDEX(MO_VA_FX_Average,1,COLUMN()))</f>
        <v>40.35</v>
      </c>
      <c r="AZ539" s="453">
        <f t="array" ref="AZ539">IF(MO.ValuationToggle="EoP",INDEX(MO_VA_StockPrice_TradingCurrency,1,COLUMN())/INDEX(MO_VA_FX_EoP,1,COLUMN()),INDEX(MO_VA_StockPrice_TradingCurrency,1,COLUMN())/INDEX(MO_VA_FX_Average,1,COLUMN()))</f>
        <v>38.83</v>
      </c>
      <c r="BA539" s="453">
        <f t="array" ref="BA539">IF(MO.ValuationToggle="EoP",INDEX(MO_VA_StockPrice_TradingCurrency,1,COLUMN())/INDEX(MO_VA_FX_EoP,1,COLUMN()),INDEX(MO_VA_StockPrice_TradingCurrency,1,COLUMN())/INDEX(MO_VA_FX_Average,1,COLUMN()))</f>
        <v>28.54</v>
      </c>
      <c r="BB539" s="453">
        <f t="array" ref="BB539">IF(MO.ValuationToggle="EoP",INDEX(MO_VA_StockPrice_TradingCurrency,1,COLUMN())/INDEX(MO_VA_FX_EoP,1,COLUMN()),INDEX(MO_VA_StockPrice_TradingCurrency,1,COLUMN())/INDEX(MO_VA_FX_Average,1,COLUMN()))</f>
        <v>28.56</v>
      </c>
      <c r="BC539" s="453">
        <f t="array" ref="BC539">IF(MO.ValuationToggle="EoP",INDEX(MO_VA_StockPrice_TradingCurrency,1,COLUMN())/INDEX(MO_VA_FX_EoP,1,COLUMN()),INDEX(MO_VA_StockPrice_TradingCurrency,1,COLUMN())/INDEX(MO_VA_FX_Average,1,COLUMN()))</f>
        <v>31.71</v>
      </c>
      <c r="BD539" s="433">
        <f t="array" ref="BD539">IF(MO.ValuationToggle="EoP",INDEX(MO_VA_StockPrice_TradingCurrency,1,COLUMN())/INDEX(MO_VA_FX_EoP,1,COLUMN()),INDEX(MO_VA_StockPrice_TradingCurrency,1,COLUMN())/INDEX(MO_VA_FX_Average,1,COLUMN()))</f>
        <v>31.71</v>
      </c>
      <c r="BE539" s="454">
        <f t="array" ref="BE539">IF(MO.ValuationToggle="EoP",INDEX(MO_VA_StockPrice_TradingCurrency,1,COLUMN())/INDEX(MO_VA_FX_EoP,1,COLUMN()),INDEX(MO_VA_StockPrice_TradingCurrency,1,COLUMN())/INDEX(MO_VA_FX_Average,1,COLUMN()))</f>
        <v>35.049999999999997</v>
      </c>
      <c r="BF539" s="454">
        <f t="array" ref="BF539">IF(MO.ValuationToggle="EoP",INDEX(MO_VA_StockPrice_TradingCurrency,1,COLUMN())/INDEX(MO_VA_FX_EoP,1,COLUMN()),INDEX(MO_VA_StockPrice_TradingCurrency,1,COLUMN())/INDEX(MO_VA_FX_Average,1,COLUMN()))</f>
        <v>35.35</v>
      </c>
      <c r="BG539" s="454">
        <f t="array" ref="BG539">IF(MO.ValuationToggle="EoP",INDEX(MO_VA_StockPrice_TradingCurrency,1,COLUMN())/INDEX(MO_VA_FX_EoP,1,COLUMN()),INDEX(MO_VA_StockPrice_TradingCurrency,1,COLUMN())/INDEX(MO_VA_FX_Average,1,COLUMN()))</f>
        <v>29.6</v>
      </c>
      <c r="BH539" s="454">
        <f t="array" ref="BH539">IF(MO.ValuationToggle="EoP",INDEX(MO_VA_StockPrice_TradingCurrency,1,COLUMN())/INDEX(MO_VA_FX_EoP,1,COLUMN()),INDEX(MO_VA_StockPrice_TradingCurrency,1,COLUMN())/INDEX(MO_VA_FX_Average,1,COLUMN()))</f>
        <v>35.01</v>
      </c>
      <c r="BI539" s="435">
        <f t="array" ref="BI539">IF(MO.ValuationToggle="EoP",INDEX(MO_VA_StockPrice_TradingCurrency,1,COLUMN())/INDEX(MO_VA_FX_EoP,1,COLUMN()),INDEX(MO_VA_StockPrice_TradingCurrency,1,COLUMN())/INDEX(MO_VA_FX_Average,1,COLUMN()))</f>
        <v>35.01</v>
      </c>
      <c r="BJ539" s="454">
        <f t="array" aca="1" ref="BJ539" ca="1">IF(MO.ValuationToggle="EoP",INDEX(MO_VA_StockPrice_TradingCurrency,1,COLUMN())/INDEX(MO_VA_FX_EoP,1,COLUMN()),INDEX(MO_VA_StockPrice_TradingCurrency,1,COLUMN())/INDEX(MO_VA_FX_Average,1,COLUMN()))</f>
        <v>35.479999999999997</v>
      </c>
      <c r="BK539" s="454">
        <f t="array" aca="1" ref="BK539" ca="1">IF(MO.ValuationToggle="EoP",INDEX(MO_VA_StockPrice_TradingCurrency,1,COLUMN())/INDEX(MO_VA_FX_EoP,1,COLUMN()),INDEX(MO_VA_StockPrice_TradingCurrency,1,COLUMN())/INDEX(MO_VA_FX_Average,1,COLUMN()))</f>
        <v>35.479999999999997</v>
      </c>
      <c r="BL539" s="454">
        <f t="array" aca="1" ref="BL539" ca="1">IF(MO.ValuationToggle="EoP",INDEX(MO_VA_StockPrice_TradingCurrency,1,COLUMN())/INDEX(MO_VA_FX_EoP,1,COLUMN()),INDEX(MO_VA_StockPrice_TradingCurrency,1,COLUMN())/INDEX(MO_VA_FX_Average,1,COLUMN()))</f>
        <v>35.479999999999997</v>
      </c>
      <c r="BM539" s="454">
        <f t="array" aca="1" ref="BM539" ca="1">IF(MO.ValuationToggle="EoP",INDEX(MO_VA_StockPrice_TradingCurrency,1,COLUMN())/INDEX(MO_VA_FX_EoP,1,COLUMN()),INDEX(MO_VA_StockPrice_TradingCurrency,1,COLUMN())/INDEX(MO_VA_FX_Average,1,COLUMN()))</f>
        <v>35.479999999999997</v>
      </c>
      <c r="BN539" s="433">
        <f t="array" aca="1" ref="BN539" ca="1">IF(MO.ValuationToggle="EoP",INDEX(MO_VA_StockPrice_TradingCurrency,1,COLUMN())/INDEX(MO_VA_FX_EoP,1,COLUMN()),INDEX(MO_VA_StockPrice_TradingCurrency,1,COLUMN())/INDEX(MO_VA_FX_Average,1,COLUMN()))</f>
        <v>35.479999999999997</v>
      </c>
      <c r="BO539" s="454">
        <f t="array" aca="1" ref="BO539" ca="1">IF(MO.ValuationToggle="EoP",INDEX(MO_VA_StockPrice_TradingCurrency,1,COLUMN())/INDEX(MO_VA_FX_EoP,1,COLUMN()),INDEX(MO_VA_StockPrice_TradingCurrency,1,COLUMN())/INDEX(MO_VA_FX_Average,1,COLUMN()))</f>
        <v>35.479999999999997</v>
      </c>
      <c r="BP539" s="454">
        <f t="array" aca="1" ref="BP539" ca="1">IF(MO.ValuationToggle="EoP",INDEX(MO_VA_StockPrice_TradingCurrency,1,COLUMN())/INDEX(MO_VA_FX_EoP,1,COLUMN()),INDEX(MO_VA_StockPrice_TradingCurrency,1,COLUMN())/INDEX(MO_VA_FX_Average,1,COLUMN()))</f>
        <v>35.479999999999997</v>
      </c>
      <c r="BQ539" s="454">
        <f t="array" aca="1" ref="BQ539" ca="1">IF(MO.ValuationToggle="EoP",INDEX(MO_VA_StockPrice_TradingCurrency,1,COLUMN())/INDEX(MO_VA_FX_EoP,1,COLUMN()),INDEX(MO_VA_StockPrice_TradingCurrency,1,COLUMN())/INDEX(MO_VA_FX_Average,1,COLUMN()))</f>
        <v>35.479999999999997</v>
      </c>
      <c r="BR539" s="454">
        <f t="array" aca="1" ref="BR539" ca="1">IF(MO.ValuationToggle="EoP",INDEX(MO_VA_StockPrice_TradingCurrency,1,COLUMN())/INDEX(MO_VA_FX_EoP,1,COLUMN()),INDEX(MO_VA_StockPrice_TradingCurrency,1,COLUMN())/INDEX(MO_VA_FX_Average,1,COLUMN()))</f>
        <v>35.479999999999997</v>
      </c>
      <c r="BS539" s="433">
        <f t="array" aca="1" ref="BS539" ca="1">IF(MO.ValuationToggle="EoP",INDEX(MO_VA_StockPrice_TradingCurrency,1,COLUMN())/INDEX(MO_VA_FX_EoP,1,COLUMN()),INDEX(MO_VA_StockPrice_TradingCurrency,1,COLUMN())/INDEX(MO_VA_FX_Average,1,COLUMN()))</f>
        <v>35.479999999999997</v>
      </c>
      <c r="BT539" s="433">
        <f t="array" aca="1" ref="BT539" ca="1">IF(MO.ValuationToggle="EoP",INDEX(MO_VA_StockPrice_TradingCurrency,1,COLUMN())/INDEX(MO_VA_FX_EoP,1,COLUMN()),INDEX(MO_VA_StockPrice_TradingCurrency,1,COLUMN())/INDEX(MO_VA_FX_Average,1,COLUMN()))</f>
        <v>35.479999999999997</v>
      </c>
      <c r="BU539" s="433">
        <f t="array" aca="1" ref="BU539" ca="1">IF(MO.ValuationToggle="EoP",INDEX(MO_VA_StockPrice_TradingCurrency,1,COLUMN())/INDEX(MO_VA_FX_EoP,1,COLUMN()),INDEX(MO_VA_StockPrice_TradingCurrency,1,COLUMN())/INDEX(MO_VA_FX_Average,1,COLUMN()))</f>
        <v>35.479999999999997</v>
      </c>
      <c r="BV539" s="433">
        <f t="array" aca="1" ref="BV539" ca="1">IF(MO.ValuationToggle="EoP",INDEX(MO_VA_StockPrice_TradingCurrency,1,COLUMN())/INDEX(MO_VA_FX_EoP,1,COLUMN()),INDEX(MO_VA_StockPrice_TradingCurrency,1,COLUMN())/INDEX(MO_VA_FX_Average,1,COLUMN()))</f>
        <v>35.479999999999997</v>
      </c>
      <c r="BW539" s="455"/>
    </row>
    <row r="540" spans="1:75" ht="15.75" customHeight="1" x14ac:dyDescent="0.2">
      <c r="A540" s="4" t="str">
        <f>"Market Cap - "&amp;MO.ValuationToggle</f>
        <v>Market Cap - EoP</v>
      </c>
      <c r="B540" s="85"/>
      <c r="C540" s="111">
        <f t="array" ref="C540">INDEX(MO_VA_StockPrice,0,COLUMN())*INDEX(MO_SCA_ShareCount_EoP_Diluted,0,COLUMN())</f>
        <v>1351.17041094</v>
      </c>
      <c r="D540" s="111">
        <f t="array" ref="D540">INDEX(MO_VA_StockPrice,0,COLUMN())*INDEX(MO_SCA_ShareCount_EoP_Diluted,0,COLUMN())</f>
        <v>1893.6071864300002</v>
      </c>
      <c r="E540" s="111">
        <f t="array" ref="E540">INDEX(MO_VA_StockPrice,0,COLUMN())*INDEX(MO_SCA_ShareCount_EoP_Diluted,0,COLUMN())</f>
        <v>1633.42097975</v>
      </c>
      <c r="F540" s="111">
        <f t="array" ref="F540">INDEX(MO_VA_StockPrice,0,COLUMN())*INDEX(MO_SCA_ShareCount_EoP_Diluted,0,COLUMN())</f>
        <v>1769.8661379999996</v>
      </c>
      <c r="G540" s="4">
        <f t="array" ref="G540">INDEX(MO_VA_StockPrice,0,COLUMN())*INDEX(MO_SCA_ShareCount_EoP_Diluted,0,COLUMN())</f>
        <v>2035.8848218100004</v>
      </c>
      <c r="H540" s="4">
        <f t="array" ref="H540">INDEX(MO_VA_StockPrice,0,COLUMN())*INDEX(MO_SCA_ShareCount_EoP_Diluted,0,COLUMN())</f>
        <v>2312.0461441199996</v>
      </c>
      <c r="I540" s="4">
        <f t="array" ref="I540">INDEX(MO_VA_StockPrice,0,COLUMN())*INDEX(MO_SCA_ShareCount_EoP_Diluted,0,COLUMN())</f>
        <v>2328.4618584000004</v>
      </c>
      <c r="J540" s="4">
        <f t="array" ref="J540">INDEX(MO_VA_StockPrice,0,COLUMN())*INDEX(MO_SCA_ShareCount_EoP_Diluted,0,COLUMN())</f>
        <v>2535.13489282</v>
      </c>
      <c r="K540" s="111">
        <f t="array" ref="K540">INDEX(MO_VA_StockPrice,0,COLUMN())*INDEX(MO_SCA_ShareCount_EoP_Diluted,0,COLUMN())</f>
        <v>2535.13489282</v>
      </c>
      <c r="L540" s="4">
        <f t="array" ref="L540">INDEX(MO_VA_StockPrice,0,COLUMN())*INDEX(MO_SCA_ShareCount_EoP_Diluted,0,COLUMN())</f>
        <v>2400.50489393</v>
      </c>
      <c r="M540" s="4">
        <f t="array" ref="M540">INDEX(MO_VA_StockPrice,0,COLUMN())*INDEX(MO_SCA_ShareCount_EoP_Diluted,0,COLUMN())</f>
        <v>2317.6602202600002</v>
      </c>
      <c r="N540" s="4">
        <f t="array" ref="N540">INDEX(MO_VA_StockPrice,0,COLUMN())*INDEX(MO_SCA_ShareCount_EoP_Diluted,0,COLUMN())</f>
        <v>2281.2135695999996</v>
      </c>
      <c r="O540" s="4">
        <f t="array" ref="O540">INDEX(MO_VA_StockPrice,0,COLUMN())*INDEX(MO_SCA_ShareCount_EoP_Diluted,0,COLUMN())</f>
        <v>2548.5641201699996</v>
      </c>
      <c r="P540" s="111">
        <f t="array" ref="P540">INDEX(MO_VA_StockPrice,0,COLUMN())*INDEX(MO_SCA_ShareCount_EoP_Diluted,0,COLUMN())</f>
        <v>2548.5641201699996</v>
      </c>
      <c r="Q540" s="4">
        <f t="array" ref="Q540">INDEX(MO_VA_StockPrice,0,COLUMN())*INDEX(MO_SCA_ShareCount_EoP_Diluted,0,COLUMN())</f>
        <v>2402.4063661799996</v>
      </c>
      <c r="R540" s="4">
        <f t="array" ref="R540">INDEX(MO_VA_StockPrice,0,COLUMN())*INDEX(MO_SCA_ShareCount_EoP_Diluted,0,COLUMN())</f>
        <v>2650.9381454499999</v>
      </c>
      <c r="S540" s="4">
        <f t="array" ref="S540">INDEX(MO_VA_StockPrice,0,COLUMN())*INDEX(MO_SCA_ShareCount_EoP_Diluted,0,COLUMN())</f>
        <v>2628.9771660800002</v>
      </c>
      <c r="T540" s="4">
        <f t="array" ref="T540">INDEX(MO_VA_StockPrice,0,COLUMN())*INDEX(MO_SCA_ShareCount_EoP_Diluted,0,COLUMN())</f>
        <v>2272.21554285</v>
      </c>
      <c r="U540" s="111">
        <f t="array" ref="U540">INDEX(MO_VA_StockPrice,0,COLUMN())*INDEX(MO_SCA_ShareCount_EoP_Diluted,0,COLUMN())</f>
        <v>2272.21554285</v>
      </c>
      <c r="V540" s="4">
        <f t="array" ref="V540">INDEX(MO_VA_StockPrice,0,COLUMN())*INDEX(MO_SCA_ShareCount_EoP_Diluted,0,COLUMN())</f>
        <v>2498.52529164</v>
      </c>
      <c r="W540" s="4">
        <f t="array" ref="W540">INDEX(MO_VA_StockPrice,0,COLUMN())*INDEX(MO_SCA_ShareCount_EoP_Diluted,0,COLUMN())</f>
        <v>2256.6757815000001</v>
      </c>
      <c r="X540" s="4">
        <f t="array" ref="X540">INDEX(MO_VA_StockPrice,0,COLUMN())*INDEX(MO_SCA_ShareCount_EoP_Diluted,0,COLUMN())</f>
        <v>2452.2563048399998</v>
      </c>
      <c r="Y540" s="4">
        <f t="array" ref="Y540">INDEX(MO_VA_StockPrice,0,COLUMN())*INDEX(MO_SCA_ShareCount_EoP_Diluted,0,COLUMN())</f>
        <v>2827.7358746400009</v>
      </c>
      <c r="Z540" s="86">
        <f t="array" ref="Z540">INDEX(MO_VA_StockPrice,0,COLUMN())*INDEX(MO_SCA_ShareCount_EoP_Diluted,0,COLUMN())</f>
        <v>2827.7358746400009</v>
      </c>
      <c r="AA540" s="4">
        <f t="array" ref="AA540">INDEX(MO_VA_StockPrice,0,COLUMN())*INDEX(MO_SCA_ShareCount_EoP_Diluted,0,COLUMN())</f>
        <v>3010.7637986399995</v>
      </c>
      <c r="AB540" s="4">
        <f t="array" ref="AB540">INDEX(MO_VA_StockPrice,0,COLUMN())*INDEX(MO_SCA_ShareCount_EoP_Diluted,0,COLUMN())</f>
        <v>2362.5240103199999</v>
      </c>
      <c r="AC540" s="4">
        <f t="array" ref="AC540">INDEX(MO_VA_StockPrice,0,COLUMN())*INDEX(MO_SCA_ShareCount_EoP_Diluted,0,COLUMN())</f>
        <v>1916.3965773600003</v>
      </c>
      <c r="AD540" s="4">
        <f t="array" ref="AD540">INDEX(MO_VA_StockPrice,0,COLUMN())*INDEX(MO_SCA_ShareCount_EoP_Diluted,0,COLUMN())</f>
        <v>2175.9445712400002</v>
      </c>
      <c r="AE540" s="86">
        <f t="array" ref="AE540">INDEX(MO_VA_StockPrice,0,COLUMN())*INDEX(MO_SCA_ShareCount_EoP_Diluted,0,COLUMN())</f>
        <v>2175.9445712400002</v>
      </c>
      <c r="AF540" s="4">
        <f t="array" ref="AF540">INDEX(MO_VA_StockPrice,0,COLUMN())*INDEX(MO_SCA_ShareCount_EoP_Diluted,0,COLUMN())</f>
        <v>2134.4713183900003</v>
      </c>
      <c r="AG540" s="4">
        <f t="array" ref="AG540">INDEX(MO_VA_StockPrice,0,COLUMN())*INDEX(MO_SCA_ShareCount_EoP_Diluted,0,COLUMN())</f>
        <v>2525.8355499200002</v>
      </c>
      <c r="AH540" s="4">
        <f t="array" ref="AH540">INDEX(MO_VA_StockPrice,0,COLUMN())*INDEX(MO_SCA_ShareCount_EoP_Diluted,0,COLUMN())</f>
        <v>2362.1131454700003</v>
      </c>
      <c r="AI540" s="4">
        <f t="array" ref="AI540">INDEX(MO_VA_StockPrice,0,COLUMN())*INDEX(MO_SCA_ShareCount_EoP_Diluted,0,COLUMN())</f>
        <v>1914.4856419899997</v>
      </c>
      <c r="AJ540" s="86">
        <f t="array" ref="AJ540">INDEX(MO_VA_StockPrice,0,COLUMN())*INDEX(MO_SCA_ShareCount_EoP_Diluted,0,COLUMN())</f>
        <v>1914.4856419899997</v>
      </c>
      <c r="AK540" s="4">
        <f t="array" ref="AK540">INDEX(MO_VA_StockPrice,0,COLUMN())*INDEX(MO_SCA_ShareCount_EoP_Diluted,0,COLUMN())</f>
        <v>2151.4528599199998</v>
      </c>
      <c r="AL540" s="4">
        <f t="array" ref="AL540">INDEX(MO_VA_StockPrice,0,COLUMN())*INDEX(MO_SCA_ShareCount_EoP_Diluted,0,COLUMN())</f>
        <v>1881.5378701000004</v>
      </c>
      <c r="AM540" s="4">
        <f t="array" ref="AM540">INDEX(MO_VA_StockPrice,0,COLUMN())*INDEX(MO_SCA_ShareCount_EoP_Diluted,0,COLUMN())</f>
        <v>1808.4905735199995</v>
      </c>
      <c r="AN540" s="4">
        <f t="array" ref="AN540">INDEX(MO_VA_StockPrice,0,COLUMN())*INDEX(MO_SCA_ShareCount_EoP_Diluted,0,COLUMN())</f>
        <v>1690.1180671999994</v>
      </c>
      <c r="AO540" s="86">
        <f t="array" ref="AO540">INDEX(MO_VA_StockPrice,0,COLUMN())*INDEX(MO_SCA_ShareCount_EoP_Diluted,0,COLUMN())</f>
        <v>1690.1180671999994</v>
      </c>
      <c r="AP540" s="4">
        <f t="array" ref="AP540">INDEX(MO_VA_StockPrice,0,COLUMN())*INDEX(MO_SCA_ShareCount_EoP_Diluted,0,COLUMN())</f>
        <v>725.19704400000001</v>
      </c>
      <c r="AQ540" s="4">
        <f t="array" ref="AQ540">INDEX(MO_VA_StockPrice,0,COLUMN())*INDEX(MO_SCA_ShareCount_EoP_Diluted,0,COLUMN())</f>
        <v>1001.0064089399999</v>
      </c>
      <c r="AR540" s="4">
        <f t="array" ref="AR540">INDEX(MO_VA_StockPrice,0,COLUMN())*INDEX(MO_SCA_ShareCount_EoP_Diluted,0,COLUMN())</f>
        <v>1239.4338221400003</v>
      </c>
      <c r="AS540" s="4">
        <f t="array" ref="AS540">INDEX(MO_VA_StockPrice,0,COLUMN())*INDEX(MO_SCA_ShareCount_EoP_Diluted,0,COLUMN())</f>
        <v>1649.5903142999996</v>
      </c>
      <c r="AT540" s="86">
        <f t="array" ref="AT540">INDEX(MO_VA_StockPrice,0,COLUMN())*INDEX(MO_SCA_ShareCount_EoP_Diluted,0,COLUMN())</f>
        <v>1649.5903142999996</v>
      </c>
      <c r="AU540" s="4">
        <f t="array" ref="AU540">INDEX(MO_VA_StockPrice,0,COLUMN())*INDEX(MO_SCA_ShareCount_EoP_Diluted,0,COLUMN())</f>
        <v>2609.9650978600002</v>
      </c>
      <c r="AV540" s="4">
        <f t="array" ref="AV540">INDEX(MO_VA_StockPrice,0,COLUMN())*INDEX(MO_SCA_ShareCount_EoP_Diluted,0,COLUMN())</f>
        <v>2739.7909667700005</v>
      </c>
      <c r="AW540" s="4">
        <f t="array" ref="AW540">INDEX(MO_VA_StockPrice,0,COLUMN())*INDEX(MO_SCA_ShareCount_EoP_Diluted,0,COLUMN())</f>
        <v>2537.7907447199996</v>
      </c>
      <c r="AX540" s="4">
        <f t="array" ref="AX540">INDEX(MO_VA_StockPrice,0,COLUMN())*INDEX(MO_SCA_ShareCount_EoP_Diluted,0,COLUMN())</f>
        <v>2054.3599671000002</v>
      </c>
      <c r="AY540" s="86">
        <f t="array" ref="AY540">INDEX(MO_VA_StockPrice,0,COLUMN())*INDEX(MO_SCA_ShareCount_EoP_Diluted,0,COLUMN())</f>
        <v>2054.3599671000002</v>
      </c>
      <c r="AZ540" s="4">
        <f t="array" ref="AZ540">INDEX(MO_VA_StockPrice,0,COLUMN())*INDEX(MO_SCA_ShareCount_EoP_Diluted,0,COLUMN())</f>
        <v>1980.2891896699998</v>
      </c>
      <c r="BA540" s="4">
        <f t="array" ref="BA540">INDEX(MO_VA_StockPrice,0,COLUMN())*INDEX(MO_SCA_ShareCount_EoP_Diluted,0,COLUMN())</f>
        <v>1443.53096734</v>
      </c>
      <c r="BB540" s="4">
        <f t="array" ref="BB540">INDEX(MO_VA_StockPrice,0,COLUMN())*INDEX(MO_SCA_ShareCount_EoP_Diluted,0,COLUMN())</f>
        <v>1421.5007150399999</v>
      </c>
      <c r="BC540" s="4">
        <f t="array" ref="BC540">INDEX(MO_VA_StockPrice,0,COLUMN())*INDEX(MO_SCA_ShareCount_EoP_Diluted,0,COLUMN())</f>
        <v>1560.2460608699998</v>
      </c>
      <c r="BD540" s="86">
        <f t="array" ref="BD540">INDEX(MO_VA_StockPrice,0,COLUMN())*INDEX(MO_SCA_ShareCount_EoP_Diluted,0,COLUMN())</f>
        <v>1560.2460608699998</v>
      </c>
      <c r="BE540" s="2">
        <f t="array" ref="BE540">INDEX(MO_VA_StockPrice,0,COLUMN())*INDEX(MO_SCA_ShareCount_EoP_Diluted,0,COLUMN())</f>
        <v>1744.0268027</v>
      </c>
      <c r="BF540" s="2">
        <f t="array" ref="BF540">INDEX(MO_VA_StockPrice,0,COLUMN())*INDEX(MO_SCA_ShareCount_EoP_Diluted,0,COLUMN())</f>
        <v>1732.7348657500002</v>
      </c>
      <c r="BG540" s="2">
        <f t="array" ref="BG540">INDEX(MO_VA_StockPrice,0,COLUMN())*INDEX(MO_SCA_ShareCount_EoP_Diluted,0,COLUMN())</f>
        <v>1442.9025271999999</v>
      </c>
      <c r="BH540" s="2">
        <f t="array" ref="BH540">INDEX(MO_VA_StockPrice,0,COLUMN())*INDEX(MO_SCA_ShareCount_EoP_Diluted,0,COLUMN())</f>
        <v>1699.6349862899997</v>
      </c>
      <c r="BI540" s="90">
        <f t="array" ref="BI540">INDEX(MO_VA_StockPrice,0,COLUMN())*INDEX(MO_SCA_ShareCount_EoP_Diluted,0,COLUMN())</f>
        <v>1699.6349862899997</v>
      </c>
      <c r="BJ540" s="2">
        <f t="array" aca="1" ref="BJ540" ca="1">INDEX(MO_VA_StockPrice,0,COLUMN())*INDEX(MO_SCA_ShareCount_EoP_Diluted,0,COLUMN())</f>
        <v>1719.7483386817028</v>
      </c>
      <c r="BK540" s="2">
        <f t="array" aca="1" ref="BK540" ca="1">INDEX(MO_VA_StockPrice,0,COLUMN())*INDEX(MO_SCA_ShareCount_EoP_Diluted,0,COLUMN())</f>
        <v>1719.9203135155708</v>
      </c>
      <c r="BL540" s="2">
        <f t="array" aca="1" ref="BL540" ca="1">INDEX(MO_VA_StockPrice,0,COLUMN())*INDEX(MO_SCA_ShareCount_EoP_Diluted,0,COLUMN())</f>
        <v>1720.0923055469225</v>
      </c>
      <c r="BM540" s="2">
        <f t="array" aca="1" ref="BM540" ca="1">INDEX(MO_VA_StockPrice,0,COLUMN())*INDEX(MO_SCA_ShareCount_EoP_Diluted,0,COLUMN())</f>
        <v>1720.264314777477</v>
      </c>
      <c r="BN540" s="86">
        <f t="array" aca="1" ref="BN540" ca="1">INDEX(MO_VA_StockPrice,0,COLUMN())*INDEX(MO_SCA_ShareCount_EoP_Diluted,0,COLUMN())</f>
        <v>1720.264314777477</v>
      </c>
      <c r="BO540" s="2">
        <f t="array" aca="1" ref="BO540" ca="1">INDEX(MO_VA_StockPrice,0,COLUMN())*INDEX(MO_SCA_ShareCount_EoP_Diluted,0,COLUMN())</f>
        <v>1720.4363412089549</v>
      </c>
      <c r="BP540" s="2">
        <f t="array" aca="1" ref="BP540" ca="1">INDEX(MO_VA_StockPrice,0,COLUMN())*INDEX(MO_SCA_ShareCount_EoP_Diluted,0,COLUMN())</f>
        <v>1720.6083848430756</v>
      </c>
      <c r="BQ540" s="2">
        <f t="array" aca="1" ref="BQ540" ca="1">INDEX(MO_VA_StockPrice,0,COLUMN())*INDEX(MO_SCA_ShareCount_EoP_Diluted,0,COLUMN())</f>
        <v>1720.7804456815597</v>
      </c>
      <c r="BR540" s="2">
        <f t="array" aca="1" ref="BR540" ca="1">INDEX(MO_VA_StockPrice,0,COLUMN())*INDEX(MO_SCA_ShareCount_EoP_Diluted,0,COLUMN())</f>
        <v>1720.952523726128</v>
      </c>
      <c r="BS540" s="86">
        <f t="array" aca="1" ref="BS540" ca="1">INDEX(MO_VA_StockPrice,0,COLUMN())*INDEX(MO_SCA_ShareCount_EoP_Diluted,0,COLUMN())</f>
        <v>1720.952523726128</v>
      </c>
      <c r="BT540" s="86">
        <f t="array" aca="1" ref="BT540" ca="1">INDEX(MO_VA_StockPrice,0,COLUMN())*INDEX(MO_SCA_ShareCount_EoP_Diluted,0,COLUMN())</f>
        <v>1721.6409047356185</v>
      </c>
      <c r="BU540" s="86">
        <f t="array" aca="1" ref="BU540" ca="1">INDEX(MO_VA_StockPrice,0,COLUMN())*INDEX(MO_SCA_ShareCount_EoP_Diluted,0,COLUMN())</f>
        <v>1722.3295610975126</v>
      </c>
      <c r="BV540" s="86">
        <f t="array" aca="1" ref="BV540" ca="1">INDEX(MO_VA_StockPrice,0,COLUMN())*INDEX(MO_SCA_ShareCount_EoP_Diluted,0,COLUMN())</f>
        <v>1723.0184929219515</v>
      </c>
      <c r="BW540" s="4"/>
    </row>
    <row r="541" spans="1:75" ht="15.75" customHeight="1" x14ac:dyDescent="0.2">
      <c r="A541" s="4" t="str">
        <f>"Enterprise Value - "&amp;MO.ValuationToggle</f>
        <v>Enterprise Value - EoP</v>
      </c>
      <c r="B541" s="85"/>
      <c r="C541" s="111">
        <f t="shared" ref="C541:BV541" si="1199">C525+C540+C558+C559+C560</f>
        <v>1377.4554109400001</v>
      </c>
      <c r="D541" s="111">
        <f t="shared" si="1199"/>
        <v>1811.9881864300003</v>
      </c>
      <c r="E541" s="111">
        <f t="shared" si="1199"/>
        <v>1585.20997975</v>
      </c>
      <c r="F541" s="111">
        <f t="shared" si="1199"/>
        <v>1686.2971379999997</v>
      </c>
      <c r="G541" s="4">
        <f t="shared" si="1199"/>
        <v>1948.7448218100003</v>
      </c>
      <c r="H541" s="4">
        <f t="shared" si="1199"/>
        <v>2181.4231441199995</v>
      </c>
      <c r="I541" s="4">
        <f t="shared" si="1199"/>
        <v>2245.8368584000004</v>
      </c>
      <c r="J541" s="4">
        <f t="shared" si="1199"/>
        <v>2473.3838928199998</v>
      </c>
      <c r="K541" s="111">
        <f t="shared" si="1199"/>
        <v>2473.3838928199998</v>
      </c>
      <c r="L541" s="4">
        <f t="shared" si="1199"/>
        <v>2394.0398939299998</v>
      </c>
      <c r="M541" s="4">
        <f t="shared" si="1199"/>
        <v>2317.08322026</v>
      </c>
      <c r="N541" s="4">
        <f t="shared" si="1199"/>
        <v>2284.0725695999995</v>
      </c>
      <c r="O541" s="4">
        <f t="shared" si="1199"/>
        <v>2490.5461201699995</v>
      </c>
      <c r="P541" s="111">
        <f t="shared" si="1199"/>
        <v>2490.5461201699995</v>
      </c>
      <c r="Q541" s="4">
        <f t="shared" si="1199"/>
        <v>2387.9283661799996</v>
      </c>
      <c r="R541" s="4">
        <f t="shared" si="1199"/>
        <v>2614.3901454500001</v>
      </c>
      <c r="S541" s="4">
        <f t="shared" si="1199"/>
        <v>2599.3701660800002</v>
      </c>
      <c r="T541" s="4">
        <f t="shared" si="1199"/>
        <v>2228.3615428500002</v>
      </c>
      <c r="U541" s="111">
        <f t="shared" si="1199"/>
        <v>2228.3615428500002</v>
      </c>
      <c r="V541" s="4">
        <f t="shared" si="1199"/>
        <v>2444.60329164</v>
      </c>
      <c r="W541" s="4">
        <f t="shared" si="1199"/>
        <v>2177.0577815000001</v>
      </c>
      <c r="X541" s="4">
        <f t="shared" si="1199"/>
        <v>2386.41130484</v>
      </c>
      <c r="Y541" s="4">
        <f t="shared" si="1199"/>
        <v>2773.896874640001</v>
      </c>
      <c r="Z541" s="86">
        <f t="shared" si="1199"/>
        <v>2773.896874640001</v>
      </c>
      <c r="AA541" s="4">
        <f t="shared" si="1199"/>
        <v>2945.0977986399994</v>
      </c>
      <c r="AB541" s="4">
        <f t="shared" si="1199"/>
        <v>2296.21001032</v>
      </c>
      <c r="AC541" s="4">
        <f t="shared" si="1199"/>
        <v>1926.6015773600002</v>
      </c>
      <c r="AD541" s="4">
        <f t="shared" si="1199"/>
        <v>2179.9365712400004</v>
      </c>
      <c r="AE541" s="86">
        <f t="shared" si="1199"/>
        <v>2179.9365712400004</v>
      </c>
      <c r="AF541" s="4">
        <f t="shared" si="1199"/>
        <v>2139.6703183900004</v>
      </c>
      <c r="AG541" s="4">
        <f t="shared" si="1199"/>
        <v>2516.46654992</v>
      </c>
      <c r="AH541" s="4">
        <f t="shared" si="1199"/>
        <v>2369.4741454700002</v>
      </c>
      <c r="AI541" s="4">
        <f t="shared" si="1199"/>
        <v>1897.9076419899998</v>
      </c>
      <c r="AJ541" s="86">
        <f t="shared" si="1199"/>
        <v>1897.9076419899998</v>
      </c>
      <c r="AK541" s="4">
        <f t="shared" si="1199"/>
        <v>3188.8608599199997</v>
      </c>
      <c r="AL541" s="4">
        <f t="shared" si="1199"/>
        <v>2922.1888701000007</v>
      </c>
      <c r="AM541" s="4">
        <f t="shared" si="1199"/>
        <v>2886.8975735199992</v>
      </c>
      <c r="AN541" s="4">
        <f t="shared" si="1199"/>
        <v>3239.6520671999992</v>
      </c>
      <c r="AO541" s="86">
        <f t="shared" si="1199"/>
        <v>3239.6520671999992</v>
      </c>
      <c r="AP541" s="4">
        <f t="shared" si="1199"/>
        <v>2364.9450440000001</v>
      </c>
      <c r="AQ541" s="4">
        <f t="shared" si="1199"/>
        <v>2489.2364089399998</v>
      </c>
      <c r="AR541" s="4">
        <f t="shared" si="1199"/>
        <v>2946.9708221400001</v>
      </c>
      <c r="AS541" s="4">
        <f t="shared" si="1199"/>
        <v>3350.5933142999997</v>
      </c>
      <c r="AT541" s="86">
        <f t="shared" si="1199"/>
        <v>3350.5933142999997</v>
      </c>
      <c r="AU541" s="4">
        <f t="shared" si="1199"/>
        <v>4271.0990978600003</v>
      </c>
      <c r="AV541" s="4">
        <f t="shared" si="1199"/>
        <v>4386.0999667700007</v>
      </c>
      <c r="AW541" s="4">
        <f t="shared" si="1199"/>
        <v>4232.5297447199991</v>
      </c>
      <c r="AX541" s="4">
        <f t="shared" si="1199"/>
        <v>3680.8369671</v>
      </c>
      <c r="AY541" s="86">
        <f t="shared" si="1199"/>
        <v>3680.8369671</v>
      </c>
      <c r="AZ541" s="4">
        <f t="shared" si="1199"/>
        <v>3609.77018967</v>
      </c>
      <c r="BA541" s="4">
        <f t="shared" si="1199"/>
        <v>3056.4059673399997</v>
      </c>
      <c r="BB541" s="4">
        <f t="shared" si="1199"/>
        <v>3118.2937150400003</v>
      </c>
      <c r="BC541" s="4">
        <f t="shared" si="1199"/>
        <v>3286.09706087</v>
      </c>
      <c r="BD541" s="86">
        <f t="shared" si="1199"/>
        <v>3286.09706087</v>
      </c>
      <c r="BE541" s="2">
        <f t="shared" si="1199"/>
        <v>3454.9158026999999</v>
      </c>
      <c r="BF541" s="2">
        <f t="shared" si="1199"/>
        <v>3481.2518657500004</v>
      </c>
      <c r="BG541" s="2">
        <f t="shared" si="1199"/>
        <v>3239.7655271999997</v>
      </c>
      <c r="BH541" s="2">
        <f t="shared" si="1199"/>
        <v>3503.2519862899999</v>
      </c>
      <c r="BI541" s="90">
        <f t="shared" si="1199"/>
        <v>3503.2519862899999</v>
      </c>
      <c r="BJ541" s="2">
        <f t="shared" ca="1" si="1199"/>
        <v>3515.2862689532194</v>
      </c>
      <c r="BK541" s="2">
        <f t="shared" ca="1" si="1199"/>
        <v>3502.0670340717534</v>
      </c>
      <c r="BL541" s="2">
        <f t="shared" ca="1" si="1199"/>
        <v>3510.7601349611659</v>
      </c>
      <c r="BM541" s="2">
        <f t="shared" ca="1" si="1199"/>
        <v>3465.0269476913227</v>
      </c>
      <c r="BN541" s="86">
        <f t="shared" ca="1" si="1199"/>
        <v>3465.0269476913227</v>
      </c>
      <c r="BO541" s="2">
        <f t="shared" ca="1" si="1199"/>
        <v>3453.7519993579444</v>
      </c>
      <c r="BP541" s="2">
        <f t="shared" ca="1" si="1199"/>
        <v>3439.1728134717396</v>
      </c>
      <c r="BQ541" s="2">
        <f t="shared" ca="1" si="1199"/>
        <v>3443.7786240931273</v>
      </c>
      <c r="BR541" s="2">
        <f t="shared" ca="1" si="1199"/>
        <v>3390.9222636710469</v>
      </c>
      <c r="BS541" s="86">
        <f t="shared" ca="1" si="1199"/>
        <v>3390.9222636710469</v>
      </c>
      <c r="BT541" s="86">
        <f t="shared" ca="1" si="1199"/>
        <v>3281.8487081396038</v>
      </c>
      <c r="BU541" s="86">
        <f t="shared" ca="1" si="1199"/>
        <v>3150.3490227657176</v>
      </c>
      <c r="BV541" s="86">
        <f t="shared" ca="1" si="1199"/>
        <v>2988.742719564525</v>
      </c>
      <c r="BW541" s="4"/>
    </row>
    <row r="542" spans="1:75" ht="15.75" customHeight="1" x14ac:dyDescent="0.2">
      <c r="A542" s="456"/>
      <c r="B542" s="457"/>
      <c r="C542" s="458"/>
      <c r="D542" s="458"/>
      <c r="E542" s="458"/>
      <c r="F542" s="458"/>
      <c r="G542" s="459"/>
      <c r="H542" s="459"/>
      <c r="I542" s="459"/>
      <c r="J542" s="459"/>
      <c r="K542" s="458"/>
      <c r="L542" s="459"/>
      <c r="M542" s="459"/>
      <c r="N542" s="459"/>
      <c r="O542" s="459"/>
      <c r="P542" s="458"/>
      <c r="Q542" s="459"/>
      <c r="R542" s="459"/>
      <c r="S542" s="459"/>
      <c r="T542" s="459"/>
      <c r="U542" s="458"/>
      <c r="V542" s="459"/>
      <c r="W542" s="459"/>
      <c r="X542" s="459"/>
      <c r="Y542" s="456"/>
      <c r="Z542" s="458"/>
      <c r="AA542" s="456"/>
      <c r="AB542" s="459"/>
      <c r="AC542" s="459"/>
      <c r="AD542" s="456"/>
      <c r="AE542" s="458"/>
      <c r="AF542" s="456"/>
      <c r="AG542" s="459"/>
      <c r="AH542" s="459"/>
      <c r="AI542" s="456"/>
      <c r="AJ542" s="458"/>
      <c r="AK542" s="456"/>
      <c r="AL542" s="456"/>
      <c r="AM542" s="456"/>
      <c r="AN542" s="456"/>
      <c r="AO542" s="458"/>
      <c r="AP542" s="456"/>
      <c r="AQ542" s="456"/>
      <c r="AR542" s="456"/>
      <c r="AS542" s="456"/>
      <c r="AT542" s="458"/>
      <c r="AU542" s="456"/>
      <c r="AV542" s="456"/>
      <c r="AW542" s="456"/>
      <c r="AX542" s="456"/>
      <c r="AY542" s="458"/>
      <c r="AZ542" s="456"/>
      <c r="BA542" s="456"/>
      <c r="BB542" s="456"/>
      <c r="BC542" s="456"/>
      <c r="BD542" s="458"/>
      <c r="BE542" s="456"/>
      <c r="BF542" s="456"/>
      <c r="BG542" s="456"/>
      <c r="BH542" s="456"/>
      <c r="BI542" s="460"/>
      <c r="BJ542" s="456"/>
      <c r="BK542" s="456"/>
      <c r="BL542" s="456"/>
      <c r="BM542" s="456"/>
      <c r="BN542" s="458"/>
      <c r="BO542" s="456"/>
      <c r="BP542" s="456"/>
      <c r="BQ542" s="456"/>
      <c r="BR542" s="456"/>
      <c r="BS542" s="458"/>
      <c r="BT542" s="458"/>
      <c r="BU542" s="458"/>
      <c r="BV542" s="458"/>
      <c r="BW542" s="461"/>
    </row>
    <row r="543" spans="1:75" ht="15.75" customHeight="1" x14ac:dyDescent="0.2">
      <c r="A543" s="461" t="str">
        <f>"P/E - "&amp;MO.ValuationToggle</f>
        <v>P/E - EoP</v>
      </c>
      <c r="B543" s="457"/>
      <c r="C543" s="462">
        <f t="shared" ref="C543:F543" si="1200">C539/C421</f>
        <v>20.986314770882771</v>
      </c>
      <c r="D543" s="462">
        <f t="shared" si="1200"/>
        <v>21.88709675172403</v>
      </c>
      <c r="E543" s="462">
        <f t="shared" si="1200"/>
        <v>17.950815622963571</v>
      </c>
      <c r="F543" s="462">
        <f t="shared" si="1200"/>
        <v>17.410791990436326</v>
      </c>
      <c r="G543" s="459"/>
      <c r="H543" s="459"/>
      <c r="I543" s="459"/>
      <c r="J543" s="459"/>
      <c r="K543" s="462">
        <f>K539/K421</f>
        <v>23.096835702821416</v>
      </c>
      <c r="L543" s="459"/>
      <c r="M543" s="459"/>
      <c r="N543" s="459"/>
      <c r="O543" s="459"/>
      <c r="P543" s="462">
        <f>P539/P421</f>
        <v>25.823956575609145</v>
      </c>
      <c r="Q543" s="459"/>
      <c r="R543" s="459"/>
      <c r="S543" s="459"/>
      <c r="T543" s="459"/>
      <c r="U543" s="462">
        <f>U539/U421</f>
        <v>19.60085449096816</v>
      </c>
      <c r="V543" s="459"/>
      <c r="W543" s="459"/>
      <c r="X543" s="459"/>
      <c r="Y543" s="456"/>
      <c r="Z543" s="458">
        <f>Z539/Z421</f>
        <v>21.183383442484356</v>
      </c>
      <c r="AA543" s="456"/>
      <c r="AB543" s="459"/>
      <c r="AC543" s="459"/>
      <c r="AD543" s="456"/>
      <c r="AE543" s="458">
        <f>AE539/AE421</f>
        <v>18.548874337386984</v>
      </c>
      <c r="AF543" s="456"/>
      <c r="AG543" s="459"/>
      <c r="AH543" s="459"/>
      <c r="AI543" s="456"/>
      <c r="AJ543" s="458">
        <f>AJ539/AJ421</f>
        <v>17.913397088693358</v>
      </c>
      <c r="AK543" s="456"/>
      <c r="AL543" s="456"/>
      <c r="AM543" s="456"/>
      <c r="AN543" s="456"/>
      <c r="AO543" s="458">
        <f>AO539/AO421</f>
        <v>14.84476242828185</v>
      </c>
      <c r="AP543" s="456"/>
      <c r="AQ543" s="456"/>
      <c r="AR543" s="456"/>
      <c r="AS543" s="456"/>
      <c r="AT543" s="458">
        <f>AT539/AT421</f>
        <v>-25.050934692529275</v>
      </c>
      <c r="AU543" s="456"/>
      <c r="AV543" s="456"/>
      <c r="AW543" s="456"/>
      <c r="AX543" s="456"/>
      <c r="AY543" s="458">
        <f>AY539/AY421</f>
        <v>18.945522226903073</v>
      </c>
      <c r="AZ543" s="456"/>
      <c r="BA543" s="456"/>
      <c r="BB543" s="456"/>
      <c r="BC543" s="456"/>
      <c r="BD543" s="458">
        <f>BD539/BD421</f>
        <v>20.968087249642643</v>
      </c>
      <c r="BE543" s="456"/>
      <c r="BF543" s="456"/>
      <c r="BG543" s="456"/>
      <c r="BH543" s="456"/>
      <c r="BI543" s="460">
        <f>BI539/BI421</f>
        <v>13.028941138981169</v>
      </c>
      <c r="BJ543" s="456"/>
      <c r="BK543" s="456"/>
      <c r="BL543" s="456"/>
      <c r="BM543" s="456"/>
      <c r="BN543" s="458">
        <f ca="1">BN539/BN421</f>
        <v>11.527153908785747</v>
      </c>
      <c r="BO543" s="456"/>
      <c r="BP543" s="456"/>
      <c r="BQ543" s="456"/>
      <c r="BR543" s="456"/>
      <c r="BS543" s="458">
        <f t="shared" ref="BS543:BV543" ca="1" si="1201">BS539/BS421</f>
        <v>10.84122822094097</v>
      </c>
      <c r="BT543" s="458">
        <f t="shared" ca="1" si="1201"/>
        <v>10.041847213634895</v>
      </c>
      <c r="BU543" s="458">
        <f t="shared" ca="1" si="1201"/>
        <v>9.2381768615964592</v>
      </c>
      <c r="BV543" s="458">
        <f t="shared" ca="1" si="1201"/>
        <v>8.3153903126277271</v>
      </c>
      <c r="BW543" s="461"/>
    </row>
    <row r="544" spans="1:75" ht="15.75" customHeight="1" x14ac:dyDescent="0.2">
      <c r="A544" s="461" t="str">
        <f>"EV/EBITDA - "&amp;MO.ValuationToggle</f>
        <v>EV/EBITDA - EoP</v>
      </c>
      <c r="B544" s="457"/>
      <c r="C544" s="462">
        <f t="shared" ref="C544:F544" si="1202">C541/C395</f>
        <v>7.1247447988455237</v>
      </c>
      <c r="D544" s="462">
        <f t="shared" si="1202"/>
        <v>8.372670291289511</v>
      </c>
      <c r="E544" s="462">
        <f t="shared" si="1202"/>
        <v>6.9916815732948727</v>
      </c>
      <c r="F544" s="462">
        <f t="shared" si="1202"/>
        <v>6.8605835676071472</v>
      </c>
      <c r="G544" s="459"/>
      <c r="H544" s="459"/>
      <c r="I544" s="459"/>
      <c r="J544" s="459"/>
      <c r="K544" s="462">
        <f>K541/K395</f>
        <v>9.2987153479051923</v>
      </c>
      <c r="L544" s="459"/>
      <c r="M544" s="459"/>
      <c r="N544" s="459"/>
      <c r="O544" s="459"/>
      <c r="P544" s="462">
        <f>P541/P395</f>
        <v>9.5998848272977764</v>
      </c>
      <c r="Q544" s="459"/>
      <c r="R544" s="459"/>
      <c r="S544" s="459"/>
      <c r="T544" s="459"/>
      <c r="U544" s="462">
        <f>U541/U395</f>
        <v>7.5853693620200842</v>
      </c>
      <c r="V544" s="459"/>
      <c r="W544" s="459"/>
      <c r="X544" s="459"/>
      <c r="Y544" s="456"/>
      <c r="Z544" s="458">
        <f>Z541/Z395</f>
        <v>8.5572107349788276</v>
      </c>
      <c r="AA544" s="456"/>
      <c r="AB544" s="459"/>
      <c r="AC544" s="459"/>
      <c r="AD544" s="456"/>
      <c r="AE544" s="458">
        <f>AE541/AE395</f>
        <v>7.6314416536204925</v>
      </c>
      <c r="AF544" s="456"/>
      <c r="AG544" s="459"/>
      <c r="AH544" s="459"/>
      <c r="AI544" s="456"/>
      <c r="AJ544" s="458">
        <f>AJ541/AJ395</f>
        <v>7.1969498388002062</v>
      </c>
      <c r="AK544" s="456"/>
      <c r="AL544" s="456"/>
      <c r="AM544" s="456"/>
      <c r="AN544" s="456"/>
      <c r="AO544" s="458">
        <f>AO541/AO395</f>
        <v>13.020952589799958</v>
      </c>
      <c r="AP544" s="456"/>
      <c r="AQ544" s="456"/>
      <c r="AR544" s="456"/>
      <c r="AS544" s="456"/>
      <c r="AT544" s="458">
        <f>AT541/AT395</f>
        <v>-553.26838082889776</v>
      </c>
      <c r="AU544" s="456"/>
      <c r="AV544" s="456"/>
      <c r="AW544" s="456"/>
      <c r="AX544" s="456"/>
      <c r="AY544" s="458">
        <f>AY541/AY395</f>
        <v>14.943313442270226</v>
      </c>
      <c r="AZ544" s="456"/>
      <c r="BA544" s="456"/>
      <c r="BB544" s="456"/>
      <c r="BC544" s="456"/>
      <c r="BD544" s="458">
        <f>BD541/BD395</f>
        <v>15.120658280777654</v>
      </c>
      <c r="BE544" s="456"/>
      <c r="BF544" s="456"/>
      <c r="BG544" s="456"/>
      <c r="BH544" s="456"/>
      <c r="BI544" s="460">
        <f>BI541/BI395</f>
        <v>11.915336742343838</v>
      </c>
      <c r="BJ544" s="456"/>
      <c r="BK544" s="456"/>
      <c r="BL544" s="456"/>
      <c r="BM544" s="456"/>
      <c r="BN544" s="458">
        <f ca="1">BN541/BN395</f>
        <v>10.269590632129256</v>
      </c>
      <c r="BO544" s="456"/>
      <c r="BP544" s="456"/>
      <c r="BQ544" s="456"/>
      <c r="BR544" s="456"/>
      <c r="BS544" s="458">
        <f t="shared" ref="BS544:BV544" ca="1" si="1203">BS541/BS395</f>
        <v>9.6755233675203147</v>
      </c>
      <c r="BT544" s="458">
        <f t="shared" ca="1" si="1203"/>
        <v>8.7374451515822216</v>
      </c>
      <c r="BU544" s="458">
        <f t="shared" ca="1" si="1203"/>
        <v>7.8966229505999284</v>
      </c>
      <c r="BV544" s="458">
        <f t="shared" ca="1" si="1203"/>
        <v>6.974466300158638</v>
      </c>
      <c r="BW544" s="461"/>
    </row>
    <row r="545" spans="1:75" ht="15.75" customHeight="1" x14ac:dyDescent="0.2">
      <c r="A545" s="461" t="str">
        <f>"P/CF - "&amp;MO.ValuationToggle</f>
        <v>P/CF - EoP</v>
      </c>
      <c r="B545" s="457"/>
      <c r="C545" s="462">
        <f t="shared" ref="C545:F545" si="1204">C539/C497</f>
        <v>6.7621596503844659</v>
      </c>
      <c r="D545" s="462">
        <f t="shared" si="1204"/>
        <v>11.285433953680476</v>
      </c>
      <c r="E545" s="462">
        <f t="shared" si="1204"/>
        <v>8.7108112657091574</v>
      </c>
      <c r="F545" s="462">
        <f t="shared" si="1204"/>
        <v>9.2437045928003663</v>
      </c>
      <c r="G545" s="459"/>
      <c r="H545" s="459"/>
      <c r="I545" s="459"/>
      <c r="J545" s="459"/>
      <c r="K545" s="462">
        <f>K539/K497</f>
        <v>12.85972170813292</v>
      </c>
      <c r="L545" s="459"/>
      <c r="M545" s="459"/>
      <c r="N545" s="459"/>
      <c r="O545" s="459"/>
      <c r="P545" s="462">
        <f>P539/P497</f>
        <v>10.9582824881389</v>
      </c>
      <c r="Q545" s="459"/>
      <c r="R545" s="459"/>
      <c r="S545" s="459"/>
      <c r="T545" s="459"/>
      <c r="U545" s="462">
        <f>U539/U497</f>
        <v>10.001786783789177</v>
      </c>
      <c r="V545" s="459"/>
      <c r="W545" s="459"/>
      <c r="X545" s="459"/>
      <c r="Y545" s="456"/>
      <c r="Z545" s="458">
        <f>Z539/Z497</f>
        <v>9.772561681872272</v>
      </c>
      <c r="AA545" s="456"/>
      <c r="AB545" s="459"/>
      <c r="AC545" s="459"/>
      <c r="AD545" s="456"/>
      <c r="AE545" s="458">
        <f>AE539/AE497</f>
        <v>9.7152521817785917</v>
      </c>
      <c r="AF545" s="456"/>
      <c r="AG545" s="459"/>
      <c r="AH545" s="459"/>
      <c r="AI545" s="456"/>
      <c r="AJ545" s="458">
        <f>AJ539/AJ497</f>
        <v>6.9025441532361889</v>
      </c>
      <c r="AK545" s="456"/>
      <c r="AL545" s="456"/>
      <c r="AM545" s="456"/>
      <c r="AN545" s="456"/>
      <c r="AO545" s="458">
        <f>AO539/AO497</f>
        <v>7.9006129977463999</v>
      </c>
      <c r="AP545" s="456"/>
      <c r="AQ545" s="456"/>
      <c r="AR545" s="456"/>
      <c r="AS545" s="456"/>
      <c r="AT545" s="458">
        <f>AT539/AT497</f>
        <v>563.44812585969294</v>
      </c>
      <c r="AU545" s="456"/>
      <c r="AV545" s="456"/>
      <c r="AW545" s="456"/>
      <c r="AX545" s="456"/>
      <c r="AY545" s="458">
        <f>AY539/AY497</f>
        <v>9.1893115686882041</v>
      </c>
      <c r="AZ545" s="456"/>
      <c r="BA545" s="456"/>
      <c r="BB545" s="456"/>
      <c r="BC545" s="456"/>
      <c r="BD545" s="458">
        <f>BD539/BD497</f>
        <v>9.8725834022948753</v>
      </c>
      <c r="BE545" s="456"/>
      <c r="BF545" s="456"/>
      <c r="BG545" s="456"/>
      <c r="BH545" s="456"/>
      <c r="BI545" s="460">
        <f>BI539/BI497</f>
        <v>7.8627868004267372</v>
      </c>
      <c r="BJ545" s="456"/>
      <c r="BK545" s="456"/>
      <c r="BL545" s="456"/>
      <c r="BM545" s="456"/>
      <c r="BN545" s="458">
        <f ca="1">BN539/BN497</f>
        <v>5.773678951166759</v>
      </c>
      <c r="BO545" s="456"/>
      <c r="BP545" s="456"/>
      <c r="BQ545" s="456"/>
      <c r="BR545" s="456"/>
      <c r="BS545" s="458">
        <f t="shared" ref="BS545:BV545" ca="1" si="1205">BS539/BS497</f>
        <v>5.4811934023046325</v>
      </c>
      <c r="BT545" s="458">
        <f t="shared" ca="1" si="1205"/>
        <v>5.2735650124044984</v>
      </c>
      <c r="BU545" s="458">
        <f t="shared" ca="1" si="1205"/>
        <v>4.9362045953255009</v>
      </c>
      <c r="BV545" s="458">
        <f t="shared" ca="1" si="1205"/>
        <v>4.5456068938053571</v>
      </c>
      <c r="BW545" s="461"/>
    </row>
    <row r="546" spans="1:75" ht="15.75" customHeight="1" x14ac:dyDescent="0.2">
      <c r="A546" s="38" t="str">
        <f>"FCF Yield % to "&amp;MO.ValuationToggle&amp;" Market Cap"</f>
        <v>FCF Yield % to EoP Market Cap</v>
      </c>
      <c r="B546" s="39"/>
      <c r="C546" s="43">
        <f t="shared" ref="C546:F546" si="1206">C514/C540</f>
        <v>0.11833592469566014</v>
      </c>
      <c r="D546" s="43">
        <f t="shared" si="1206"/>
        <v>6.5160821570720895E-2</v>
      </c>
      <c r="E546" s="43">
        <f t="shared" si="1206"/>
        <v>7.251529242518287E-2</v>
      </c>
      <c r="F546" s="43">
        <f t="shared" si="1206"/>
        <v>6.0579157766789259E-2</v>
      </c>
      <c r="G546" s="41"/>
      <c r="H546" s="41"/>
      <c r="I546" s="41"/>
      <c r="J546" s="41"/>
      <c r="K546" s="43">
        <f>K514/K540</f>
        <v>3.8199939685369638E-2</v>
      </c>
      <c r="L546" s="41"/>
      <c r="M546" s="41"/>
      <c r="N546" s="41"/>
      <c r="O546" s="41"/>
      <c r="P546" s="43">
        <f>P514/P540</f>
        <v>4.8571663950029591E-2</v>
      </c>
      <c r="Q546" s="41"/>
      <c r="R546" s="41"/>
      <c r="S546" s="41"/>
      <c r="T546" s="41"/>
      <c r="U546" s="43">
        <f>U514/U540</f>
        <v>3.5085579909380486E-2</v>
      </c>
      <c r="V546" s="41"/>
      <c r="W546" s="41"/>
      <c r="X546" s="41"/>
      <c r="Y546" s="41"/>
      <c r="Z546" s="40">
        <f>Z514/Z540</f>
        <v>6.5444231075351009E-2</v>
      </c>
      <c r="AA546" s="41"/>
      <c r="AB546" s="41"/>
      <c r="AC546" s="41"/>
      <c r="AD546" s="41"/>
      <c r="AE546" s="40">
        <f>AE514/AE540</f>
        <v>5.3477005590123312E-2</v>
      </c>
      <c r="AF546" s="41"/>
      <c r="AG546" s="41"/>
      <c r="AH546" s="41"/>
      <c r="AI546" s="41"/>
      <c r="AJ546" s="40">
        <f>AJ514/AJ540</f>
        <v>9.6833319578882637E-2</v>
      </c>
      <c r="AK546" s="41"/>
      <c r="AL546" s="41"/>
      <c r="AM546" s="41"/>
      <c r="AN546" s="41"/>
      <c r="AO546" s="40">
        <f>AO514/AO540</f>
        <v>8.4547939444688761E-2</v>
      </c>
      <c r="AP546" s="41"/>
      <c r="AQ546" s="41"/>
      <c r="AR546" s="41"/>
      <c r="AS546" s="41"/>
      <c r="AT546" s="40">
        <f>AT514/AT540</f>
        <v>-2.9101771260321221E-2</v>
      </c>
      <c r="AU546" s="41"/>
      <c r="AV546" s="41"/>
      <c r="AW546" s="41"/>
      <c r="AX546" s="41"/>
      <c r="AY546" s="40">
        <f>AY514/AY540</f>
        <v>7.0804047162840583E-2</v>
      </c>
      <c r="AZ546" s="41"/>
      <c r="BA546" s="41"/>
      <c r="BB546" s="41"/>
      <c r="BC546" s="41"/>
      <c r="BD546" s="40">
        <f>BD514/BD540</f>
        <v>3.1265581258893844E-2</v>
      </c>
      <c r="BE546" s="41"/>
      <c r="BF546" s="41"/>
      <c r="BG546" s="41"/>
      <c r="BH546" s="41"/>
      <c r="BI546" s="46">
        <f>BI514/BI540</f>
        <v>3.8348233900663567E-2</v>
      </c>
      <c r="BJ546" s="41"/>
      <c r="BK546" s="41"/>
      <c r="BL546" s="41"/>
      <c r="BM546" s="41"/>
      <c r="BN546" s="40">
        <f ca="1">BN514/BN540</f>
        <v>6.4206473298333899E-2</v>
      </c>
      <c r="BO546" s="41"/>
      <c r="BP546" s="41"/>
      <c r="BQ546" s="41"/>
      <c r="BR546" s="41"/>
      <c r="BS546" s="40">
        <f t="shared" ref="BS546:BV546" ca="1" si="1207">BS514/BS540</f>
        <v>7.3454247647147572E-2</v>
      </c>
      <c r="BT546" s="40">
        <f t="shared" ca="1" si="1207"/>
        <v>9.3748333662693834E-2</v>
      </c>
      <c r="BU546" s="40">
        <f t="shared" ca="1" si="1207"/>
        <v>0.10674381427557243</v>
      </c>
      <c r="BV546" s="40">
        <f t="shared" ca="1" si="1207"/>
        <v>0.12418646975293181</v>
      </c>
      <c r="BW546" s="45"/>
    </row>
    <row r="547" spans="1:75" ht="15.75" customHeight="1" x14ac:dyDescent="0.2">
      <c r="A547" s="38" t="str">
        <f>"FCF Yield % to "&amp;MO.ValuationToggle&amp;" Enterprise Value"</f>
        <v>FCF Yield % to EoP Enterprise Value</v>
      </c>
      <c r="B547" s="39"/>
      <c r="C547" s="43">
        <f t="shared" ref="C547:F547" si="1208">C514/C541</f>
        <v>0.11607780457364268</v>
      </c>
      <c r="D547" s="43">
        <f t="shared" si="1208"/>
        <v>6.8095918573896713E-2</v>
      </c>
      <c r="E547" s="43">
        <f t="shared" si="1208"/>
        <v>7.4720700420193006E-2</v>
      </c>
      <c r="F547" s="43">
        <f t="shared" si="1208"/>
        <v>6.358132121789796E-2</v>
      </c>
      <c r="G547" s="41"/>
      <c r="H547" s="41"/>
      <c r="I547" s="41"/>
      <c r="J547" s="41"/>
      <c r="K547" s="43">
        <f>K514/K541</f>
        <v>3.9153647066726367E-2</v>
      </c>
      <c r="L547" s="41"/>
      <c r="M547" s="41"/>
      <c r="N547" s="41"/>
      <c r="O547" s="41"/>
      <c r="P547" s="43">
        <f>P514/P541</f>
        <v>4.9703155062051425E-2</v>
      </c>
      <c r="Q547" s="41"/>
      <c r="R547" s="41"/>
      <c r="S547" s="41"/>
      <c r="T547" s="41"/>
      <c r="U547" s="43">
        <f>U514/U541</f>
        <v>3.5776061678949214E-2</v>
      </c>
      <c r="V547" s="41"/>
      <c r="W547" s="41"/>
      <c r="X547" s="41"/>
      <c r="Y547" s="41"/>
      <c r="Z547" s="40">
        <f>Z514/Z541</f>
        <v>6.671444843241231E-2</v>
      </c>
      <c r="AA547" s="41"/>
      <c r="AB547" s="41"/>
      <c r="AC547" s="41"/>
      <c r="AD547" s="41"/>
      <c r="AE547" s="40">
        <f>AE514/AE541</f>
        <v>5.3379076040643646E-2</v>
      </c>
      <c r="AF547" s="41"/>
      <c r="AG547" s="41"/>
      <c r="AH547" s="41"/>
      <c r="AI547" s="41"/>
      <c r="AJ547" s="40">
        <f>AJ514/AJ541</f>
        <v>9.7679147234803518E-2</v>
      </c>
      <c r="AK547" s="41"/>
      <c r="AL547" s="41"/>
      <c r="AM547" s="41"/>
      <c r="AN547" s="41"/>
      <c r="AO547" s="40">
        <f>AO514/AO541</f>
        <v>4.4108440362086054E-2</v>
      </c>
      <c r="AP547" s="41"/>
      <c r="AQ547" s="41"/>
      <c r="AR547" s="41"/>
      <c r="AS547" s="41"/>
      <c r="AT547" s="40">
        <f>AT514/AT541</f>
        <v>-1.4327611708384641E-2</v>
      </c>
      <c r="AU547" s="41"/>
      <c r="AV547" s="41"/>
      <c r="AW547" s="41"/>
      <c r="AX547" s="41"/>
      <c r="AY547" s="40">
        <f>AY514/AY541</f>
        <v>3.9517370994727984E-2</v>
      </c>
      <c r="AZ547" s="41"/>
      <c r="BA547" s="41"/>
      <c r="BB547" s="41"/>
      <c r="BC547" s="41"/>
      <c r="BD547" s="40">
        <f>BD514/BD541</f>
        <v>1.484496626130845E-2</v>
      </c>
      <c r="BE547" s="41"/>
      <c r="BF547" s="41"/>
      <c r="BG547" s="41"/>
      <c r="BH547" s="41"/>
      <c r="BI547" s="46">
        <f>BI514/BI541</f>
        <v>1.8604999085157038E-2</v>
      </c>
      <c r="BJ547" s="41"/>
      <c r="BK547" s="41"/>
      <c r="BL547" s="41"/>
      <c r="BM547" s="41"/>
      <c r="BN547" s="40">
        <f ca="1">BN514/BN541</f>
        <v>3.1876261414483006E-2</v>
      </c>
      <c r="BO547" s="41"/>
      <c r="BP547" s="41"/>
      <c r="BQ547" s="41"/>
      <c r="BR547" s="41"/>
      <c r="BS547" s="40">
        <f t="shared" ref="BS547:BV547" ca="1" si="1209">BS514/BS541</f>
        <v>3.7279319028065382E-2</v>
      </c>
      <c r="BT547" s="40">
        <f t="shared" ca="1" si="1209"/>
        <v>4.9179892291863425E-2</v>
      </c>
      <c r="BU547" s="40">
        <f t="shared" ca="1" si="1209"/>
        <v>5.8357986833382468E-2</v>
      </c>
      <c r="BV547" s="40">
        <f t="shared" ca="1" si="1209"/>
        <v>7.1593845316391569E-2</v>
      </c>
      <c r="BW547" s="45"/>
    </row>
    <row r="548" spans="1:75" ht="15.75" hidden="1" customHeight="1" outlineLevel="1" x14ac:dyDescent="0.2">
      <c r="A548" s="47"/>
      <c r="B548" s="39"/>
      <c r="C548" s="40"/>
      <c r="D548" s="40"/>
      <c r="E548" s="40"/>
      <c r="F548" s="40"/>
      <c r="G548" s="41"/>
      <c r="H548" s="41"/>
      <c r="I548" s="41"/>
      <c r="J548" s="41"/>
      <c r="K548" s="40"/>
      <c r="L548" s="41"/>
      <c r="M548" s="41"/>
      <c r="N548" s="41"/>
      <c r="O548" s="41"/>
      <c r="P548" s="40"/>
      <c r="Q548" s="41"/>
      <c r="R548" s="41"/>
      <c r="S548" s="41"/>
      <c r="T548" s="41"/>
      <c r="U548" s="40"/>
      <c r="V548" s="41"/>
      <c r="W548" s="41"/>
      <c r="X548" s="41"/>
      <c r="Y548" s="41"/>
      <c r="Z548" s="40"/>
      <c r="AA548" s="41"/>
      <c r="AB548" s="41"/>
      <c r="AC548" s="41"/>
      <c r="AD548" s="41"/>
      <c r="AE548" s="40"/>
      <c r="AF548" s="41"/>
      <c r="AG548" s="41"/>
      <c r="AH548" s="41"/>
      <c r="AI548" s="41"/>
      <c r="AJ548" s="40"/>
      <c r="AK548" s="41"/>
      <c r="AL548" s="41"/>
      <c r="AM548" s="41"/>
      <c r="AN548" s="41"/>
      <c r="AO548" s="40"/>
      <c r="AP548" s="41"/>
      <c r="AQ548" s="41"/>
      <c r="AR548" s="41"/>
      <c r="AS548" s="41"/>
      <c r="AT548" s="40"/>
      <c r="AU548" s="41"/>
      <c r="AV548" s="41"/>
      <c r="AW548" s="41"/>
      <c r="AX548" s="41"/>
      <c r="AY548" s="40"/>
      <c r="AZ548" s="41"/>
      <c r="BA548" s="41"/>
      <c r="BB548" s="41"/>
      <c r="BC548" s="41"/>
      <c r="BD548" s="40"/>
      <c r="BE548" s="41"/>
      <c r="BF548" s="41"/>
      <c r="BG548" s="41"/>
      <c r="BH548" s="41"/>
      <c r="BI548" s="46"/>
      <c r="BJ548" s="41"/>
      <c r="BK548" s="41"/>
      <c r="BL548" s="41"/>
      <c r="BM548" s="41"/>
      <c r="BN548" s="40"/>
      <c r="BO548" s="41"/>
      <c r="BP548" s="41"/>
      <c r="BQ548" s="41"/>
      <c r="BR548" s="41"/>
      <c r="BS548" s="40"/>
      <c r="BT548" s="40"/>
      <c r="BU548" s="40"/>
      <c r="BV548" s="40"/>
      <c r="BW548" s="45"/>
    </row>
    <row r="549" spans="1:75" ht="15.75" hidden="1" customHeight="1" outlineLevel="1" x14ac:dyDescent="0.2">
      <c r="A549" s="463" t="str">
        <f ca="1">"Stock High, "&amp;HP.TradeCurrency</f>
        <v>Stock High, USD</v>
      </c>
      <c r="B549" s="464"/>
      <c r="C549" s="465">
        <f t="array" aca="1" ref="C549" ca="1">IF(INDEX(MO_SNA_IsHistoricalPeriod,1,COLUMN())=FALSE,0,INDEX(MO_SPT_StockHigh,1,COLUMN()))</f>
        <v>22.63</v>
      </c>
      <c r="D549" s="465">
        <f t="array" aca="1" ref="D549" ca="1">IF(INDEX(MO_SNA_IsHistoricalPeriod,1,COLUMN())=FALSE,0,INDEX(MO_SPT_StockHigh,1,COLUMN()))</f>
        <v>34</v>
      </c>
      <c r="E549" s="465">
        <f t="array" aca="1" ref="E549" ca="1">IF(INDEX(MO_SNA_IsHistoricalPeriod,1,COLUMN())=FALSE,0,INDEX(MO_SPT_StockHigh,1,COLUMN()))</f>
        <v>34.07</v>
      </c>
      <c r="F549" s="465">
        <f t="array" aca="1" ref="F549" ca="1">IF(INDEX(MO_SNA_IsHistoricalPeriod,1,COLUMN())=FALSE,0,INDEX(MO_SPT_StockHigh,1,COLUMN()))</f>
        <v>36.24</v>
      </c>
      <c r="G549" s="466">
        <f t="array" aca="1" ref="G549" ca="1">IF(INDEX(MO_SNA_IsHistoricalPeriod,1,COLUMN())=FALSE,0,INDEX(MO_SPT_StockHigh,1,COLUMN()))</f>
        <v>38.71</v>
      </c>
      <c r="H549" s="466">
        <f t="array" aca="1" ref="H549" ca="1">IF(INDEX(MO_SNA_IsHistoricalPeriod,1,COLUMN())=FALSE,0,INDEX(MO_SPT_StockHigh,1,COLUMN()))</f>
        <v>42.63</v>
      </c>
      <c r="I549" s="466">
        <f t="array" aca="1" ref="I549" ca="1">IF(INDEX(MO_SNA_IsHistoricalPeriod,1,COLUMN())=FALSE,0,INDEX(MO_SPT_StockHigh,1,COLUMN()))</f>
        <v>44.79</v>
      </c>
      <c r="J549" s="466">
        <f t="array" aca="1" ref="J549" ca="1">IF(INDEX(MO_SNA_IsHistoricalPeriod,1,COLUMN())=FALSE,0,INDEX(MO_SPT_StockHigh,1,COLUMN()))</f>
        <v>49.74</v>
      </c>
      <c r="K549" s="465">
        <f t="array" aca="1" ref="K549" ca="1">IF(INDEX(MO_SNA_IsHistoricalPeriod,1,COLUMN())=FALSE,0,INDEX(MO_SPT_StockHigh,1,COLUMN()))</f>
        <v>49.74</v>
      </c>
      <c r="L549" s="466">
        <f t="array" aca="1" ref="L549" ca="1">IF(INDEX(MO_SNA_IsHistoricalPeriod,1,COLUMN())=FALSE,0,INDEX(MO_SPT_StockHigh,1,COLUMN()))</f>
        <v>49.21</v>
      </c>
      <c r="M549" s="466">
        <f t="array" aca="1" ref="M549" ca="1">IF(INDEX(MO_SNA_IsHistoricalPeriod,1,COLUMN())=FALSE,0,INDEX(MO_SPT_StockHigh,1,COLUMN()))</f>
        <v>49.1</v>
      </c>
      <c r="N549" s="466">
        <f t="array" aca="1" ref="N549" ca="1">IF(INDEX(MO_SNA_IsHistoricalPeriod,1,COLUMN())=FALSE,0,INDEX(MO_SPT_StockHigh,1,COLUMN()))</f>
        <v>47.09</v>
      </c>
      <c r="O549" s="466">
        <f t="array" aca="1" ref="O549" ca="1">IF(INDEX(MO_SNA_IsHistoricalPeriod,1,COLUMN())=FALSE,0,INDEX(MO_SPT_StockHigh,1,COLUMN()))</f>
        <v>51.45</v>
      </c>
      <c r="P549" s="465">
        <f t="array" aca="1" ref="P549" ca="1">IF(INDEX(MO_SNA_IsHistoricalPeriod,1,COLUMN())=FALSE,0,INDEX(MO_SPT_StockHigh,1,COLUMN()))</f>
        <v>51.45</v>
      </c>
      <c r="Q549" s="466">
        <f t="array" aca="1" ref="Q549" ca="1">IF(INDEX(MO_SNA_IsHistoricalPeriod,1,COLUMN())=FALSE,0,INDEX(MO_SPT_StockHigh,1,COLUMN()))</f>
        <v>55.15</v>
      </c>
      <c r="R549" s="466">
        <f t="array" aca="1" ref="R549" ca="1">IF(INDEX(MO_SNA_IsHistoricalPeriod,1,COLUMN())=FALSE,0,INDEX(MO_SPT_StockHigh,1,COLUMN()))</f>
        <v>55.48</v>
      </c>
      <c r="S549" s="466">
        <f t="array" aca="1" ref="S549" ca="1">IF(INDEX(MO_SNA_IsHistoricalPeriod,1,COLUMN())=FALSE,0,INDEX(MO_SPT_StockHigh,1,COLUMN()))</f>
        <v>58.86</v>
      </c>
      <c r="T549" s="466">
        <f t="array" aca="1" ref="T549" ca="1">IF(INDEX(MO_SNA_IsHistoricalPeriod,1,COLUMN())=FALSE,0,INDEX(MO_SPT_StockHigh,1,COLUMN()))</f>
        <v>55.53</v>
      </c>
      <c r="U549" s="465">
        <f t="array" aca="1" ref="U549" ca="1">IF(INDEX(MO_SNA_IsHistoricalPeriod,1,COLUMN())=FALSE,0,INDEX(MO_SPT_StockHigh,1,COLUMN()))</f>
        <v>58.86</v>
      </c>
      <c r="V549" s="466">
        <f t="array" aca="1" ref="V549" ca="1">IF(INDEX(MO_SNA_IsHistoricalPeriod,1,COLUMN())=FALSE,0,INDEX(MO_SPT_StockHigh,1,COLUMN()))</f>
        <v>54.13</v>
      </c>
      <c r="W549" s="466">
        <f t="array" aca="1" ref="W549" ca="1">IF(INDEX(MO_SNA_IsHistoricalPeriod,1,COLUMN())=FALSE,0,INDEX(MO_SPT_StockHigh,1,COLUMN()))</f>
        <v>53.69</v>
      </c>
      <c r="X549" s="466">
        <f t="array" aca="1" ref="X549" ca="1">IF(INDEX(MO_SNA_IsHistoricalPeriod,1,COLUMN())=FALSE,0,INDEX(MO_SPT_StockHigh,1,COLUMN()))</f>
        <v>53.25</v>
      </c>
      <c r="Y549" s="466">
        <f t="array" aca="1" ref="Y549" ca="1">IF(INDEX(MO_SNA_IsHistoricalPeriod,1,COLUMN())=FALSE,0,INDEX(MO_SPT_StockHigh,1,COLUMN()))</f>
        <v>64.41</v>
      </c>
      <c r="Z549" s="467">
        <f t="array" aca="1" ref="Z549" ca="1">IF(INDEX(MO_SNA_IsHistoricalPeriod,1,COLUMN())=FALSE,0,INDEX(MO_SPT_StockHigh,1,COLUMN()))</f>
        <v>64.41</v>
      </c>
      <c r="AA549" s="466">
        <f t="array" aca="1" ref="AA549" ca="1">IF(INDEX(MO_SNA_IsHistoricalPeriod,1,COLUMN())=FALSE,0,INDEX(MO_SPT_StockHigh,1,COLUMN()))</f>
        <v>63.73</v>
      </c>
      <c r="AB549" s="466">
        <f t="array" aca="1" ref="AB549" ca="1">IF(INDEX(MO_SNA_IsHistoricalPeriod,1,COLUMN())=FALSE,0,INDEX(MO_SPT_StockHigh,1,COLUMN()))</f>
        <v>67.14</v>
      </c>
      <c r="AC549" s="466">
        <f t="array" aca="1" ref="AC549" ca="1">IF(INDEX(MO_SNA_IsHistoricalPeriod,1,COLUMN())=FALSE,0,INDEX(MO_SPT_StockHigh,1,COLUMN()))</f>
        <v>50.91</v>
      </c>
      <c r="AD549" s="466">
        <f t="array" aca="1" ref="AD549" ca="1">IF(INDEX(MO_SNA_IsHistoricalPeriod,1,COLUMN())=FALSE,0,INDEX(MO_SPT_StockHigh,1,COLUMN()))</f>
        <v>51.07</v>
      </c>
      <c r="AE549" s="467">
        <f t="array" aca="1" ref="AE549" ca="1">IF(INDEX(MO_SNA_IsHistoricalPeriod,1,COLUMN())=FALSE,0,INDEX(MO_SPT_StockHigh,1,COLUMN()))</f>
        <v>67.14</v>
      </c>
      <c r="AF549" s="466">
        <f t="array" aca="1" ref="AF549" ca="1">IF(INDEX(MO_SNA_IsHistoricalPeriod,1,COLUMN())=FALSE,0,INDEX(MO_SPT_StockHigh,1,COLUMN()))</f>
        <v>50.89</v>
      </c>
      <c r="AG549" s="466">
        <f t="array" aca="1" ref="AG549" ca="1">IF(INDEX(MO_SNA_IsHistoricalPeriod,1,COLUMN())=FALSE,0,INDEX(MO_SPT_StockHigh,1,COLUMN()))</f>
        <v>59.83</v>
      </c>
      <c r="AH549" s="466">
        <f t="array" aca="1" ref="AH549" ca="1">IF(INDEX(MO_SNA_IsHistoricalPeriod,1,COLUMN())=FALSE,0,INDEX(MO_SPT_StockHigh,1,COLUMN()))</f>
        <v>59.53</v>
      </c>
      <c r="AI549" s="466">
        <f t="array" aca="1" ref="AI549" ca="1">IF(INDEX(MO_SNA_IsHistoricalPeriod,1,COLUMN())=FALSE,0,INDEX(MO_SPT_StockHigh,1,COLUMN()))</f>
        <v>52.4</v>
      </c>
      <c r="AJ549" s="467">
        <f t="array" aca="1" ref="AJ549" ca="1">IF(INDEX(MO_SNA_IsHistoricalPeriod,1,COLUMN())=FALSE,0,INDEX(MO_SPT_StockHigh,1,COLUMN()))</f>
        <v>59.83</v>
      </c>
      <c r="AK549" s="466">
        <f t="array" aca="1" ref="AK549" ca="1">IF(INDEX(MO_SNA_IsHistoricalPeriod,1,COLUMN())=FALSE,0,INDEX(MO_SPT_StockHigh,1,COLUMN()))</f>
        <v>48.92</v>
      </c>
      <c r="AL549" s="466">
        <f t="array" aca="1" ref="AL549" ca="1">IF(INDEX(MO_SNA_IsHistoricalPeriod,1,COLUMN())=FALSE,0,INDEX(MO_SPT_StockHigh,1,COLUMN()))</f>
        <v>50.84</v>
      </c>
      <c r="AM549" s="466">
        <f t="array" aca="1" ref="AM549" ca="1">IF(INDEX(MO_SNA_IsHistoricalPeriod,1,COLUMN())=FALSE,0,INDEX(MO_SPT_StockHigh,1,COLUMN()))</f>
        <v>44.58</v>
      </c>
      <c r="AN549" s="466">
        <f t="array" aca="1" ref="AN549" ca="1">IF(INDEX(MO_SNA_IsHistoricalPeriod,1,COLUMN())=FALSE,0,INDEX(MO_SPT_StockHigh,1,COLUMN()))</f>
        <v>44.92</v>
      </c>
      <c r="AO549" s="467">
        <f t="array" aca="1" ref="AO549" ca="1">IF(INDEX(MO_SNA_IsHistoricalPeriod,1,COLUMN())=FALSE,0,INDEX(MO_SPT_StockHigh,1,COLUMN()))</f>
        <v>50.84</v>
      </c>
      <c r="AP549" s="466">
        <f t="array" aca="1" ref="AP549" ca="1">IF(INDEX(MO_SNA_IsHistoricalPeriod,1,COLUMN())=FALSE,0,INDEX(MO_SPT_StockHigh,1,COLUMN()))</f>
        <v>42.25</v>
      </c>
      <c r="AQ549" s="466">
        <f t="array" aca="1" ref="AQ549" ca="1">IF(INDEX(MO_SNA_IsHistoricalPeriod,1,COLUMN())=FALSE,0,INDEX(MO_SPT_StockHigh,1,COLUMN()))</f>
        <v>29.81</v>
      </c>
      <c r="AR549" s="466">
        <f t="array" aca="1" ref="AR549" ca="1">IF(INDEX(MO_SNA_IsHistoricalPeriod,1,COLUMN())=FALSE,0,INDEX(MO_SPT_StockHigh,1,COLUMN()))</f>
        <v>31.41</v>
      </c>
      <c r="AS549" s="466">
        <f t="array" aca="1" ref="AS549" ca="1">IF(INDEX(MO_SNA_IsHistoricalPeriod,1,COLUMN())=FALSE,0,INDEX(MO_SPT_StockHigh,1,COLUMN()))</f>
        <v>39.43</v>
      </c>
      <c r="AT549" s="467">
        <f t="array" aca="1" ref="AT549" ca="1">IF(INDEX(MO_SNA_IsHistoricalPeriod,1,COLUMN())=FALSE,0,INDEX(MO_SPT_StockHigh,1,COLUMN()))</f>
        <v>42.25</v>
      </c>
      <c r="AU549" s="466">
        <f t="array" aca="1" ref="AU549" ca="1">IF(INDEX(MO_SNA_IsHistoricalPeriod,1,COLUMN())=FALSE,0,INDEX(MO_SPT_StockHigh,1,COLUMN()))</f>
        <v>62.48</v>
      </c>
      <c r="AV549" s="466">
        <f t="array" aca="1" ref="AV549" ca="1">IF(INDEX(MO_SNA_IsHistoricalPeriod,1,COLUMN())=FALSE,0,INDEX(MO_SPT_StockHigh,1,COLUMN()))</f>
        <v>63.78</v>
      </c>
      <c r="AW549" s="466">
        <f t="array" aca="1" ref="AW549" ca="1">IF(INDEX(MO_SNA_IsHistoricalPeriod,1,COLUMN())=FALSE,0,INDEX(MO_SPT_StockHigh,1,COLUMN()))</f>
        <v>55.01</v>
      </c>
      <c r="AX549" s="466">
        <f t="array" aca="1" ref="AX549" ca="1">IF(INDEX(MO_SNA_IsHistoricalPeriod,1,COLUMN())=FALSE,0,INDEX(MO_SPT_StockHigh,1,COLUMN()))</f>
        <v>49.39</v>
      </c>
      <c r="AY549" s="467">
        <f t="array" aca="1" ref="AY549" ca="1">IF(INDEX(MO_SNA_IsHistoricalPeriod,1,COLUMN())=FALSE,0,INDEX(MO_SPT_StockHigh,1,COLUMN()))</f>
        <v>63.78</v>
      </c>
      <c r="AZ549" s="466">
        <f t="array" aca="1" ref="AZ549" ca="1">IF(INDEX(MO_SNA_IsHistoricalPeriod,1,COLUMN())=FALSE,0,INDEX(MO_SPT_StockHigh,1,COLUMN()))</f>
        <v>43.29</v>
      </c>
      <c r="BA549" s="466">
        <f t="array" aca="1" ref="BA549" ca="1">IF(INDEX(MO_SNA_IsHistoricalPeriod,1,COLUMN())=FALSE,0,INDEX(MO_SPT_StockHigh,1,COLUMN()))</f>
        <v>39.79</v>
      </c>
      <c r="BB549" s="466">
        <f t="array" aca="1" ref="BB549" ca="1">IF(INDEX(MO_SNA_IsHistoricalPeriod,1,COLUMN())=FALSE,0,INDEX(MO_SPT_StockHigh,1,COLUMN()))</f>
        <v>34.229999999999997</v>
      </c>
      <c r="BC549" s="466">
        <f t="array" aca="1" ref="BC549" ca="1">IF(INDEX(MO_SNA_IsHistoricalPeriod,1,COLUMN())=FALSE,0,INDEX(MO_SPT_StockHigh,1,COLUMN()))</f>
        <v>37.479999999999997</v>
      </c>
      <c r="BD549" s="467">
        <f t="array" aca="1" ref="BD549" ca="1">IF(INDEX(MO_SNA_IsHistoricalPeriod,1,COLUMN())=FALSE,0,INDEX(MO_SPT_StockHigh,1,COLUMN()))</f>
        <v>43.29</v>
      </c>
      <c r="BE549" s="468">
        <f t="array" aca="1" ref="BE549" ca="1">IF(INDEX(MO_SNA_IsHistoricalPeriod,1,COLUMN())=FALSE,0,INDEX(MO_SPT_StockHigh,1,COLUMN()))</f>
        <v>40.93</v>
      </c>
      <c r="BF549" s="468">
        <f t="array" aca="1" ref="BF549" ca="1">IF(INDEX(MO_SNA_IsHistoricalPeriod,1,COLUMN())=FALSE,0,INDEX(MO_SPT_StockHigh,1,COLUMN()))</f>
        <v>35.35</v>
      </c>
      <c r="BG549" s="468">
        <f t="array" aca="1" ref="BG549" ca="1">IF(INDEX(MO_SNA_IsHistoricalPeriod,1,COLUMN())=FALSE,0,INDEX(MO_SPT_StockHigh,1,COLUMN()))</f>
        <v>37.450000000000003</v>
      </c>
      <c r="BH549" s="468">
        <f t="array" aca="1" ref="BH549" ca="1">IF(INDEX(MO_SNA_IsHistoricalPeriod,1,COLUMN())=FALSE,0,INDEX(MO_SPT_StockHigh,1,COLUMN()))</f>
        <v>36.15</v>
      </c>
      <c r="BI549" s="469">
        <f t="array" aca="1" ref="BI549" ca="1">IF(INDEX(MO_SNA_IsHistoricalPeriod,1,COLUMN())=FALSE,0,INDEX(MO_SPT_StockHigh,1,COLUMN()))</f>
        <v>40.93</v>
      </c>
      <c r="BJ549" s="468">
        <f t="array" ref="BJ549">IF(INDEX(MO_SNA_IsHistoricalPeriod,1,COLUMN())=FALSE,0,INDEX(MO_SPT_StockHigh,1,COLUMN()))</f>
        <v>0</v>
      </c>
      <c r="BK549" s="468">
        <f t="array" ref="BK549">IF(INDEX(MO_SNA_IsHistoricalPeriod,1,COLUMN())=FALSE,0,INDEX(MO_SPT_StockHigh,1,COLUMN()))</f>
        <v>0</v>
      </c>
      <c r="BL549" s="468">
        <f t="array" ref="BL549">IF(INDEX(MO_SNA_IsHistoricalPeriod,1,COLUMN())=FALSE,0,INDEX(MO_SPT_StockHigh,1,COLUMN()))</f>
        <v>0</v>
      </c>
      <c r="BM549" s="468">
        <f t="array" ref="BM549">IF(INDEX(MO_SNA_IsHistoricalPeriod,1,COLUMN())=FALSE,0,INDEX(MO_SPT_StockHigh,1,COLUMN()))</f>
        <v>0</v>
      </c>
      <c r="BN549" s="467">
        <f t="array" ref="BN549">IF(INDEX(MO_SNA_IsHistoricalPeriod,1,COLUMN())=FALSE,0,INDEX(MO_SPT_StockHigh,1,COLUMN()))</f>
        <v>0</v>
      </c>
      <c r="BO549" s="468">
        <f t="array" ref="BO549">IF(INDEX(MO_SNA_IsHistoricalPeriod,1,COLUMN())=FALSE,0,INDEX(MO_SPT_StockHigh,1,COLUMN()))</f>
        <v>0</v>
      </c>
      <c r="BP549" s="468">
        <f t="array" ref="BP549">IF(INDEX(MO_SNA_IsHistoricalPeriod,1,COLUMN())=FALSE,0,INDEX(MO_SPT_StockHigh,1,COLUMN()))</f>
        <v>0</v>
      </c>
      <c r="BQ549" s="468">
        <f t="array" ref="BQ549">IF(INDEX(MO_SNA_IsHistoricalPeriod,1,COLUMN())=FALSE,0,INDEX(MO_SPT_StockHigh,1,COLUMN()))</f>
        <v>0</v>
      </c>
      <c r="BR549" s="468">
        <f t="array" ref="BR549">IF(INDEX(MO_SNA_IsHistoricalPeriod,1,COLUMN())=FALSE,0,INDEX(MO_SPT_StockHigh,1,COLUMN()))</f>
        <v>0</v>
      </c>
      <c r="BS549" s="467">
        <f t="array" ref="BS549">IF(INDEX(MO_SNA_IsHistoricalPeriod,1,COLUMN())=FALSE,0,INDEX(MO_SPT_StockHigh,1,COLUMN()))</f>
        <v>0</v>
      </c>
      <c r="BT549" s="467">
        <f t="array" ref="BT549">IF(INDEX(MO_SNA_IsHistoricalPeriod,1,COLUMN())=FALSE,0,INDEX(MO_SPT_StockHigh,1,COLUMN()))</f>
        <v>0</v>
      </c>
      <c r="BU549" s="467">
        <f t="array" ref="BU549">IF(INDEX(MO_SNA_IsHistoricalPeriod,1,COLUMN())=FALSE,0,INDEX(MO_SPT_StockHigh,1,COLUMN()))</f>
        <v>0</v>
      </c>
      <c r="BV549" s="467">
        <f t="array" ref="BV549">IF(INDEX(MO_SNA_IsHistoricalPeriod,1,COLUMN())=FALSE,0,INDEX(MO_SPT_StockHigh,1,COLUMN()))</f>
        <v>0</v>
      </c>
      <c r="BW549" s="470"/>
    </row>
    <row r="550" spans="1:75" ht="15.75" hidden="1" customHeight="1" outlineLevel="1" x14ac:dyDescent="0.2">
      <c r="A550" s="463" t="str">
        <f ca="1">"Stock Low, "&amp;HP.TradeCurrency</f>
        <v>Stock Low, USD</v>
      </c>
      <c r="B550" s="464"/>
      <c r="C550" s="465">
        <f t="array" aca="1" ref="C550" ca="1">IF(INDEX(MO_SNA_IsHistoricalPeriod,1,COLUMN())=FALSE,0,INDEX(MO_SPT_StockLow,1,COLUMN()))</f>
        <v>6.84</v>
      </c>
      <c r="D550" s="465">
        <f t="array" aca="1" ref="D550" ca="1">IF(INDEX(MO_SNA_IsHistoricalPeriod,1,COLUMN())=FALSE,0,INDEX(MO_SPT_StockLow,1,COLUMN()))</f>
        <v>20.75</v>
      </c>
      <c r="E550" s="465">
        <f t="array" aca="1" ref="E550" ca="1">IF(INDEX(MO_SNA_IsHistoricalPeriod,1,COLUMN())=FALSE,0,INDEX(MO_SPT_StockLow,1,COLUMN()))</f>
        <v>23.65</v>
      </c>
      <c r="F550" s="465">
        <f t="array" aca="1" ref="F550" ca="1">IF(INDEX(MO_SNA_IsHistoricalPeriod,1,COLUMN())=FALSE,0,INDEX(MO_SPT_StockLow,1,COLUMN()))</f>
        <v>28.58</v>
      </c>
      <c r="G550" s="466">
        <f t="array" aca="1" ref="G550" ca="1">IF(INDEX(MO_SNA_IsHistoricalPeriod,1,COLUMN())=FALSE,0,INDEX(MO_SPT_StockLow,1,COLUMN()))</f>
        <v>32.630000000000003</v>
      </c>
      <c r="H550" s="466">
        <f t="array" aca="1" ref="H550" ca="1">IF(INDEX(MO_SNA_IsHistoricalPeriod,1,COLUMN())=FALSE,0,INDEX(MO_SPT_StockLow,1,COLUMN()))</f>
        <v>36.9</v>
      </c>
      <c r="I550" s="466">
        <f t="array" aca="1" ref="I550" ca="1">IF(INDEX(MO_SNA_IsHistoricalPeriod,1,COLUMN())=FALSE,0,INDEX(MO_SPT_StockLow,1,COLUMN()))</f>
        <v>39.86</v>
      </c>
      <c r="J550" s="466">
        <f t="array" aca="1" ref="J550" ca="1">IF(INDEX(MO_SNA_IsHistoricalPeriod,1,COLUMN())=FALSE,0,INDEX(MO_SPT_StockLow,1,COLUMN()))</f>
        <v>42.03</v>
      </c>
      <c r="K550" s="465">
        <f t="array" aca="1" ref="K550" ca="1">IF(INDEX(MO_SNA_IsHistoricalPeriod,1,COLUMN())=FALSE,0,INDEX(MO_SPT_StockLow,1,COLUMN()))</f>
        <v>32.630000000000003</v>
      </c>
      <c r="L550" s="466">
        <f t="array" aca="1" ref="L550" ca="1">IF(INDEX(MO_SNA_IsHistoricalPeriod,1,COLUMN())=FALSE,0,INDEX(MO_SPT_StockLow,1,COLUMN()))</f>
        <v>42.73</v>
      </c>
      <c r="M550" s="466">
        <f t="array" aca="1" ref="M550" ca="1">IF(INDEX(MO_SNA_IsHistoricalPeriod,1,COLUMN())=FALSE,0,INDEX(MO_SPT_StockLow,1,COLUMN()))</f>
        <v>43.58</v>
      </c>
      <c r="N550" s="466">
        <f t="array" aca="1" ref="N550" ca="1">IF(INDEX(MO_SNA_IsHistoricalPeriod,1,COLUMN())=FALSE,0,INDEX(MO_SPT_StockLow,1,COLUMN()))</f>
        <v>42.54</v>
      </c>
      <c r="O550" s="466">
        <f t="array" aca="1" ref="O550" ca="1">IF(INDEX(MO_SNA_IsHistoricalPeriod,1,COLUMN())=FALSE,0,INDEX(MO_SPT_StockLow,1,COLUMN()))</f>
        <v>42</v>
      </c>
      <c r="P550" s="465">
        <f t="array" aca="1" ref="P550" ca="1">IF(INDEX(MO_SNA_IsHistoricalPeriod,1,COLUMN())=FALSE,0,INDEX(MO_SPT_StockLow,1,COLUMN()))</f>
        <v>42</v>
      </c>
      <c r="Q550" s="466">
        <f t="array" aca="1" ref="Q550" ca="1">IF(INDEX(MO_SNA_IsHistoricalPeriod,1,COLUMN())=FALSE,0,INDEX(MO_SPT_StockLow,1,COLUMN()))</f>
        <v>46.52</v>
      </c>
      <c r="R550" s="466">
        <f t="array" aca="1" ref="R550" ca="1">IF(INDEX(MO_SNA_IsHistoricalPeriod,1,COLUMN())=FALSE,0,INDEX(MO_SPT_StockLow,1,COLUMN()))</f>
        <v>47.91</v>
      </c>
      <c r="S550" s="466">
        <f t="array" aca="1" ref="S550" ca="1">IF(INDEX(MO_SNA_IsHistoricalPeriod,1,COLUMN())=FALSE,0,INDEX(MO_SPT_StockLow,1,COLUMN()))</f>
        <v>50.02</v>
      </c>
      <c r="T550" s="466">
        <f t="array" aca="1" ref="T550" ca="1">IF(INDEX(MO_SNA_IsHistoricalPeriod,1,COLUMN())=FALSE,0,INDEX(MO_SPT_StockLow,1,COLUMN()))</f>
        <v>45.17</v>
      </c>
      <c r="U550" s="465">
        <f t="array" aca="1" ref="U550" ca="1">IF(INDEX(MO_SNA_IsHistoricalPeriod,1,COLUMN())=FALSE,0,INDEX(MO_SPT_StockLow,1,COLUMN()))</f>
        <v>45.17</v>
      </c>
      <c r="V550" s="466">
        <f t="array" aca="1" ref="V550" ca="1">IF(INDEX(MO_SNA_IsHistoricalPeriod,1,COLUMN())=FALSE,0,INDEX(MO_SPT_StockLow,1,COLUMN()))</f>
        <v>44.16</v>
      </c>
      <c r="W550" s="466">
        <f t="array" aca="1" ref="W550" ca="1">IF(INDEX(MO_SNA_IsHistoricalPeriod,1,COLUMN())=FALSE,0,INDEX(MO_SPT_StockLow,1,COLUMN()))</f>
        <v>46.93</v>
      </c>
      <c r="X550" s="466">
        <f t="array" aca="1" ref="X550" ca="1">IF(INDEX(MO_SNA_IsHistoricalPeriod,1,COLUMN())=FALSE,0,INDEX(MO_SPT_StockLow,1,COLUMN()))</f>
        <v>47.11</v>
      </c>
      <c r="Y550" s="466">
        <f t="array" aca="1" ref="Y550" ca="1">IF(INDEX(MO_SNA_IsHistoricalPeriod,1,COLUMN())=FALSE,0,INDEX(MO_SPT_StockLow,1,COLUMN()))</f>
        <v>48.99</v>
      </c>
      <c r="Z550" s="467">
        <f t="array" aca="1" ref="Z550" ca="1">IF(INDEX(MO_SNA_IsHistoricalPeriod,1,COLUMN())=FALSE,0,INDEX(MO_SPT_StockLow,1,COLUMN()))</f>
        <v>44.16</v>
      </c>
      <c r="AA550" s="466">
        <f t="array" aca="1" ref="AA550" ca="1">IF(INDEX(MO_SNA_IsHistoricalPeriod,1,COLUMN())=FALSE,0,INDEX(MO_SPT_StockLow,1,COLUMN()))</f>
        <v>58.07</v>
      </c>
      <c r="AB550" s="466">
        <f t="array" aca="1" ref="AB550" ca="1">IF(INDEX(MO_SNA_IsHistoricalPeriod,1,COLUMN())=FALSE,0,INDEX(MO_SPT_StockLow,1,COLUMN()))</f>
        <v>49.56</v>
      </c>
      <c r="AC550" s="466">
        <f t="array" aca="1" ref="AC550" ca="1">IF(INDEX(MO_SNA_IsHistoricalPeriod,1,COLUMN())=FALSE,0,INDEX(MO_SPT_StockLow,1,COLUMN()))</f>
        <v>38.340000000000003</v>
      </c>
      <c r="AD550" s="466">
        <f t="array" aca="1" ref="AD550" ca="1">IF(INDEX(MO_SNA_IsHistoricalPeriod,1,COLUMN())=FALSE,0,INDEX(MO_SPT_StockLow,1,COLUMN()))</f>
        <v>40.82</v>
      </c>
      <c r="AE550" s="467">
        <f t="array" aca="1" ref="AE550" ca="1">IF(INDEX(MO_SNA_IsHistoricalPeriod,1,COLUMN())=FALSE,0,INDEX(MO_SPT_StockLow,1,COLUMN()))</f>
        <v>38.340000000000003</v>
      </c>
      <c r="AF550" s="466">
        <f t="array" aca="1" ref="AF550" ca="1">IF(INDEX(MO_SNA_IsHistoricalPeriod,1,COLUMN())=FALSE,0,INDEX(MO_SPT_StockLow,1,COLUMN()))</f>
        <v>44.5</v>
      </c>
      <c r="AG550" s="466">
        <f t="array" aca="1" ref="AG550" ca="1">IF(INDEX(MO_SNA_IsHistoricalPeriod,1,COLUMN())=FALSE,0,INDEX(MO_SPT_StockLow,1,COLUMN()))</f>
        <v>50.01</v>
      </c>
      <c r="AH550" s="466">
        <f t="array" aca="1" ref="AH550" ca="1">IF(INDEX(MO_SNA_IsHistoricalPeriod,1,COLUMN())=FALSE,0,INDEX(MO_SPT_StockLow,1,COLUMN()))</f>
        <v>49.06</v>
      </c>
      <c r="AI550" s="466">
        <f t="array" aca="1" ref="AI550" ca="1">IF(INDEX(MO_SNA_IsHistoricalPeriod,1,COLUMN())=FALSE,0,INDEX(MO_SPT_StockLow,1,COLUMN()))</f>
        <v>42.25</v>
      </c>
      <c r="AJ550" s="467">
        <f t="array" aca="1" ref="AJ550" ca="1">IF(INDEX(MO_SNA_IsHistoricalPeriod,1,COLUMN())=FALSE,0,INDEX(MO_SPT_StockLow,1,COLUMN()))</f>
        <v>42.25</v>
      </c>
      <c r="AK550" s="466">
        <f t="array" aca="1" ref="AK550" ca="1">IF(INDEX(MO_SNA_IsHistoricalPeriod,1,COLUMN())=FALSE,0,INDEX(MO_SPT_StockLow,1,COLUMN()))</f>
        <v>42.06</v>
      </c>
      <c r="AL550" s="466">
        <f t="array" aca="1" ref="AL550" ca="1">IF(INDEX(MO_SNA_IsHistoricalPeriod,1,COLUMN())=FALSE,0,INDEX(MO_SPT_StockLow,1,COLUMN()))</f>
        <v>42.96</v>
      </c>
      <c r="AM550" s="466">
        <f t="array" aca="1" ref="AM550" ca="1">IF(INDEX(MO_SNA_IsHistoricalPeriod,1,COLUMN())=FALSE,0,INDEX(MO_SPT_StockLow,1,COLUMN()))</f>
        <v>35.9</v>
      </c>
      <c r="AN550" s="466">
        <f t="array" aca="1" ref="AN550" ca="1">IF(INDEX(MO_SNA_IsHistoricalPeriod,1,COLUMN())=FALSE,0,INDEX(MO_SPT_StockLow,1,COLUMN()))</f>
        <v>37.950000000000003</v>
      </c>
      <c r="AO550" s="467">
        <f t="array" aca="1" ref="AO550" ca="1">IF(INDEX(MO_SNA_IsHistoricalPeriod,1,COLUMN())=FALSE,0,INDEX(MO_SPT_StockLow,1,COLUMN()))</f>
        <v>35.9</v>
      </c>
      <c r="AP550" s="466">
        <f t="array" aca="1" ref="AP550" ca="1">IF(INDEX(MO_SNA_IsHistoricalPeriod,1,COLUMN())=FALSE,0,INDEX(MO_SPT_StockLow,1,COLUMN()))</f>
        <v>15.71</v>
      </c>
      <c r="AQ550" s="466">
        <f t="array" aca="1" ref="AQ550" ca="1">IF(INDEX(MO_SNA_IsHistoricalPeriod,1,COLUMN())=FALSE,0,INDEX(MO_SPT_StockLow,1,COLUMN()))</f>
        <v>15.1</v>
      </c>
      <c r="AR550" s="466">
        <f t="array" aca="1" ref="AR550" ca="1">IF(INDEX(MO_SNA_IsHistoricalPeriod,1,COLUMN())=FALSE,0,INDEX(MO_SPT_StockLow,1,COLUMN()))</f>
        <v>20.57</v>
      </c>
      <c r="AS550" s="466">
        <f t="array" aca="1" ref="AS550" ca="1">IF(INDEX(MO_SNA_IsHistoricalPeriod,1,COLUMN())=FALSE,0,INDEX(MO_SPT_StockLow,1,COLUMN()))</f>
        <v>27.74</v>
      </c>
      <c r="AT550" s="467">
        <f t="array" aca="1" ref="AT550" ca="1">IF(INDEX(MO_SNA_IsHistoricalPeriod,1,COLUMN())=FALSE,0,INDEX(MO_SPT_StockLow,1,COLUMN()))</f>
        <v>15.1</v>
      </c>
      <c r="AU550" s="466">
        <f t="array" aca="1" ref="AU550" ca="1">IF(INDEX(MO_SNA_IsHistoricalPeriod,1,COLUMN())=FALSE,0,INDEX(MO_SPT_StockLow,1,COLUMN()))</f>
        <v>35.409999999999997</v>
      </c>
      <c r="AV550" s="466">
        <f t="array" aca="1" ref="AV550" ca="1">IF(INDEX(MO_SNA_IsHistoricalPeriod,1,COLUMN())=FALSE,0,INDEX(MO_SPT_StockLow,1,COLUMN()))</f>
        <v>51.72</v>
      </c>
      <c r="AW550" s="466">
        <f t="array" aca="1" ref="AW550" ca="1">IF(INDEX(MO_SNA_IsHistoricalPeriod,1,COLUMN())=FALSE,0,INDEX(MO_SPT_StockLow,1,COLUMN()))</f>
        <v>41.44</v>
      </c>
      <c r="AX550" s="466">
        <f t="array" aca="1" ref="AX550" ca="1">IF(INDEX(MO_SNA_IsHistoricalPeriod,1,COLUMN())=FALSE,0,INDEX(MO_SPT_StockLow,1,COLUMN()))</f>
        <v>36.840000000000003</v>
      </c>
      <c r="AY550" s="467">
        <f t="array" aca="1" ref="AY550" ca="1">IF(INDEX(MO_SNA_IsHistoricalPeriod,1,COLUMN())=FALSE,0,INDEX(MO_SPT_StockLow,1,COLUMN()))</f>
        <v>35.409999999999997</v>
      </c>
      <c r="AZ550" s="466">
        <f t="array" aca="1" ref="AZ550" ca="1">IF(INDEX(MO_SNA_IsHistoricalPeriod,1,COLUMN())=FALSE,0,INDEX(MO_SPT_StockLow,1,COLUMN()))</f>
        <v>32.25</v>
      </c>
      <c r="BA550" s="466">
        <f t="array" aca="1" ref="BA550" ca="1">IF(INDEX(MO_SNA_IsHistoricalPeriod,1,COLUMN())=FALSE,0,INDEX(MO_SPT_StockLow,1,COLUMN()))</f>
        <v>26.84</v>
      </c>
      <c r="BB550" s="466">
        <f t="array" aca="1" ref="BB550" ca="1">IF(INDEX(MO_SNA_IsHistoricalPeriod,1,COLUMN())=FALSE,0,INDEX(MO_SPT_StockLow,1,COLUMN()))</f>
        <v>26.42</v>
      </c>
      <c r="BC550" s="466">
        <f t="array" aca="1" ref="BC550" ca="1">IF(INDEX(MO_SNA_IsHistoricalPeriod,1,COLUMN())=FALSE,0,INDEX(MO_SPT_StockLow,1,COLUMN()))</f>
        <v>29.1</v>
      </c>
      <c r="BD550" s="467">
        <f t="array" aca="1" ref="BD550" ca="1">IF(INDEX(MO_SNA_IsHistoricalPeriod,1,COLUMN())=FALSE,0,INDEX(MO_SPT_StockLow,1,COLUMN()))</f>
        <v>26.42</v>
      </c>
      <c r="BE550" s="468">
        <f t="array" aca="1" ref="BE550" ca="1">IF(INDEX(MO_SNA_IsHistoricalPeriod,1,COLUMN())=FALSE,0,INDEX(MO_SPT_StockLow,1,COLUMN()))</f>
        <v>33.85</v>
      </c>
      <c r="BF550" s="468">
        <f t="array" aca="1" ref="BF550" ca="1">IF(INDEX(MO_SNA_IsHistoricalPeriod,1,COLUMN())=FALSE,0,INDEX(MO_SPT_StockLow,1,COLUMN()))</f>
        <v>31.18</v>
      </c>
      <c r="BG550" s="468">
        <f t="array" aca="1" ref="BG550" ca="1">IF(INDEX(MO_SNA_IsHistoricalPeriod,1,COLUMN())=FALSE,0,INDEX(MO_SPT_StockLow,1,COLUMN()))</f>
        <v>28.59</v>
      </c>
      <c r="BH550" s="468">
        <f t="array" aca="1" ref="BH550" ca="1">IF(INDEX(MO_SNA_IsHistoricalPeriod,1,COLUMN())=FALSE,0,INDEX(MO_SPT_StockLow,1,COLUMN()))</f>
        <v>28.99</v>
      </c>
      <c r="BI550" s="469">
        <f t="array" aca="1" ref="BI550" ca="1">IF(INDEX(MO_SNA_IsHistoricalPeriod,1,COLUMN())=FALSE,0,INDEX(MO_SPT_StockLow,1,COLUMN()))</f>
        <v>28.59</v>
      </c>
      <c r="BJ550" s="468">
        <f t="array" ref="BJ550">IF(INDEX(MO_SNA_IsHistoricalPeriod,1,COLUMN())=FALSE,0,INDEX(MO_SPT_StockLow,1,COLUMN()))</f>
        <v>0</v>
      </c>
      <c r="BK550" s="468">
        <f t="array" ref="BK550">IF(INDEX(MO_SNA_IsHistoricalPeriod,1,COLUMN())=FALSE,0,INDEX(MO_SPT_StockLow,1,COLUMN()))</f>
        <v>0</v>
      </c>
      <c r="BL550" s="468">
        <f t="array" ref="BL550">IF(INDEX(MO_SNA_IsHistoricalPeriod,1,COLUMN())=FALSE,0,INDEX(MO_SPT_StockLow,1,COLUMN()))</f>
        <v>0</v>
      </c>
      <c r="BM550" s="468">
        <f t="array" ref="BM550">IF(INDEX(MO_SNA_IsHistoricalPeriod,1,COLUMN())=FALSE,0,INDEX(MO_SPT_StockLow,1,COLUMN()))</f>
        <v>0</v>
      </c>
      <c r="BN550" s="467">
        <f t="array" ref="BN550">IF(INDEX(MO_SNA_IsHistoricalPeriod,1,COLUMN())=FALSE,0,INDEX(MO_SPT_StockLow,1,COLUMN()))</f>
        <v>0</v>
      </c>
      <c r="BO550" s="468">
        <f t="array" ref="BO550">IF(INDEX(MO_SNA_IsHistoricalPeriod,1,COLUMN())=FALSE,0,INDEX(MO_SPT_StockLow,1,COLUMN()))</f>
        <v>0</v>
      </c>
      <c r="BP550" s="468">
        <f t="array" ref="BP550">IF(INDEX(MO_SNA_IsHistoricalPeriod,1,COLUMN())=FALSE,0,INDEX(MO_SPT_StockLow,1,COLUMN()))</f>
        <v>0</v>
      </c>
      <c r="BQ550" s="468">
        <f t="array" ref="BQ550">IF(INDEX(MO_SNA_IsHistoricalPeriod,1,COLUMN())=FALSE,0,INDEX(MO_SPT_StockLow,1,COLUMN()))</f>
        <v>0</v>
      </c>
      <c r="BR550" s="468">
        <f t="array" ref="BR550">IF(INDEX(MO_SNA_IsHistoricalPeriod,1,COLUMN())=FALSE,0,INDEX(MO_SPT_StockLow,1,COLUMN()))</f>
        <v>0</v>
      </c>
      <c r="BS550" s="467">
        <f t="array" ref="BS550">IF(INDEX(MO_SNA_IsHistoricalPeriod,1,COLUMN())=FALSE,0,INDEX(MO_SPT_StockLow,1,COLUMN()))</f>
        <v>0</v>
      </c>
      <c r="BT550" s="467">
        <f t="array" ref="BT550">IF(INDEX(MO_SNA_IsHistoricalPeriod,1,COLUMN())=FALSE,0,INDEX(MO_SPT_StockLow,1,COLUMN()))</f>
        <v>0</v>
      </c>
      <c r="BU550" s="467">
        <f t="array" ref="BU550">IF(INDEX(MO_SNA_IsHistoricalPeriod,1,COLUMN())=FALSE,0,INDEX(MO_SPT_StockLow,1,COLUMN()))</f>
        <v>0</v>
      </c>
      <c r="BV550" s="467">
        <f t="array" ref="BV550">IF(INDEX(MO_SNA_IsHistoricalPeriod,1,COLUMN())=FALSE,0,INDEX(MO_SPT_StockLow,1,COLUMN()))</f>
        <v>0</v>
      </c>
      <c r="BW550" s="470"/>
    </row>
    <row r="551" spans="1:75" ht="15.75" hidden="1" customHeight="1" outlineLevel="1" x14ac:dyDescent="0.2">
      <c r="A551" s="463" t="str">
        <f ca="1">"Stock Average, "&amp;HP.TradeCurrency</f>
        <v>Stock Average, USD</v>
      </c>
      <c r="B551" s="464"/>
      <c r="C551" s="465">
        <f t="array" aca="1" ref="C551" ca="1">IF(INDEX(MO_SNA_IsHistoricalPeriod,1,COLUMN())=FALSE,0,INDEX(MO_SPT_StockAverage,1,COLUMN()))</f>
        <v>15.776249999999999</v>
      </c>
      <c r="D551" s="465">
        <f t="array" aca="1" ref="D551" ca="1">IF(INDEX(MO_SNA_IsHistoricalPeriod,1,COLUMN())=FALSE,0,INDEX(MO_SPT_StockAverage,1,COLUMN()))</f>
        <v>26.27375</v>
      </c>
      <c r="E551" s="465">
        <f t="array" aca="1" ref="E551" ca="1">IF(INDEX(MO_SNA_IsHistoricalPeriod,1,COLUMN())=FALSE,0,INDEX(MO_SPT_StockAverage,1,COLUMN()))</f>
        <v>28.997499999999999</v>
      </c>
      <c r="F551" s="465">
        <f t="array" aca="1" ref="F551" ca="1">IF(INDEX(MO_SNA_IsHistoricalPeriod,1,COLUMN())=FALSE,0,INDEX(MO_SPT_StockAverage,1,COLUMN()))</f>
        <v>32.178750000000001</v>
      </c>
      <c r="G551" s="466">
        <f t="array" aca="1" ref="G551" ca="1">IF(INDEX(MO_SNA_IsHistoricalPeriod,1,COLUMN())=FALSE,0,INDEX(MO_SPT_StockAverage,1,COLUMN()))</f>
        <v>35.67</v>
      </c>
      <c r="H551" s="466">
        <f t="array" aca="1" ref="H551" ca="1">IF(INDEX(MO_SNA_IsHistoricalPeriod,1,COLUMN())=FALSE,0,INDEX(MO_SPT_StockAverage,1,COLUMN()))</f>
        <v>39.765000000000001</v>
      </c>
      <c r="I551" s="466">
        <f t="array" aca="1" ref="I551" ca="1">IF(INDEX(MO_SNA_IsHistoricalPeriod,1,COLUMN())=FALSE,0,INDEX(MO_SPT_StockAverage,1,COLUMN()))</f>
        <v>42.325000000000003</v>
      </c>
      <c r="J551" s="466">
        <f t="array" aca="1" ref="J551" ca="1">IF(INDEX(MO_SNA_IsHistoricalPeriod,1,COLUMN())=FALSE,0,INDEX(MO_SPT_StockAverage,1,COLUMN()))</f>
        <v>45.884999999999998</v>
      </c>
      <c r="K551" s="465">
        <f t="array" aca="1" ref="K551" ca="1">IF(INDEX(MO_SNA_IsHistoricalPeriod,1,COLUMN())=FALSE,0,INDEX(MO_SPT_StockAverage,1,COLUMN()))</f>
        <v>40.911250000000003</v>
      </c>
      <c r="L551" s="466">
        <f t="array" aca="1" ref="L551" ca="1">IF(INDEX(MO_SNA_IsHistoricalPeriod,1,COLUMN())=FALSE,0,INDEX(MO_SPT_StockAverage,1,COLUMN()))</f>
        <v>45.97</v>
      </c>
      <c r="M551" s="466">
        <f t="array" aca="1" ref="M551" ca="1">IF(INDEX(MO_SNA_IsHistoricalPeriod,1,COLUMN())=FALSE,0,INDEX(MO_SPT_StockAverage,1,COLUMN()))</f>
        <v>46.34</v>
      </c>
      <c r="N551" s="466">
        <f t="array" aca="1" ref="N551" ca="1">IF(INDEX(MO_SNA_IsHistoricalPeriod,1,COLUMN())=FALSE,0,INDEX(MO_SPT_StockAverage,1,COLUMN()))</f>
        <v>44.814999999999998</v>
      </c>
      <c r="O551" s="466">
        <f t="array" aca="1" ref="O551" ca="1">IF(INDEX(MO_SNA_IsHistoricalPeriod,1,COLUMN())=FALSE,0,INDEX(MO_SPT_StockAverage,1,COLUMN()))</f>
        <v>46.725000000000001</v>
      </c>
      <c r="P551" s="465">
        <f t="array" aca="1" ref="P551" ca="1">IF(INDEX(MO_SNA_IsHistoricalPeriod,1,COLUMN())=FALSE,0,INDEX(MO_SPT_StockAverage,1,COLUMN()))</f>
        <v>45.962499999999999</v>
      </c>
      <c r="Q551" s="466">
        <f t="array" aca="1" ref="Q551" ca="1">IF(INDEX(MO_SNA_IsHistoricalPeriod,1,COLUMN())=FALSE,0,INDEX(MO_SPT_StockAverage,1,COLUMN()))</f>
        <v>50.835000000000001</v>
      </c>
      <c r="R551" s="466">
        <f t="array" aca="1" ref="R551" ca="1">IF(INDEX(MO_SNA_IsHistoricalPeriod,1,COLUMN())=FALSE,0,INDEX(MO_SPT_StockAverage,1,COLUMN()))</f>
        <v>51.695</v>
      </c>
      <c r="S551" s="466">
        <f t="array" aca="1" ref="S551" ca="1">IF(INDEX(MO_SNA_IsHistoricalPeriod,1,COLUMN())=FALSE,0,INDEX(MO_SPT_StockAverage,1,COLUMN()))</f>
        <v>54.44</v>
      </c>
      <c r="T551" s="466">
        <f t="array" aca="1" ref="T551" ca="1">IF(INDEX(MO_SNA_IsHistoricalPeriod,1,COLUMN())=FALSE,0,INDEX(MO_SPT_StockAverage,1,COLUMN()))</f>
        <v>50.35</v>
      </c>
      <c r="U551" s="465">
        <f t="array" aca="1" ref="U551" ca="1">IF(INDEX(MO_SNA_IsHistoricalPeriod,1,COLUMN())=FALSE,0,INDEX(MO_SPT_StockAverage,1,COLUMN()))</f>
        <v>51.83</v>
      </c>
      <c r="V551" s="466">
        <f t="array" aca="1" ref="V551" ca="1">IF(INDEX(MO_SNA_IsHistoricalPeriod,1,COLUMN())=FALSE,0,INDEX(MO_SPT_StockAverage,1,COLUMN()))</f>
        <v>49.145000000000003</v>
      </c>
      <c r="W551" s="466">
        <f t="array" aca="1" ref="W551" ca="1">IF(INDEX(MO_SNA_IsHistoricalPeriod,1,COLUMN())=FALSE,0,INDEX(MO_SPT_StockAverage,1,COLUMN()))</f>
        <v>50.31</v>
      </c>
      <c r="X551" s="466">
        <f t="array" aca="1" ref="X551" ca="1">IF(INDEX(MO_SNA_IsHistoricalPeriod,1,COLUMN())=FALSE,0,INDEX(MO_SPT_StockAverage,1,COLUMN()))</f>
        <v>50.18</v>
      </c>
      <c r="Y551" s="466">
        <f t="array" aca="1" ref="Y551" ca="1">IF(INDEX(MO_SNA_IsHistoricalPeriod,1,COLUMN())=FALSE,0,INDEX(MO_SPT_StockAverage,1,COLUMN()))</f>
        <v>56.7</v>
      </c>
      <c r="Z551" s="467">
        <f t="array" aca="1" ref="Z551" ca="1">IF(INDEX(MO_SNA_IsHistoricalPeriod,1,COLUMN())=FALSE,0,INDEX(MO_SPT_StockAverage,1,COLUMN()))</f>
        <v>51.583750000000002</v>
      </c>
      <c r="AA551" s="466">
        <f t="array" aca="1" ref="AA551" ca="1">IF(INDEX(MO_SNA_IsHistoricalPeriod,1,COLUMN())=FALSE,0,INDEX(MO_SPT_StockAverage,1,COLUMN()))</f>
        <v>60.9</v>
      </c>
      <c r="AB551" s="466">
        <f t="array" aca="1" ref="AB551" ca="1">IF(INDEX(MO_SNA_IsHistoricalPeriod,1,COLUMN())=FALSE,0,INDEX(MO_SPT_StockAverage,1,COLUMN()))</f>
        <v>58.35</v>
      </c>
      <c r="AC551" s="466">
        <f t="array" aca="1" ref="AC551" ca="1">IF(INDEX(MO_SNA_IsHistoricalPeriod,1,COLUMN())=FALSE,0,INDEX(MO_SPT_StockAverage,1,COLUMN()))</f>
        <v>44.625</v>
      </c>
      <c r="AD551" s="466">
        <f t="array" aca="1" ref="AD551" ca="1">IF(INDEX(MO_SNA_IsHistoricalPeriod,1,COLUMN())=FALSE,0,INDEX(MO_SPT_StockAverage,1,COLUMN()))</f>
        <v>45.945</v>
      </c>
      <c r="AE551" s="467">
        <f t="array" aca="1" ref="AE551" ca="1">IF(INDEX(MO_SNA_IsHistoricalPeriod,1,COLUMN())=FALSE,0,INDEX(MO_SPT_StockAverage,1,COLUMN()))</f>
        <v>52.454999999999998</v>
      </c>
      <c r="AF551" s="466">
        <f t="array" aca="1" ref="AF551" ca="1">IF(INDEX(MO_SNA_IsHistoricalPeriod,1,COLUMN())=FALSE,0,INDEX(MO_SPT_StockAverage,1,COLUMN()))</f>
        <v>48.005000000000003</v>
      </c>
      <c r="AG551" s="466">
        <f t="array" aca="1" ref="AG551" ca="1">IF(INDEX(MO_SNA_IsHistoricalPeriod,1,COLUMN())=FALSE,0,INDEX(MO_SPT_StockAverage,1,COLUMN()))</f>
        <v>53.187734374999998</v>
      </c>
      <c r="AH551" s="466">
        <f t="array" aca="1" ref="AH551" ca="1">IF(INDEX(MO_SNA_IsHistoricalPeriod,1,COLUMN())=FALSE,0,INDEX(MO_SPT_StockAverage,1,COLUMN()))</f>
        <v>53.935873015873</v>
      </c>
      <c r="AI551" s="466">
        <f t="array" aca="1" ref="AI551" ca="1">IF(INDEX(MO_SNA_IsHistoricalPeriod,1,COLUMN())=FALSE,0,INDEX(MO_SPT_StockAverage,1,COLUMN()))</f>
        <v>48.3427868852459</v>
      </c>
      <c r="AJ551" s="467">
        <f t="array" aca="1" ref="AJ551" ca="1">IF(INDEX(MO_SNA_IsHistoricalPeriod,1,COLUMN())=FALSE,0,INDEX(MO_SPT_StockAverage,1,COLUMN()))</f>
        <v>50.90878</v>
      </c>
      <c r="AK551" s="466">
        <f t="array" aca="1" ref="AK551" ca="1">IF(INDEX(MO_SNA_IsHistoricalPeriod,1,COLUMN())=FALSE,0,INDEX(MO_SPT_StockAverage,1,COLUMN()))</f>
        <v>46.049206349206301</v>
      </c>
      <c r="AL551" s="466">
        <f t="array" aca="1" ref="AL551" ca="1">IF(INDEX(MO_SNA_IsHistoricalPeriod,1,COLUMN())=FALSE,0,INDEX(MO_SPT_StockAverage,1,COLUMN()))</f>
        <v>46.5426984126984</v>
      </c>
      <c r="AM551" s="466">
        <f t="array" aca="1" ref="AM551" ca="1">IF(INDEX(MO_SNA_IsHistoricalPeriod,1,COLUMN())=FALSE,0,INDEX(MO_SPT_StockAverage,1,COLUMN()))</f>
        <v>41.0833333333333</v>
      </c>
      <c r="AN551" s="466">
        <f t="array" aca="1" ref="AN551" ca="1">IF(INDEX(MO_SNA_IsHistoricalPeriod,1,COLUMN())=FALSE,0,INDEX(MO_SPT_StockAverage,1,COLUMN()))</f>
        <v>41.2253968253968</v>
      </c>
      <c r="AO551" s="467">
        <f t="array" aca="1" ref="AO551" ca="1">IF(INDEX(MO_SNA_IsHistoricalPeriod,1,COLUMN())=FALSE,0,INDEX(MO_SPT_StockAverage,1,COLUMN()))</f>
        <v>43.725158730158697</v>
      </c>
      <c r="AP551" s="466">
        <f t="array" aca="1" ref="AP551" ca="1">IF(INDEX(MO_SNA_IsHistoricalPeriod,1,COLUMN())=FALSE,0,INDEX(MO_SPT_StockAverage,1,COLUMN()))</f>
        <v>33.687177419354803</v>
      </c>
      <c r="AQ551" s="466">
        <f t="array" aca="1" ref="AQ551" ca="1">IF(INDEX(MO_SNA_IsHistoricalPeriod,1,COLUMN())=FALSE,0,INDEX(MO_SPT_StockAverage,1,COLUMN()))</f>
        <v>21.038809523809501</v>
      </c>
      <c r="AR551" s="466">
        <f t="array" aca="1" ref="AR551" ca="1">IF(INDEX(MO_SNA_IsHistoricalPeriod,1,COLUMN())=FALSE,0,INDEX(MO_SPT_StockAverage,1,COLUMN()))</f>
        <v>26.2019047619048</v>
      </c>
      <c r="AS551" s="466">
        <f t="array" aca="1" ref="AS551" ca="1">IF(INDEX(MO_SNA_IsHistoricalPeriod,1,COLUMN())=FALSE,0,INDEX(MO_SPT_StockAverage,1,COLUMN()))</f>
        <v>34.122222222222199</v>
      </c>
      <c r="AT551" s="467">
        <f t="array" aca="1" ref="AT551" ca="1">IF(INDEX(MO_SNA_IsHistoricalPeriod,1,COLUMN())=FALSE,0,INDEX(MO_SPT_StockAverage,1,COLUMN()))</f>
        <v>28.7429083665339</v>
      </c>
      <c r="AU551" s="466">
        <f t="array" aca="1" ref="AU551" ca="1">IF(INDEX(MO_SNA_IsHistoricalPeriod,1,COLUMN())=FALSE,0,INDEX(MO_SPT_StockAverage,1,COLUMN()))</f>
        <v>50.0092741935484</v>
      </c>
      <c r="AV551" s="466">
        <f t="array" aca="1" ref="AV551" ca="1">IF(INDEX(MO_SNA_IsHistoricalPeriod,1,COLUMN())=FALSE,0,INDEX(MO_SPT_StockAverage,1,COLUMN()))</f>
        <v>57.88</v>
      </c>
      <c r="AW551" s="466">
        <f t="array" aca="1" ref="AW551" ca="1">IF(INDEX(MO_SNA_IsHistoricalPeriod,1,COLUMN())=FALSE,0,INDEX(MO_SPT_StockAverage,1,COLUMN()))</f>
        <v>47.073333333333302</v>
      </c>
      <c r="AX551" s="466">
        <f t="array" aca="1" ref="AX551" ca="1">IF(INDEX(MO_SNA_IsHistoricalPeriod,1,COLUMN())=FALSE,0,INDEX(MO_SPT_StockAverage,1,COLUMN()))</f>
        <v>42.410158730158699</v>
      </c>
      <c r="AY551" s="467">
        <f t="array" aca="1" ref="AY551" ca="1">IF(INDEX(MO_SNA_IsHistoricalPeriod,1,COLUMN())=FALSE,0,INDEX(MO_SPT_StockAverage,1,COLUMN()))</f>
        <v>49.335278884462198</v>
      </c>
      <c r="AZ551" s="466">
        <f t="array" aca="1" ref="AZ551" ca="1">IF(INDEX(MO_SNA_IsHistoricalPeriod,1,COLUMN())=FALSE,0,INDEX(MO_SPT_StockAverage,1,COLUMN()))</f>
        <v>38.207460317460303</v>
      </c>
      <c r="BA551" s="466">
        <f t="array" aca="1" ref="BA551" ca="1">IF(INDEX(MO_SNA_IsHistoricalPeriod,1,COLUMN())=FALSE,0,INDEX(MO_SPT_StockAverage,1,COLUMN()))</f>
        <v>33.629677419354799</v>
      </c>
      <c r="BB551" s="466">
        <f t="array" aca="1" ref="BB551" ca="1">IF(INDEX(MO_SNA_IsHistoricalPeriod,1,COLUMN())=FALSE,0,INDEX(MO_SPT_StockAverage,1,COLUMN()))</f>
        <v>30.259523809523799</v>
      </c>
      <c r="BC551" s="466">
        <f t="array" aca="1" ref="BC551" ca="1">IF(INDEX(MO_SNA_IsHistoricalPeriod,1,COLUMN())=FALSE,0,INDEX(MO_SPT_StockAverage,1,COLUMN()))</f>
        <v>33.256060606060601</v>
      </c>
      <c r="BD551" s="467">
        <f t="array" aca="1" ref="BD551" ca="1">IF(INDEX(MO_SNA_IsHistoricalPeriod,1,COLUMN())=FALSE,0,INDEX(MO_SPT_StockAverage,1,COLUMN()))</f>
        <v>33.832125984252002</v>
      </c>
      <c r="BE551" s="468">
        <f t="array" aca="1" ref="BE551" ca="1">IF(INDEX(MO_SNA_IsHistoricalPeriod,1,COLUMN())=FALSE,0,INDEX(MO_SPT_StockAverage,1,COLUMN()))</f>
        <v>37.234516129032301</v>
      </c>
      <c r="BF551" s="468">
        <f t="array" aca="1" ref="BF551" ca="1">IF(INDEX(MO_SNA_IsHistoricalPeriod,1,COLUMN())=FALSE,0,INDEX(MO_SPT_StockAverage,1,COLUMN()))</f>
        <v>33.156774193548401</v>
      </c>
      <c r="BG551" s="468">
        <f t="array" aca="1" ref="BG551" ca="1">IF(INDEX(MO_SNA_IsHistoricalPeriod,1,COLUMN())=FALSE,0,INDEX(MO_SPT_StockAverage,1,COLUMN()))</f>
        <v>33.164531250000003</v>
      </c>
      <c r="BH551" s="468">
        <f t="array" aca="1" ref="BH551" ca="1">IF(INDEX(MO_SNA_IsHistoricalPeriod,1,COLUMN())=FALSE,0,INDEX(MO_SPT_StockAverage,1,COLUMN()))</f>
        <v>32.025245901639302</v>
      </c>
      <c r="BI551" s="469">
        <f t="array" aca="1" ref="BI551" ca="1">IF(INDEX(MO_SNA_IsHistoricalPeriod,1,COLUMN())=FALSE,0,INDEX(MO_SPT_StockAverage,1,COLUMN()))</f>
        <v>33.896907630522101</v>
      </c>
      <c r="BJ551" s="468">
        <f t="array" ref="BJ551">IF(INDEX(MO_SNA_IsHistoricalPeriod,1,COLUMN())=FALSE,0,INDEX(MO_SPT_StockAverage,1,COLUMN()))</f>
        <v>0</v>
      </c>
      <c r="BK551" s="468">
        <f t="array" ref="BK551">IF(INDEX(MO_SNA_IsHistoricalPeriod,1,COLUMN())=FALSE,0,INDEX(MO_SPT_StockAverage,1,COLUMN()))</f>
        <v>0</v>
      </c>
      <c r="BL551" s="468">
        <f t="array" ref="BL551">IF(INDEX(MO_SNA_IsHistoricalPeriod,1,COLUMN())=FALSE,0,INDEX(MO_SPT_StockAverage,1,COLUMN()))</f>
        <v>0</v>
      </c>
      <c r="BM551" s="468">
        <f t="array" ref="BM551">IF(INDEX(MO_SNA_IsHistoricalPeriod,1,COLUMN())=FALSE,0,INDEX(MO_SPT_StockAverage,1,COLUMN()))</f>
        <v>0</v>
      </c>
      <c r="BN551" s="467">
        <f t="array" ref="BN551">IF(INDEX(MO_SNA_IsHistoricalPeriod,1,COLUMN())=FALSE,0,INDEX(MO_SPT_StockAverage,1,COLUMN()))</f>
        <v>0</v>
      </c>
      <c r="BO551" s="468">
        <f t="array" ref="BO551">IF(INDEX(MO_SNA_IsHistoricalPeriod,1,COLUMN())=FALSE,0,INDEX(MO_SPT_StockAverage,1,COLUMN()))</f>
        <v>0</v>
      </c>
      <c r="BP551" s="468">
        <f t="array" ref="BP551">IF(INDEX(MO_SNA_IsHistoricalPeriod,1,COLUMN())=FALSE,0,INDEX(MO_SPT_StockAverage,1,COLUMN()))</f>
        <v>0</v>
      </c>
      <c r="BQ551" s="468">
        <f t="array" ref="BQ551">IF(INDEX(MO_SNA_IsHistoricalPeriod,1,COLUMN())=FALSE,0,INDEX(MO_SPT_StockAverage,1,COLUMN()))</f>
        <v>0</v>
      </c>
      <c r="BR551" s="468">
        <f t="array" ref="BR551">IF(INDEX(MO_SNA_IsHistoricalPeriod,1,COLUMN())=FALSE,0,INDEX(MO_SPT_StockAverage,1,COLUMN()))</f>
        <v>0</v>
      </c>
      <c r="BS551" s="467">
        <f t="array" ref="BS551">IF(INDEX(MO_SNA_IsHistoricalPeriod,1,COLUMN())=FALSE,0,INDEX(MO_SPT_StockAverage,1,COLUMN()))</f>
        <v>0</v>
      </c>
      <c r="BT551" s="467">
        <f t="array" ref="BT551">IF(INDEX(MO_SNA_IsHistoricalPeriod,1,COLUMN())=FALSE,0,INDEX(MO_SPT_StockAverage,1,COLUMN()))</f>
        <v>0</v>
      </c>
      <c r="BU551" s="467">
        <f t="array" ref="BU551">IF(INDEX(MO_SNA_IsHistoricalPeriod,1,COLUMN())=FALSE,0,INDEX(MO_SPT_StockAverage,1,COLUMN()))</f>
        <v>0</v>
      </c>
      <c r="BV551" s="467">
        <f t="array" ref="BV551">IF(INDEX(MO_SNA_IsHistoricalPeriod,1,COLUMN())=FALSE,0,INDEX(MO_SPT_StockAverage,1,COLUMN()))</f>
        <v>0</v>
      </c>
      <c r="BW551" s="470"/>
    </row>
    <row r="552" spans="1:75" ht="15.75" hidden="1" customHeight="1" outlineLevel="1" x14ac:dyDescent="0.2">
      <c r="A552" s="463" t="str">
        <f ca="1">"Stock EoP, "&amp;HP.TradeCurrency</f>
        <v>Stock EoP, USD</v>
      </c>
      <c r="B552" s="464"/>
      <c r="C552" s="471">
        <f t="array" ref="C552">IF(INDEX(MO_SNA_IsHistoricalPeriod,1,COLUMN())=FALSE,MO.LastPrice,INDEX(MO_SPT_StockEoP,1,COLUMN()))</f>
        <v>22.38</v>
      </c>
      <c r="D552" s="471">
        <f t="array" ref="D552">IF(INDEX(MO_SNA_IsHistoricalPeriod,1,COLUMN())=FALSE,MO.LastPrice,INDEX(MO_SPT_StockEoP,1,COLUMN()))</f>
        <v>31.19</v>
      </c>
      <c r="E552" s="471">
        <f t="array" ref="E552">IF(INDEX(MO_SNA_IsHistoricalPeriod,1,COLUMN())=FALSE,MO.LastPrice,INDEX(MO_SPT_StockEoP,1,COLUMN()))</f>
        <v>29.35</v>
      </c>
      <c r="F552" s="471">
        <f t="array" ref="F552">IF(INDEX(MO_SNA_IsHistoricalPeriod,1,COLUMN())=FALSE,MO.LastPrice,INDEX(MO_SPT_StockEoP,1,COLUMN()))</f>
        <v>32.71</v>
      </c>
      <c r="G552" s="472">
        <f t="array" ref="G552">IF(INDEX(MO_SNA_IsHistoricalPeriod,1,COLUMN())=FALSE,MO.LastPrice,INDEX(MO_SPT_StockEoP,1,COLUMN()))</f>
        <v>37.99</v>
      </c>
      <c r="H552" s="472">
        <f t="array" ref="H552">IF(INDEX(MO_SNA_IsHistoricalPeriod,1,COLUMN())=FALSE,MO.LastPrice,INDEX(MO_SPT_StockEoP,1,COLUMN()))</f>
        <v>42.33</v>
      </c>
      <c r="I552" s="472">
        <f t="array" ref="I552">IF(INDEX(MO_SNA_IsHistoricalPeriod,1,COLUMN())=FALSE,MO.LastPrice,INDEX(MO_SPT_StockEoP,1,COLUMN()))</f>
        <v>43.95</v>
      </c>
      <c r="J552" s="472">
        <f t="array" ref="J552">IF(INDEX(MO_SNA_IsHistoricalPeriod,1,COLUMN())=FALSE,MO.LastPrice,INDEX(MO_SPT_StockEoP,1,COLUMN()))</f>
        <v>48.43</v>
      </c>
      <c r="K552" s="471">
        <f t="array" ref="K552">IF(INDEX(MO_SNA_IsHistoricalPeriod,1,COLUMN())=FALSE,MO.LastPrice,INDEX(MO_SPT_StockEoP,1,COLUMN()))</f>
        <v>48.43</v>
      </c>
      <c r="L552" s="472">
        <f t="array" ref="L552">IF(INDEX(MO_SNA_IsHistoricalPeriod,1,COLUMN())=FALSE,MO.LastPrice,INDEX(MO_SPT_StockEoP,1,COLUMN()))</f>
        <v>47.63</v>
      </c>
      <c r="M552" s="472">
        <f t="array" ref="M552">IF(INDEX(MO_SNA_IsHistoricalPeriod,1,COLUMN())=FALSE,MO.LastPrice,INDEX(MO_SPT_StockEoP,1,COLUMN()))</f>
        <v>46.42</v>
      </c>
      <c r="N552" s="472">
        <f t="array" ref="N552">IF(INDEX(MO_SNA_IsHistoricalPeriod,1,COLUMN())=FALSE,MO.LastPrice,INDEX(MO_SPT_StockEoP,1,COLUMN()))</f>
        <v>45.96</v>
      </c>
      <c r="O552" s="472">
        <f t="array" ref="O552">IF(INDEX(MO_SNA_IsHistoricalPeriod,1,COLUMN())=FALSE,MO.LastPrice,INDEX(MO_SPT_StockEoP,1,COLUMN()))</f>
        <v>50.91</v>
      </c>
      <c r="P552" s="471">
        <f t="array" ref="P552">IF(INDEX(MO_SNA_IsHistoricalPeriod,1,COLUMN())=FALSE,MO.LastPrice,INDEX(MO_SPT_StockEoP,1,COLUMN()))</f>
        <v>50.91</v>
      </c>
      <c r="Q552" s="472">
        <f t="array" ref="Q552">IF(INDEX(MO_SNA_IsHistoricalPeriod,1,COLUMN())=FALSE,MO.LastPrice,INDEX(MO_SPT_StockEoP,1,COLUMN()))</f>
        <v>49.47</v>
      </c>
      <c r="R552" s="472">
        <f t="array" ref="R552">IF(INDEX(MO_SNA_IsHistoricalPeriod,1,COLUMN())=FALSE,MO.LastPrice,INDEX(MO_SPT_StockEoP,1,COLUMN()))</f>
        <v>54.17</v>
      </c>
      <c r="S552" s="472">
        <f t="array" ref="S552">IF(INDEX(MO_SNA_IsHistoricalPeriod,1,COLUMN())=FALSE,MO.LastPrice,INDEX(MO_SPT_StockEoP,1,COLUMN()))</f>
        <v>53.44</v>
      </c>
      <c r="T552" s="472">
        <f t="array" ref="T552">IF(INDEX(MO_SNA_IsHistoricalPeriod,1,COLUMN())=FALSE,MO.LastPrice,INDEX(MO_SPT_StockEoP,1,COLUMN()))</f>
        <v>46.53</v>
      </c>
      <c r="U552" s="471">
        <f t="array" ref="U552">IF(INDEX(MO_SNA_IsHistoricalPeriod,1,COLUMN())=FALSE,MO.LastPrice,INDEX(MO_SPT_StockEoP,1,COLUMN()))</f>
        <v>46.53</v>
      </c>
      <c r="V552" s="472">
        <f t="array" ref="V552">IF(INDEX(MO_SNA_IsHistoricalPeriod,1,COLUMN())=FALSE,MO.LastPrice,INDEX(MO_SPT_StockEoP,1,COLUMN()))</f>
        <v>51.72</v>
      </c>
      <c r="W552" s="472">
        <f t="array" ref="W552">IF(INDEX(MO_SNA_IsHistoricalPeriod,1,COLUMN())=FALSE,MO.LastPrice,INDEX(MO_SPT_StockEoP,1,COLUMN()))</f>
        <v>47.25</v>
      </c>
      <c r="X552" s="472">
        <f t="array" ref="X552">IF(INDEX(MO_SNA_IsHistoricalPeriod,1,COLUMN())=FALSE,MO.LastPrice,INDEX(MO_SPT_StockEoP,1,COLUMN()))</f>
        <v>51.96</v>
      </c>
      <c r="Y552" s="472">
        <f t="array" ref="Y552">IF(INDEX(MO_SNA_IsHistoricalPeriod,1,COLUMN())=FALSE,MO.LastPrice,INDEX(MO_SPT_StockEoP,1,COLUMN()))</f>
        <v>59.88</v>
      </c>
      <c r="Z552" s="473">
        <f t="array" ref="Z552">IF(INDEX(MO_SNA_IsHistoricalPeriod,1,COLUMN())=FALSE,MO.LastPrice,INDEX(MO_SPT_StockEoP,1,COLUMN()))</f>
        <v>59.88</v>
      </c>
      <c r="AA552" s="472">
        <f t="array" ref="AA552">IF(INDEX(MO_SNA_IsHistoricalPeriod,1,COLUMN())=FALSE,MO.LastPrice,INDEX(MO_SPT_StockEoP,1,COLUMN()))</f>
        <v>63.18</v>
      </c>
      <c r="AB552" s="472">
        <f t="array" ref="AB552">IF(INDEX(MO_SNA_IsHistoricalPeriod,1,COLUMN())=FALSE,MO.LastPrice,INDEX(MO_SPT_StockEoP,1,COLUMN()))</f>
        <v>50.01</v>
      </c>
      <c r="AC552" s="472">
        <f t="array" ref="AC552">IF(INDEX(MO_SNA_IsHistoricalPeriod,1,COLUMN())=FALSE,MO.LastPrice,INDEX(MO_SPT_StockEoP,1,COLUMN()))</f>
        <v>42.32</v>
      </c>
      <c r="AD552" s="472">
        <f t="array" ref="AD552">IF(INDEX(MO_SNA_IsHistoricalPeriod,1,COLUMN())=FALSE,MO.LastPrice,INDEX(MO_SPT_StockEoP,1,COLUMN()))</f>
        <v>48.18</v>
      </c>
      <c r="AE552" s="473">
        <f t="array" ref="AE552">IF(INDEX(MO_SNA_IsHistoricalPeriod,1,COLUMN())=FALSE,MO.LastPrice,INDEX(MO_SPT_StockEoP,1,COLUMN()))</f>
        <v>48.18</v>
      </c>
      <c r="AF552" s="472">
        <f t="array" ref="AF552">IF(INDEX(MO_SNA_IsHistoricalPeriod,1,COLUMN())=FALSE,MO.LastPrice,INDEX(MO_SPT_StockEoP,1,COLUMN()))</f>
        <v>47.47</v>
      </c>
      <c r="AG552" s="472">
        <f t="array" ref="AG552">IF(INDEX(MO_SNA_IsHistoricalPeriod,1,COLUMN())=FALSE,MO.LastPrice,INDEX(MO_SPT_StockEoP,1,COLUMN()))</f>
        <v>55.76</v>
      </c>
      <c r="AH552" s="472">
        <f t="array" ref="AH552">IF(INDEX(MO_SNA_IsHistoricalPeriod,1,COLUMN())=FALSE,MO.LastPrice,INDEX(MO_SPT_StockEoP,1,COLUMN()))</f>
        <v>52.49</v>
      </c>
      <c r="AI552" s="472">
        <f t="array" ref="AI552">IF(INDEX(MO_SNA_IsHistoricalPeriod,1,COLUMN())=FALSE,MO.LastPrice,INDEX(MO_SPT_StockEoP,1,COLUMN()))</f>
        <v>43.51</v>
      </c>
      <c r="AJ552" s="473">
        <f t="array" ref="AJ552">IF(INDEX(MO_SNA_IsHistoricalPeriod,1,COLUMN())=FALSE,MO.LastPrice,INDEX(MO_SPT_StockEoP,1,COLUMN()))</f>
        <v>43.51</v>
      </c>
      <c r="AK552" s="472">
        <f t="array" ref="AK552">IF(INDEX(MO_SNA_IsHistoricalPeriod,1,COLUMN())=FALSE,MO.LastPrice,INDEX(MO_SPT_StockEoP,1,COLUMN()))</f>
        <v>48.59</v>
      </c>
      <c r="AL552" s="472">
        <f t="array" ref="AL552">IF(INDEX(MO_SNA_IsHistoricalPeriod,1,COLUMN())=FALSE,MO.LastPrice,INDEX(MO_SPT_StockEoP,1,COLUMN()))</f>
        <v>43.1</v>
      </c>
      <c r="AM552" s="472">
        <f t="array" ref="AM552">IF(INDEX(MO_SNA_IsHistoricalPeriod,1,COLUMN())=FALSE,MO.LastPrice,INDEX(MO_SPT_StockEoP,1,COLUMN()))</f>
        <v>41.68</v>
      </c>
      <c r="AN552" s="472">
        <f t="array" ref="AN552">IF(INDEX(MO_SNA_IsHistoricalPeriod,1,COLUMN())=FALSE,MO.LastPrice,INDEX(MO_SPT_StockEoP,1,COLUMN()))</f>
        <v>38.799999999999997</v>
      </c>
      <c r="AO552" s="473">
        <f t="array" ref="AO552">IF(INDEX(MO_SNA_IsHistoricalPeriod,1,COLUMN())=FALSE,MO.LastPrice,INDEX(MO_SPT_StockEoP,1,COLUMN()))</f>
        <v>38.799999999999997</v>
      </c>
      <c r="AP552" s="472">
        <f t="array" ref="AP552">IF(INDEX(MO_SNA_IsHistoricalPeriod,1,COLUMN())=FALSE,MO.LastPrice,INDEX(MO_SPT_StockEoP,1,COLUMN()))</f>
        <v>16.5</v>
      </c>
      <c r="AQ552" s="472">
        <f t="array" ref="AQ552">IF(INDEX(MO_SNA_IsHistoricalPeriod,1,COLUMN())=FALSE,MO.LastPrice,INDEX(MO_SPT_StockEoP,1,COLUMN()))</f>
        <v>22.74</v>
      </c>
      <c r="AR552" s="472">
        <f t="array" ref="AR552">IF(INDEX(MO_SNA_IsHistoricalPeriod,1,COLUMN())=FALSE,MO.LastPrice,INDEX(MO_SPT_StockEoP,1,COLUMN()))</f>
        <v>28.11</v>
      </c>
      <c r="AS552" s="472">
        <f t="array" ref="AS552">IF(INDEX(MO_SNA_IsHistoricalPeriod,1,COLUMN())=FALSE,MO.LastPrice,INDEX(MO_SPT_StockEoP,1,COLUMN()))</f>
        <v>37.35</v>
      </c>
      <c r="AT552" s="473">
        <f t="array" ref="AT552">IF(INDEX(MO_SNA_IsHistoricalPeriod,1,COLUMN())=FALSE,MO.LastPrice,INDEX(MO_SPT_StockEoP,1,COLUMN()))</f>
        <v>37.35</v>
      </c>
      <c r="AU552" s="472">
        <f t="array" ref="AU552">IF(INDEX(MO_SNA_IsHistoricalPeriod,1,COLUMN())=FALSE,MO.LastPrice,INDEX(MO_SPT_StockEoP,1,COLUMN()))</f>
        <v>58.18</v>
      </c>
      <c r="AV552" s="472">
        <f t="array" ref="AV552">IF(INDEX(MO_SNA_IsHistoricalPeriod,1,COLUMN())=FALSE,MO.LastPrice,INDEX(MO_SPT_StockEoP,1,COLUMN()))</f>
        <v>53.43</v>
      </c>
      <c r="AW552" s="472">
        <f t="array" ref="AW552">IF(INDEX(MO_SNA_IsHistoricalPeriod,1,COLUMN())=FALSE,MO.LastPrice,INDEX(MO_SPT_StockEoP,1,COLUMN()))</f>
        <v>49.82</v>
      </c>
      <c r="AX552" s="472">
        <f t="array" ref="AX552">IF(INDEX(MO_SNA_IsHistoricalPeriod,1,COLUMN())=FALSE,MO.LastPrice,INDEX(MO_SPT_StockEoP,1,COLUMN()))</f>
        <v>40.35</v>
      </c>
      <c r="AY552" s="473">
        <f t="array" ref="AY552">IF(INDEX(MO_SNA_IsHistoricalPeriod,1,COLUMN())=FALSE,MO.LastPrice,INDEX(MO_SPT_StockEoP,1,COLUMN()))</f>
        <v>40.35</v>
      </c>
      <c r="AZ552" s="472">
        <f t="array" ref="AZ552">IF(INDEX(MO_SNA_IsHistoricalPeriod,1,COLUMN())=FALSE,MO.LastPrice,INDEX(MO_SPT_StockEoP,1,COLUMN()))</f>
        <v>38.83</v>
      </c>
      <c r="BA552" s="472">
        <f t="array" ref="BA552">IF(INDEX(MO_SNA_IsHistoricalPeriod,1,COLUMN())=FALSE,MO.LastPrice,INDEX(MO_SPT_StockEoP,1,COLUMN()))</f>
        <v>28.54</v>
      </c>
      <c r="BB552" s="472">
        <f t="array" ref="BB552">IF(INDEX(MO_SNA_IsHistoricalPeriod,1,COLUMN())=FALSE,MO.LastPrice,INDEX(MO_SPT_StockEoP,1,COLUMN()))</f>
        <v>28.56</v>
      </c>
      <c r="BC552" s="472">
        <f t="array" ref="BC552">IF(INDEX(MO_SNA_IsHistoricalPeriod,1,COLUMN())=FALSE,MO.LastPrice,INDEX(MO_SPT_StockEoP,1,COLUMN()))</f>
        <v>31.71</v>
      </c>
      <c r="BD552" s="473">
        <f t="array" ref="BD552">IF(INDEX(MO_SNA_IsHistoricalPeriod,1,COLUMN())=FALSE,MO.LastPrice,INDEX(MO_SPT_StockEoP,1,COLUMN()))</f>
        <v>31.71</v>
      </c>
      <c r="BE552" s="474">
        <f t="array" ref="BE552">IF(INDEX(MO_SNA_IsHistoricalPeriod,1,COLUMN())=FALSE,MO.LastPrice,INDEX(MO_SPT_StockEoP,1,COLUMN()))</f>
        <v>35.049999999999997</v>
      </c>
      <c r="BF552" s="474">
        <f t="array" ref="BF552">IF(INDEX(MO_SNA_IsHistoricalPeriod,1,COLUMN())=FALSE,MO.LastPrice,INDEX(MO_SPT_StockEoP,1,COLUMN()))</f>
        <v>35.35</v>
      </c>
      <c r="BG552" s="474">
        <f t="array" ref="BG552">IF(INDEX(MO_SNA_IsHistoricalPeriod,1,COLUMN())=FALSE,MO.LastPrice,INDEX(MO_SPT_StockEoP,1,COLUMN()))</f>
        <v>29.6</v>
      </c>
      <c r="BH552" s="474">
        <f t="array" ref="BH552">IF(INDEX(MO_SNA_IsHistoricalPeriod,1,COLUMN())=FALSE,MO.LastPrice,INDEX(MO_SPT_StockEoP,1,COLUMN()))</f>
        <v>35.01</v>
      </c>
      <c r="BI552" s="475">
        <f t="array" ref="BI552">IF(INDEX(MO_SNA_IsHistoricalPeriod,1,COLUMN())=FALSE,MO.LastPrice,INDEX(MO_SPT_StockEoP,1,COLUMN()))</f>
        <v>35.01</v>
      </c>
      <c r="BJ552" s="474">
        <f t="array" aca="1" ref="BJ552" ca="1">IF(INDEX(MO_SNA_IsHistoricalPeriod,1,COLUMN())=FALSE,MO.LastPrice,INDEX(MO_SPT_StockEoP,1,COLUMN()))</f>
        <v>35.479999999999997</v>
      </c>
      <c r="BK552" s="474">
        <f t="array" aca="1" ref="BK552" ca="1">IF(INDEX(MO_SNA_IsHistoricalPeriod,1,COLUMN())=FALSE,MO.LastPrice,INDEX(MO_SPT_StockEoP,1,COLUMN()))</f>
        <v>35.479999999999997</v>
      </c>
      <c r="BL552" s="474">
        <f t="array" aca="1" ref="BL552" ca="1">IF(INDEX(MO_SNA_IsHistoricalPeriod,1,COLUMN())=FALSE,MO.LastPrice,INDEX(MO_SPT_StockEoP,1,COLUMN()))</f>
        <v>35.479999999999997</v>
      </c>
      <c r="BM552" s="474">
        <f t="array" aca="1" ref="BM552" ca="1">IF(INDEX(MO_SNA_IsHistoricalPeriod,1,COLUMN())=FALSE,MO.LastPrice,INDEX(MO_SPT_StockEoP,1,COLUMN()))</f>
        <v>35.479999999999997</v>
      </c>
      <c r="BN552" s="473">
        <f t="array" aca="1" ref="BN552" ca="1">IF(INDEX(MO_SNA_IsHistoricalPeriod,1,COLUMN())=FALSE,MO.LastPrice,INDEX(MO_SPT_StockEoP,1,COLUMN()))</f>
        <v>35.479999999999997</v>
      </c>
      <c r="BO552" s="474">
        <f t="array" aca="1" ref="BO552" ca="1">IF(INDEX(MO_SNA_IsHistoricalPeriod,1,COLUMN())=FALSE,MO.LastPrice,INDEX(MO_SPT_StockEoP,1,COLUMN()))</f>
        <v>35.479999999999997</v>
      </c>
      <c r="BP552" s="474">
        <f t="array" aca="1" ref="BP552" ca="1">IF(INDEX(MO_SNA_IsHistoricalPeriod,1,COLUMN())=FALSE,MO.LastPrice,INDEX(MO_SPT_StockEoP,1,COLUMN()))</f>
        <v>35.479999999999997</v>
      </c>
      <c r="BQ552" s="474">
        <f t="array" aca="1" ref="BQ552" ca="1">IF(INDEX(MO_SNA_IsHistoricalPeriod,1,COLUMN())=FALSE,MO.LastPrice,INDEX(MO_SPT_StockEoP,1,COLUMN()))</f>
        <v>35.479999999999997</v>
      </c>
      <c r="BR552" s="474">
        <f t="array" aca="1" ref="BR552" ca="1">IF(INDEX(MO_SNA_IsHistoricalPeriod,1,COLUMN())=FALSE,MO.LastPrice,INDEX(MO_SPT_StockEoP,1,COLUMN()))</f>
        <v>35.479999999999997</v>
      </c>
      <c r="BS552" s="473">
        <f t="array" aca="1" ref="BS552" ca="1">IF(INDEX(MO_SNA_IsHistoricalPeriod,1,COLUMN())=FALSE,MO.LastPrice,INDEX(MO_SPT_StockEoP,1,COLUMN()))</f>
        <v>35.479999999999997</v>
      </c>
      <c r="BT552" s="473">
        <f t="array" aca="1" ref="BT552" ca="1">IF(INDEX(MO_SNA_IsHistoricalPeriod,1,COLUMN())=FALSE,MO.LastPrice,INDEX(MO_SPT_StockEoP,1,COLUMN()))</f>
        <v>35.479999999999997</v>
      </c>
      <c r="BU552" s="473">
        <f t="array" aca="1" ref="BU552" ca="1">IF(INDEX(MO_SNA_IsHistoricalPeriod,1,COLUMN())=FALSE,MO.LastPrice,INDEX(MO_SPT_StockEoP,1,COLUMN()))</f>
        <v>35.479999999999997</v>
      </c>
      <c r="BV552" s="473">
        <f t="array" aca="1" ref="BV552" ca="1">IF(INDEX(MO_SNA_IsHistoricalPeriod,1,COLUMN())=FALSE,MO.LastPrice,INDEX(MO_SPT_StockEoP,1,COLUMN()))</f>
        <v>35.479999999999997</v>
      </c>
      <c r="BW552" s="470"/>
    </row>
    <row r="553" spans="1:75" ht="15.75" hidden="1" customHeight="1" outlineLevel="1" x14ac:dyDescent="0.2">
      <c r="A553" s="476" t="str">
        <f ca="1">"Average FX Rate, "&amp;HP.TradeCurrency&amp;"/"&amp;MO.ReportCurrency</f>
        <v>Average FX Rate, USD/USD</v>
      </c>
      <c r="B553" s="477"/>
      <c r="C553" s="478">
        <f t="array" aca="1" ref="C553" ca="1">IF(INDEX(MO_SPT_FXAverage,1,COLUMN())=0,1,INDEX(MO_SPT_FXAverage,1,COLUMN()))</f>
        <v>1</v>
      </c>
      <c r="D553" s="478">
        <f t="array" aca="1" ref="D553" ca="1">IF(INDEX(MO_SPT_FXAverage,1,COLUMN())=0,1,INDEX(MO_SPT_FXAverage,1,COLUMN()))</f>
        <v>1</v>
      </c>
      <c r="E553" s="478">
        <f t="array" aca="1" ref="E553" ca="1">IF(INDEX(MO_SPT_FXAverage,1,COLUMN())=0,1,INDEX(MO_SPT_FXAverage,1,COLUMN()))</f>
        <v>1</v>
      </c>
      <c r="F553" s="478">
        <f t="array" aca="1" ref="F553" ca="1">IF(INDEX(MO_SPT_FXAverage,1,COLUMN())=0,1,INDEX(MO_SPT_FXAverage,1,COLUMN()))</f>
        <v>1</v>
      </c>
      <c r="G553" s="479">
        <f t="array" aca="1" ref="G553" ca="1">IF(INDEX(MO_SPT_FXAverage,1,COLUMN())=0,1,INDEX(MO_SPT_FXAverage,1,COLUMN()))</f>
        <v>1</v>
      </c>
      <c r="H553" s="479">
        <f t="array" aca="1" ref="H553" ca="1">IF(INDEX(MO_SPT_FXAverage,1,COLUMN())=0,1,INDEX(MO_SPT_FXAverage,1,COLUMN()))</f>
        <v>1</v>
      </c>
      <c r="I553" s="479">
        <f t="array" aca="1" ref="I553" ca="1">IF(INDEX(MO_SPT_FXAverage,1,COLUMN())=0,1,INDEX(MO_SPT_FXAverage,1,COLUMN()))</f>
        <v>1</v>
      </c>
      <c r="J553" s="479">
        <f t="array" aca="1" ref="J553" ca="1">IF(INDEX(MO_SPT_FXAverage,1,COLUMN())=0,1,INDEX(MO_SPT_FXAverage,1,COLUMN()))</f>
        <v>1</v>
      </c>
      <c r="K553" s="478">
        <f t="array" aca="1" ref="K553" ca="1">IF(INDEX(MO_SPT_FXAverage,1,COLUMN())=0,1,INDEX(MO_SPT_FXAverage,1,COLUMN()))</f>
        <v>1</v>
      </c>
      <c r="L553" s="479">
        <f t="array" aca="1" ref="L553" ca="1">IF(INDEX(MO_SPT_FXAverage,1,COLUMN())=0,1,INDEX(MO_SPT_FXAverage,1,COLUMN()))</f>
        <v>1</v>
      </c>
      <c r="M553" s="479">
        <f t="array" aca="1" ref="M553" ca="1">IF(INDEX(MO_SPT_FXAverage,1,COLUMN())=0,1,INDEX(MO_SPT_FXAverage,1,COLUMN()))</f>
        <v>1</v>
      </c>
      <c r="N553" s="479">
        <f t="array" aca="1" ref="N553" ca="1">IF(INDEX(MO_SPT_FXAverage,1,COLUMN())=0,1,INDEX(MO_SPT_FXAverage,1,COLUMN()))</f>
        <v>1</v>
      </c>
      <c r="O553" s="479">
        <f t="array" aca="1" ref="O553" ca="1">IF(INDEX(MO_SPT_FXAverage,1,COLUMN())=0,1,INDEX(MO_SPT_FXAverage,1,COLUMN()))</f>
        <v>1</v>
      </c>
      <c r="P553" s="478">
        <f t="array" aca="1" ref="P553" ca="1">IF(INDEX(MO_SPT_FXAverage,1,COLUMN())=0,1,INDEX(MO_SPT_FXAverage,1,COLUMN()))</f>
        <v>1</v>
      </c>
      <c r="Q553" s="479">
        <f t="array" aca="1" ref="Q553" ca="1">IF(INDEX(MO_SPT_FXAverage,1,COLUMN())=0,1,INDEX(MO_SPT_FXAverage,1,COLUMN()))</f>
        <v>1</v>
      </c>
      <c r="R553" s="479">
        <f t="array" aca="1" ref="R553" ca="1">IF(INDEX(MO_SPT_FXAverage,1,COLUMN())=0,1,INDEX(MO_SPT_FXAverage,1,COLUMN()))</f>
        <v>1</v>
      </c>
      <c r="S553" s="479">
        <f t="array" aca="1" ref="S553" ca="1">IF(INDEX(MO_SPT_FXAverage,1,COLUMN())=0,1,INDEX(MO_SPT_FXAverage,1,COLUMN()))</f>
        <v>1</v>
      </c>
      <c r="T553" s="479">
        <f t="array" aca="1" ref="T553" ca="1">IF(INDEX(MO_SPT_FXAverage,1,COLUMN())=0,1,INDEX(MO_SPT_FXAverage,1,COLUMN()))</f>
        <v>1</v>
      </c>
      <c r="U553" s="478">
        <f t="array" aca="1" ref="U553" ca="1">IF(INDEX(MO_SPT_FXAverage,1,COLUMN())=0,1,INDEX(MO_SPT_FXAverage,1,COLUMN()))</f>
        <v>1</v>
      </c>
      <c r="V553" s="479">
        <f t="array" aca="1" ref="V553" ca="1">IF(INDEX(MO_SPT_FXAverage,1,COLUMN())=0,1,INDEX(MO_SPT_FXAverage,1,COLUMN()))</f>
        <v>1</v>
      </c>
      <c r="W553" s="479">
        <f t="array" aca="1" ref="W553" ca="1">IF(INDEX(MO_SPT_FXAverage,1,COLUMN())=0,1,INDEX(MO_SPT_FXAverage,1,COLUMN()))</f>
        <v>1</v>
      </c>
      <c r="X553" s="479">
        <f t="array" aca="1" ref="X553" ca="1">IF(INDEX(MO_SPT_FXAverage,1,COLUMN())=0,1,INDEX(MO_SPT_FXAverage,1,COLUMN()))</f>
        <v>1</v>
      </c>
      <c r="Y553" s="479">
        <f t="array" aca="1" ref="Y553" ca="1">IF(INDEX(MO_SPT_FXAverage,1,COLUMN())=0,1,INDEX(MO_SPT_FXAverage,1,COLUMN()))</f>
        <v>1</v>
      </c>
      <c r="Z553" s="480">
        <f t="array" aca="1" ref="Z553" ca="1">IF(INDEX(MO_SPT_FXAverage,1,COLUMN())=0,1,INDEX(MO_SPT_FXAverage,1,COLUMN()))</f>
        <v>1</v>
      </c>
      <c r="AA553" s="479">
        <f t="array" aca="1" ref="AA553" ca="1">IF(INDEX(MO_SPT_FXAverage,1,COLUMN())=0,1,INDEX(MO_SPT_FXAverage,1,COLUMN()))</f>
        <v>1</v>
      </c>
      <c r="AB553" s="479">
        <f t="array" aca="1" ref="AB553" ca="1">IF(INDEX(MO_SPT_FXAverage,1,COLUMN())=0,1,INDEX(MO_SPT_FXAverage,1,COLUMN()))</f>
        <v>1</v>
      </c>
      <c r="AC553" s="479">
        <f t="array" aca="1" ref="AC553" ca="1">IF(INDEX(MO_SPT_FXAverage,1,COLUMN())=0,1,INDEX(MO_SPT_FXAverage,1,COLUMN()))</f>
        <v>1</v>
      </c>
      <c r="AD553" s="479">
        <f t="array" aca="1" ref="AD553" ca="1">IF(INDEX(MO_SPT_FXAverage,1,COLUMN())=0,1,INDEX(MO_SPT_FXAverage,1,COLUMN()))</f>
        <v>1</v>
      </c>
      <c r="AE553" s="480">
        <f t="array" aca="1" ref="AE553" ca="1">IF(INDEX(MO_SPT_FXAverage,1,COLUMN())=0,1,INDEX(MO_SPT_FXAverage,1,COLUMN()))</f>
        <v>1</v>
      </c>
      <c r="AF553" s="479">
        <f t="array" aca="1" ref="AF553" ca="1">IF(INDEX(MO_SPT_FXAverage,1,COLUMN())=0,1,INDEX(MO_SPT_FXAverage,1,COLUMN()))</f>
        <v>1</v>
      </c>
      <c r="AG553" s="479">
        <f t="array" aca="1" ref="AG553" ca="1">IF(INDEX(MO_SPT_FXAverage,1,COLUMN())=0,1,INDEX(MO_SPT_FXAverage,1,COLUMN()))</f>
        <v>1</v>
      </c>
      <c r="AH553" s="479">
        <f t="array" aca="1" ref="AH553" ca="1">IF(INDEX(MO_SPT_FXAverage,1,COLUMN())=0,1,INDEX(MO_SPT_FXAverage,1,COLUMN()))</f>
        <v>1</v>
      </c>
      <c r="AI553" s="479">
        <f t="array" aca="1" ref="AI553" ca="1">IF(INDEX(MO_SPT_FXAverage,1,COLUMN())=0,1,INDEX(MO_SPT_FXAverage,1,COLUMN()))</f>
        <v>1</v>
      </c>
      <c r="AJ553" s="480">
        <f t="array" aca="1" ref="AJ553" ca="1">IF(INDEX(MO_SPT_FXAverage,1,COLUMN())=0,1,INDEX(MO_SPT_FXAverage,1,COLUMN()))</f>
        <v>1</v>
      </c>
      <c r="AK553" s="479">
        <f t="array" aca="1" ref="AK553" ca="1">IF(INDEX(MO_SPT_FXAverage,1,COLUMN())=0,1,INDEX(MO_SPT_FXAverage,1,COLUMN()))</f>
        <v>1</v>
      </c>
      <c r="AL553" s="479">
        <f t="array" aca="1" ref="AL553" ca="1">IF(INDEX(MO_SPT_FXAverage,1,COLUMN())=0,1,INDEX(MO_SPT_FXAverage,1,COLUMN()))</f>
        <v>1</v>
      </c>
      <c r="AM553" s="479">
        <f t="array" aca="1" ref="AM553" ca="1">IF(INDEX(MO_SPT_FXAverage,1,COLUMN())=0,1,INDEX(MO_SPT_FXAverage,1,COLUMN()))</f>
        <v>1</v>
      </c>
      <c r="AN553" s="479">
        <f t="array" aca="1" ref="AN553" ca="1">IF(INDEX(MO_SPT_FXAverage,1,COLUMN())=0,1,INDEX(MO_SPT_FXAverage,1,COLUMN()))</f>
        <v>1</v>
      </c>
      <c r="AO553" s="480">
        <f t="array" aca="1" ref="AO553" ca="1">IF(INDEX(MO_SPT_FXAverage,1,COLUMN())=0,1,INDEX(MO_SPT_FXAverage,1,COLUMN()))</f>
        <v>1</v>
      </c>
      <c r="AP553" s="479">
        <f t="array" aca="1" ref="AP553" ca="1">IF(INDEX(MO_SPT_FXAverage,1,COLUMN())=0,1,INDEX(MO_SPT_FXAverage,1,COLUMN()))</f>
        <v>1</v>
      </c>
      <c r="AQ553" s="479">
        <f t="array" aca="1" ref="AQ553" ca="1">IF(INDEX(MO_SPT_FXAverage,1,COLUMN())=0,1,INDEX(MO_SPT_FXAverage,1,COLUMN()))</f>
        <v>1</v>
      </c>
      <c r="AR553" s="479">
        <f t="array" aca="1" ref="AR553" ca="1">IF(INDEX(MO_SPT_FXAverage,1,COLUMN())=0,1,INDEX(MO_SPT_FXAverage,1,COLUMN()))</f>
        <v>1</v>
      </c>
      <c r="AS553" s="479">
        <f t="array" aca="1" ref="AS553" ca="1">IF(INDEX(MO_SPT_FXAverage,1,COLUMN())=0,1,INDEX(MO_SPT_FXAverage,1,COLUMN()))</f>
        <v>1</v>
      </c>
      <c r="AT553" s="480">
        <f t="array" aca="1" ref="AT553" ca="1">IF(INDEX(MO_SPT_FXAverage,1,COLUMN())=0,1,INDEX(MO_SPT_FXAverage,1,COLUMN()))</f>
        <v>1</v>
      </c>
      <c r="AU553" s="479">
        <f t="array" aca="1" ref="AU553" ca="1">IF(INDEX(MO_SPT_FXAverage,1,COLUMN())=0,1,INDEX(MO_SPT_FXAverage,1,COLUMN()))</f>
        <v>1</v>
      </c>
      <c r="AV553" s="479">
        <f t="array" aca="1" ref="AV553" ca="1">IF(INDEX(MO_SPT_FXAverage,1,COLUMN())=0,1,INDEX(MO_SPT_FXAverage,1,COLUMN()))</f>
        <v>1</v>
      </c>
      <c r="AW553" s="479">
        <f t="array" aca="1" ref="AW553" ca="1">IF(INDEX(MO_SPT_FXAverage,1,COLUMN())=0,1,INDEX(MO_SPT_FXAverage,1,COLUMN()))</f>
        <v>1</v>
      </c>
      <c r="AX553" s="479">
        <f t="array" aca="1" ref="AX553" ca="1">IF(INDEX(MO_SPT_FXAverage,1,COLUMN())=0,1,INDEX(MO_SPT_FXAverage,1,COLUMN()))</f>
        <v>1</v>
      </c>
      <c r="AY553" s="480">
        <f t="array" aca="1" ref="AY553" ca="1">IF(INDEX(MO_SPT_FXAverage,1,COLUMN())=0,1,INDEX(MO_SPT_FXAverage,1,COLUMN()))</f>
        <v>1</v>
      </c>
      <c r="AZ553" s="479">
        <f t="array" aca="1" ref="AZ553" ca="1">IF(INDEX(MO_SPT_FXAverage,1,COLUMN())=0,1,INDEX(MO_SPT_FXAverage,1,COLUMN()))</f>
        <v>1</v>
      </c>
      <c r="BA553" s="479">
        <f t="array" aca="1" ref="BA553" ca="1">IF(INDEX(MO_SPT_FXAverage,1,COLUMN())=0,1,INDEX(MO_SPT_FXAverage,1,COLUMN()))</f>
        <v>1</v>
      </c>
      <c r="BB553" s="479">
        <f t="array" aca="1" ref="BB553" ca="1">IF(INDEX(MO_SPT_FXAverage,1,COLUMN())=0,1,INDEX(MO_SPT_FXAverage,1,COLUMN()))</f>
        <v>1</v>
      </c>
      <c r="BC553" s="479">
        <f t="array" aca="1" ref="BC553" ca="1">IF(INDEX(MO_SPT_FXAverage,1,COLUMN())=0,1,INDEX(MO_SPT_FXAverage,1,COLUMN()))</f>
        <v>1</v>
      </c>
      <c r="BD553" s="480">
        <f t="array" aca="1" ref="BD553" ca="1">IF(INDEX(MO_SPT_FXAverage,1,COLUMN())=0,1,INDEX(MO_SPT_FXAverage,1,COLUMN()))</f>
        <v>1</v>
      </c>
      <c r="BE553" s="481">
        <f t="array" aca="1" ref="BE553" ca="1">IF(INDEX(MO_SPT_FXAverage,1,COLUMN())=0,1,INDEX(MO_SPT_FXAverage,1,COLUMN()))</f>
        <v>1</v>
      </c>
      <c r="BF553" s="481">
        <f t="array" aca="1" ref="BF553" ca="1">IF(INDEX(MO_SPT_FXAverage,1,COLUMN())=0,1,INDEX(MO_SPT_FXAverage,1,COLUMN()))</f>
        <v>1</v>
      </c>
      <c r="BG553" s="481">
        <f t="array" aca="1" ref="BG553" ca="1">IF(INDEX(MO_SPT_FXAverage,1,COLUMN())=0,1,INDEX(MO_SPT_FXAverage,1,COLUMN()))</f>
        <v>1</v>
      </c>
      <c r="BH553" s="481">
        <f t="array" aca="1" ref="BH553" ca="1">IF(INDEX(MO_SPT_FXAverage,1,COLUMN())=0,1,INDEX(MO_SPT_FXAverage,1,COLUMN()))</f>
        <v>1</v>
      </c>
      <c r="BI553" s="482">
        <f t="array" aca="1" ref="BI553" ca="1">IF(INDEX(MO_SPT_FXAverage,1,COLUMN())=0,1,INDEX(MO_SPT_FXAverage,1,COLUMN()))</f>
        <v>1</v>
      </c>
      <c r="BJ553" s="481">
        <f t="array" aca="1" ref="BJ553" ca="1">IF(INDEX(MO_SPT_FXAverage,1,COLUMN())=0,1,INDEX(MO_SPT_FXAverage,1,COLUMN()))</f>
        <v>1</v>
      </c>
      <c r="BK553" s="481">
        <f t="array" aca="1" ref="BK553" ca="1">IF(INDEX(MO_SPT_FXAverage,1,COLUMN())=0,1,INDEX(MO_SPT_FXAverage,1,COLUMN()))</f>
        <v>1</v>
      </c>
      <c r="BL553" s="481">
        <f t="array" aca="1" ref="BL553" ca="1">IF(INDEX(MO_SPT_FXAverage,1,COLUMN())=0,1,INDEX(MO_SPT_FXAverage,1,COLUMN()))</f>
        <v>1</v>
      </c>
      <c r="BM553" s="481">
        <f t="array" aca="1" ref="BM553" ca="1">IF(INDEX(MO_SPT_FXAverage,1,COLUMN())=0,1,INDEX(MO_SPT_FXAverage,1,COLUMN()))</f>
        <v>1</v>
      </c>
      <c r="BN553" s="480">
        <f t="array" aca="1" ref="BN553" ca="1">IF(INDEX(MO_SPT_FXAverage,1,COLUMN())=0,1,INDEX(MO_SPT_FXAverage,1,COLUMN()))</f>
        <v>1</v>
      </c>
      <c r="BO553" s="481">
        <f t="array" aca="1" ref="BO553" ca="1">IF(INDEX(MO_SPT_FXAverage,1,COLUMN())=0,1,INDEX(MO_SPT_FXAverage,1,COLUMN()))</f>
        <v>1</v>
      </c>
      <c r="BP553" s="481">
        <f t="array" aca="1" ref="BP553" ca="1">IF(INDEX(MO_SPT_FXAverage,1,COLUMN())=0,1,INDEX(MO_SPT_FXAverage,1,COLUMN()))</f>
        <v>1</v>
      </c>
      <c r="BQ553" s="481">
        <f t="array" aca="1" ref="BQ553" ca="1">IF(INDEX(MO_SPT_FXAverage,1,COLUMN())=0,1,INDEX(MO_SPT_FXAverage,1,COLUMN()))</f>
        <v>1</v>
      </c>
      <c r="BR553" s="481">
        <f t="array" aca="1" ref="BR553" ca="1">IF(INDEX(MO_SPT_FXAverage,1,COLUMN())=0,1,INDEX(MO_SPT_FXAverage,1,COLUMN()))</f>
        <v>1</v>
      </c>
      <c r="BS553" s="480">
        <f t="array" aca="1" ref="BS553" ca="1">IF(INDEX(MO_SPT_FXAverage,1,COLUMN())=0,1,INDEX(MO_SPT_FXAverage,1,COLUMN()))</f>
        <v>1</v>
      </c>
      <c r="BT553" s="480">
        <f t="array" aca="1" ref="BT553" ca="1">IF(INDEX(MO_SPT_FXAverage,1,COLUMN())=0,1,INDEX(MO_SPT_FXAverage,1,COLUMN()))</f>
        <v>1</v>
      </c>
      <c r="BU553" s="480">
        <f t="array" aca="1" ref="BU553" ca="1">IF(INDEX(MO_SPT_FXAverage,1,COLUMN())=0,1,INDEX(MO_SPT_FXAverage,1,COLUMN()))</f>
        <v>1</v>
      </c>
      <c r="BV553" s="480">
        <f t="array" aca="1" ref="BV553" ca="1">IF(INDEX(MO_SPT_FXAverage,1,COLUMN())=0,1,INDEX(MO_SPT_FXAverage,1,COLUMN()))</f>
        <v>1</v>
      </c>
      <c r="BW553" s="483"/>
    </row>
    <row r="554" spans="1:75" ht="15.75" hidden="1" customHeight="1" outlineLevel="1" x14ac:dyDescent="0.2">
      <c r="A554" s="476" t="str">
        <f ca="1">"EoP FX Rate, "&amp;HP.TradeCurrency&amp;"/"&amp;MO.ReportCurrency</f>
        <v>EoP FX Rate, USD/USD</v>
      </c>
      <c r="B554" s="477"/>
      <c r="C554" s="478">
        <f t="array" ref="C554">IF(INDEX(MO_SNA_IsHistoricalPeriod,1,COLUMN())=FALSE,HP.MRFX,INDEX(MO_SPT_FXEoP,1,COLUMN()))</f>
        <v>1</v>
      </c>
      <c r="D554" s="478">
        <f t="array" ref="D554">IF(INDEX(MO_SNA_IsHistoricalPeriod,1,COLUMN())=FALSE,HP.MRFX,INDEX(MO_SPT_FXEoP,1,COLUMN()))</f>
        <v>1</v>
      </c>
      <c r="E554" s="478">
        <f t="array" ref="E554">IF(INDEX(MO_SNA_IsHistoricalPeriod,1,COLUMN())=FALSE,HP.MRFX,INDEX(MO_SPT_FXEoP,1,COLUMN()))</f>
        <v>1</v>
      </c>
      <c r="F554" s="478">
        <f t="array" ref="F554">IF(INDEX(MO_SNA_IsHistoricalPeriod,1,COLUMN())=FALSE,HP.MRFX,INDEX(MO_SPT_FXEoP,1,COLUMN()))</f>
        <v>1</v>
      </c>
      <c r="G554" s="479">
        <f t="array" ref="G554">IF(INDEX(MO_SNA_IsHistoricalPeriod,1,COLUMN())=FALSE,HP.MRFX,INDEX(MO_SPT_FXEoP,1,COLUMN()))</f>
        <v>1</v>
      </c>
      <c r="H554" s="479">
        <f t="array" ref="H554">IF(INDEX(MO_SNA_IsHistoricalPeriod,1,COLUMN())=FALSE,HP.MRFX,INDEX(MO_SPT_FXEoP,1,COLUMN()))</f>
        <v>1</v>
      </c>
      <c r="I554" s="479">
        <f t="array" ref="I554">IF(INDEX(MO_SNA_IsHistoricalPeriod,1,COLUMN())=FALSE,HP.MRFX,INDEX(MO_SPT_FXEoP,1,COLUMN()))</f>
        <v>1</v>
      </c>
      <c r="J554" s="479">
        <f t="array" ref="J554">IF(INDEX(MO_SNA_IsHistoricalPeriod,1,COLUMN())=FALSE,HP.MRFX,INDEX(MO_SPT_FXEoP,1,COLUMN()))</f>
        <v>1</v>
      </c>
      <c r="K554" s="478">
        <f t="array" ref="K554">IF(INDEX(MO_SNA_IsHistoricalPeriod,1,COLUMN())=FALSE,HP.MRFX,INDEX(MO_SPT_FXEoP,1,COLUMN()))</f>
        <v>1</v>
      </c>
      <c r="L554" s="479">
        <f t="array" ref="L554">IF(INDEX(MO_SNA_IsHistoricalPeriod,1,COLUMN())=FALSE,HP.MRFX,INDEX(MO_SPT_FXEoP,1,COLUMN()))</f>
        <v>1</v>
      </c>
      <c r="M554" s="479">
        <f t="array" ref="M554">IF(INDEX(MO_SNA_IsHistoricalPeriod,1,COLUMN())=FALSE,HP.MRFX,INDEX(MO_SPT_FXEoP,1,COLUMN()))</f>
        <v>1</v>
      </c>
      <c r="N554" s="479">
        <f t="array" ref="N554">IF(INDEX(MO_SNA_IsHistoricalPeriod,1,COLUMN())=FALSE,HP.MRFX,INDEX(MO_SPT_FXEoP,1,COLUMN()))</f>
        <v>1</v>
      </c>
      <c r="O554" s="479">
        <f t="array" ref="O554">IF(INDEX(MO_SNA_IsHistoricalPeriod,1,COLUMN())=FALSE,HP.MRFX,INDEX(MO_SPT_FXEoP,1,COLUMN()))</f>
        <v>1</v>
      </c>
      <c r="P554" s="478">
        <f t="array" ref="P554">IF(INDEX(MO_SNA_IsHistoricalPeriod,1,COLUMN())=FALSE,HP.MRFX,INDEX(MO_SPT_FXEoP,1,COLUMN()))</f>
        <v>1</v>
      </c>
      <c r="Q554" s="479">
        <f t="array" ref="Q554">IF(INDEX(MO_SNA_IsHistoricalPeriod,1,COLUMN())=FALSE,HP.MRFX,INDEX(MO_SPT_FXEoP,1,COLUMN()))</f>
        <v>1</v>
      </c>
      <c r="R554" s="479">
        <f t="array" ref="R554">IF(INDEX(MO_SNA_IsHistoricalPeriod,1,COLUMN())=FALSE,HP.MRFX,INDEX(MO_SPT_FXEoP,1,COLUMN()))</f>
        <v>1</v>
      </c>
      <c r="S554" s="479">
        <f t="array" ref="S554">IF(INDEX(MO_SNA_IsHistoricalPeriod,1,COLUMN())=FALSE,HP.MRFX,INDEX(MO_SPT_FXEoP,1,COLUMN()))</f>
        <v>1</v>
      </c>
      <c r="T554" s="479">
        <f t="array" ref="T554">IF(INDEX(MO_SNA_IsHistoricalPeriod,1,COLUMN())=FALSE,HP.MRFX,INDEX(MO_SPT_FXEoP,1,COLUMN()))</f>
        <v>1</v>
      </c>
      <c r="U554" s="478">
        <f t="array" ref="U554">IF(INDEX(MO_SNA_IsHistoricalPeriod,1,COLUMN())=FALSE,HP.MRFX,INDEX(MO_SPT_FXEoP,1,COLUMN()))</f>
        <v>1</v>
      </c>
      <c r="V554" s="479">
        <f t="array" ref="V554">IF(INDEX(MO_SNA_IsHistoricalPeriod,1,COLUMN())=FALSE,HP.MRFX,INDEX(MO_SPT_FXEoP,1,COLUMN()))</f>
        <v>1</v>
      </c>
      <c r="W554" s="479">
        <f t="array" ref="W554">IF(INDEX(MO_SNA_IsHistoricalPeriod,1,COLUMN())=FALSE,HP.MRFX,INDEX(MO_SPT_FXEoP,1,COLUMN()))</f>
        <v>1</v>
      </c>
      <c r="X554" s="479">
        <f t="array" ref="X554">IF(INDEX(MO_SNA_IsHistoricalPeriod,1,COLUMN())=FALSE,HP.MRFX,INDEX(MO_SPT_FXEoP,1,COLUMN()))</f>
        <v>1</v>
      </c>
      <c r="Y554" s="479">
        <f t="array" ref="Y554">IF(INDEX(MO_SNA_IsHistoricalPeriod,1,COLUMN())=FALSE,HP.MRFX,INDEX(MO_SPT_FXEoP,1,COLUMN()))</f>
        <v>1</v>
      </c>
      <c r="Z554" s="480">
        <f t="array" ref="Z554">IF(INDEX(MO_SNA_IsHistoricalPeriod,1,COLUMN())=FALSE,HP.MRFX,INDEX(MO_SPT_FXEoP,1,COLUMN()))</f>
        <v>1</v>
      </c>
      <c r="AA554" s="479">
        <f t="array" ref="AA554">IF(INDEX(MO_SNA_IsHistoricalPeriod,1,COLUMN())=FALSE,HP.MRFX,INDEX(MO_SPT_FXEoP,1,COLUMN()))</f>
        <v>1</v>
      </c>
      <c r="AB554" s="479">
        <f t="array" ref="AB554">IF(INDEX(MO_SNA_IsHistoricalPeriod,1,COLUMN())=FALSE,HP.MRFX,INDEX(MO_SPT_FXEoP,1,COLUMN()))</f>
        <v>1</v>
      </c>
      <c r="AC554" s="479">
        <f t="array" ref="AC554">IF(INDEX(MO_SNA_IsHistoricalPeriod,1,COLUMN())=FALSE,HP.MRFX,INDEX(MO_SPT_FXEoP,1,COLUMN()))</f>
        <v>1</v>
      </c>
      <c r="AD554" s="479">
        <f t="array" ref="AD554">IF(INDEX(MO_SNA_IsHistoricalPeriod,1,COLUMN())=FALSE,HP.MRFX,INDEX(MO_SPT_FXEoP,1,COLUMN()))</f>
        <v>1</v>
      </c>
      <c r="AE554" s="480">
        <f t="array" ref="AE554">IF(INDEX(MO_SNA_IsHistoricalPeriod,1,COLUMN())=FALSE,HP.MRFX,INDEX(MO_SPT_FXEoP,1,COLUMN()))</f>
        <v>1</v>
      </c>
      <c r="AF554" s="479">
        <f t="array" ref="AF554">IF(INDEX(MO_SNA_IsHistoricalPeriod,1,COLUMN())=FALSE,HP.MRFX,INDEX(MO_SPT_FXEoP,1,COLUMN()))</f>
        <v>1</v>
      </c>
      <c r="AG554" s="479">
        <f t="array" ref="AG554">IF(INDEX(MO_SNA_IsHistoricalPeriod,1,COLUMN())=FALSE,HP.MRFX,INDEX(MO_SPT_FXEoP,1,COLUMN()))</f>
        <v>1</v>
      </c>
      <c r="AH554" s="479">
        <f t="array" ref="AH554">IF(INDEX(MO_SNA_IsHistoricalPeriod,1,COLUMN())=FALSE,HP.MRFX,INDEX(MO_SPT_FXEoP,1,COLUMN()))</f>
        <v>1</v>
      </c>
      <c r="AI554" s="479">
        <f t="array" ref="AI554">IF(INDEX(MO_SNA_IsHistoricalPeriod,1,COLUMN())=FALSE,HP.MRFX,INDEX(MO_SPT_FXEoP,1,COLUMN()))</f>
        <v>1</v>
      </c>
      <c r="AJ554" s="480">
        <f t="array" ref="AJ554">IF(INDEX(MO_SNA_IsHistoricalPeriod,1,COLUMN())=FALSE,HP.MRFX,INDEX(MO_SPT_FXEoP,1,COLUMN()))</f>
        <v>1</v>
      </c>
      <c r="AK554" s="479">
        <f t="array" ref="AK554">IF(INDEX(MO_SNA_IsHistoricalPeriod,1,COLUMN())=FALSE,HP.MRFX,INDEX(MO_SPT_FXEoP,1,COLUMN()))</f>
        <v>1</v>
      </c>
      <c r="AL554" s="479">
        <f t="array" ref="AL554">IF(INDEX(MO_SNA_IsHistoricalPeriod,1,COLUMN())=FALSE,HP.MRFX,INDEX(MO_SPT_FXEoP,1,COLUMN()))</f>
        <v>1</v>
      </c>
      <c r="AM554" s="479">
        <f t="array" ref="AM554">IF(INDEX(MO_SNA_IsHistoricalPeriod,1,COLUMN())=FALSE,HP.MRFX,INDEX(MO_SPT_FXEoP,1,COLUMN()))</f>
        <v>1</v>
      </c>
      <c r="AN554" s="479">
        <f t="array" ref="AN554">IF(INDEX(MO_SNA_IsHistoricalPeriod,1,COLUMN())=FALSE,HP.MRFX,INDEX(MO_SPT_FXEoP,1,COLUMN()))</f>
        <v>1</v>
      </c>
      <c r="AO554" s="480">
        <f t="array" ref="AO554">IF(INDEX(MO_SNA_IsHistoricalPeriod,1,COLUMN())=FALSE,HP.MRFX,INDEX(MO_SPT_FXEoP,1,COLUMN()))</f>
        <v>1</v>
      </c>
      <c r="AP554" s="479">
        <f t="array" ref="AP554">IF(INDEX(MO_SNA_IsHistoricalPeriod,1,COLUMN())=FALSE,HP.MRFX,INDEX(MO_SPT_FXEoP,1,COLUMN()))</f>
        <v>1</v>
      </c>
      <c r="AQ554" s="479">
        <f t="array" ref="AQ554">IF(INDEX(MO_SNA_IsHistoricalPeriod,1,COLUMN())=FALSE,HP.MRFX,INDEX(MO_SPT_FXEoP,1,COLUMN()))</f>
        <v>1</v>
      </c>
      <c r="AR554" s="479">
        <f t="array" ref="AR554">IF(INDEX(MO_SNA_IsHistoricalPeriod,1,COLUMN())=FALSE,HP.MRFX,INDEX(MO_SPT_FXEoP,1,COLUMN()))</f>
        <v>1</v>
      </c>
      <c r="AS554" s="479">
        <f t="array" ref="AS554">IF(INDEX(MO_SNA_IsHistoricalPeriod,1,COLUMN())=FALSE,HP.MRFX,INDEX(MO_SPT_FXEoP,1,COLUMN()))</f>
        <v>1</v>
      </c>
      <c r="AT554" s="480">
        <f t="array" ref="AT554">IF(INDEX(MO_SNA_IsHistoricalPeriod,1,COLUMN())=FALSE,HP.MRFX,INDEX(MO_SPT_FXEoP,1,COLUMN()))</f>
        <v>1</v>
      </c>
      <c r="AU554" s="479">
        <f t="array" ref="AU554">IF(INDEX(MO_SNA_IsHistoricalPeriod,1,COLUMN())=FALSE,HP.MRFX,INDEX(MO_SPT_FXEoP,1,COLUMN()))</f>
        <v>1</v>
      </c>
      <c r="AV554" s="479">
        <f t="array" ref="AV554">IF(INDEX(MO_SNA_IsHistoricalPeriod,1,COLUMN())=FALSE,HP.MRFX,INDEX(MO_SPT_FXEoP,1,COLUMN()))</f>
        <v>1</v>
      </c>
      <c r="AW554" s="479">
        <f t="array" ref="AW554">IF(INDEX(MO_SNA_IsHistoricalPeriod,1,COLUMN())=FALSE,HP.MRFX,INDEX(MO_SPT_FXEoP,1,COLUMN()))</f>
        <v>1</v>
      </c>
      <c r="AX554" s="479">
        <f t="array" ref="AX554">IF(INDEX(MO_SNA_IsHistoricalPeriod,1,COLUMN())=FALSE,HP.MRFX,INDEX(MO_SPT_FXEoP,1,COLUMN()))</f>
        <v>1</v>
      </c>
      <c r="AY554" s="480">
        <f t="array" ref="AY554">IF(INDEX(MO_SNA_IsHistoricalPeriod,1,COLUMN())=FALSE,HP.MRFX,INDEX(MO_SPT_FXEoP,1,COLUMN()))</f>
        <v>1</v>
      </c>
      <c r="AZ554" s="479">
        <f t="array" ref="AZ554">IF(INDEX(MO_SNA_IsHistoricalPeriod,1,COLUMN())=FALSE,HP.MRFX,INDEX(MO_SPT_FXEoP,1,COLUMN()))</f>
        <v>1</v>
      </c>
      <c r="BA554" s="479">
        <f t="array" ref="BA554">IF(INDEX(MO_SNA_IsHistoricalPeriod,1,COLUMN())=FALSE,HP.MRFX,INDEX(MO_SPT_FXEoP,1,COLUMN()))</f>
        <v>1</v>
      </c>
      <c r="BB554" s="479">
        <f t="array" ref="BB554">IF(INDEX(MO_SNA_IsHistoricalPeriod,1,COLUMN())=FALSE,HP.MRFX,INDEX(MO_SPT_FXEoP,1,COLUMN()))</f>
        <v>1</v>
      </c>
      <c r="BC554" s="479">
        <f t="array" ref="BC554">IF(INDEX(MO_SNA_IsHistoricalPeriod,1,COLUMN())=FALSE,HP.MRFX,INDEX(MO_SPT_FXEoP,1,COLUMN()))</f>
        <v>1</v>
      </c>
      <c r="BD554" s="480">
        <f t="array" ref="BD554">IF(INDEX(MO_SNA_IsHistoricalPeriod,1,COLUMN())=FALSE,HP.MRFX,INDEX(MO_SPT_FXEoP,1,COLUMN()))</f>
        <v>1</v>
      </c>
      <c r="BE554" s="481">
        <f t="array" ref="BE554">IF(INDEX(MO_SNA_IsHistoricalPeriod,1,COLUMN())=FALSE,HP.MRFX,INDEX(MO_SPT_FXEoP,1,COLUMN()))</f>
        <v>1</v>
      </c>
      <c r="BF554" s="481">
        <f t="array" ref="BF554">IF(INDEX(MO_SNA_IsHistoricalPeriod,1,COLUMN())=FALSE,HP.MRFX,INDEX(MO_SPT_FXEoP,1,COLUMN()))</f>
        <v>1</v>
      </c>
      <c r="BG554" s="481">
        <f t="array" ref="BG554">IF(INDEX(MO_SNA_IsHistoricalPeriod,1,COLUMN())=FALSE,HP.MRFX,INDEX(MO_SPT_FXEoP,1,COLUMN()))</f>
        <v>1</v>
      </c>
      <c r="BH554" s="481">
        <f t="array" ref="BH554">IF(INDEX(MO_SNA_IsHistoricalPeriod,1,COLUMN())=FALSE,HP.MRFX,INDEX(MO_SPT_FXEoP,1,COLUMN()))</f>
        <v>1</v>
      </c>
      <c r="BI554" s="482">
        <f t="array" ref="BI554">IF(INDEX(MO_SNA_IsHistoricalPeriod,1,COLUMN())=FALSE,HP.MRFX,INDEX(MO_SPT_FXEoP,1,COLUMN()))</f>
        <v>1</v>
      </c>
      <c r="BJ554" s="481">
        <f t="array" aca="1" ref="BJ554" ca="1">IF(INDEX(MO_SNA_IsHistoricalPeriod,1,COLUMN())=FALSE,HP.MRFX,INDEX(MO_SPT_FXEoP,1,COLUMN()))</f>
        <v>1</v>
      </c>
      <c r="BK554" s="481">
        <f t="array" aca="1" ref="BK554" ca="1">IF(INDEX(MO_SNA_IsHistoricalPeriod,1,COLUMN())=FALSE,HP.MRFX,INDEX(MO_SPT_FXEoP,1,COLUMN()))</f>
        <v>1</v>
      </c>
      <c r="BL554" s="481">
        <f t="array" aca="1" ref="BL554" ca="1">IF(INDEX(MO_SNA_IsHistoricalPeriod,1,COLUMN())=FALSE,HP.MRFX,INDEX(MO_SPT_FXEoP,1,COLUMN()))</f>
        <v>1</v>
      </c>
      <c r="BM554" s="481">
        <f t="array" aca="1" ref="BM554" ca="1">IF(INDEX(MO_SNA_IsHistoricalPeriod,1,COLUMN())=FALSE,HP.MRFX,INDEX(MO_SPT_FXEoP,1,COLUMN()))</f>
        <v>1</v>
      </c>
      <c r="BN554" s="480">
        <f t="array" aca="1" ref="BN554" ca="1">IF(INDEX(MO_SNA_IsHistoricalPeriod,1,COLUMN())=FALSE,HP.MRFX,INDEX(MO_SPT_FXEoP,1,COLUMN()))</f>
        <v>1</v>
      </c>
      <c r="BO554" s="481">
        <f t="array" aca="1" ref="BO554" ca="1">IF(INDEX(MO_SNA_IsHistoricalPeriod,1,COLUMN())=FALSE,HP.MRFX,INDEX(MO_SPT_FXEoP,1,COLUMN()))</f>
        <v>1</v>
      </c>
      <c r="BP554" s="481">
        <f t="array" aca="1" ref="BP554" ca="1">IF(INDEX(MO_SNA_IsHistoricalPeriod,1,COLUMN())=FALSE,HP.MRFX,INDEX(MO_SPT_FXEoP,1,COLUMN()))</f>
        <v>1</v>
      </c>
      <c r="BQ554" s="481">
        <f t="array" aca="1" ref="BQ554" ca="1">IF(INDEX(MO_SNA_IsHistoricalPeriod,1,COLUMN())=FALSE,HP.MRFX,INDEX(MO_SPT_FXEoP,1,COLUMN()))</f>
        <v>1</v>
      </c>
      <c r="BR554" s="481">
        <f t="array" aca="1" ref="BR554" ca="1">IF(INDEX(MO_SNA_IsHistoricalPeriod,1,COLUMN())=FALSE,HP.MRFX,INDEX(MO_SPT_FXEoP,1,COLUMN()))</f>
        <v>1</v>
      </c>
      <c r="BS554" s="480">
        <f t="array" aca="1" ref="BS554" ca="1">IF(INDEX(MO_SNA_IsHistoricalPeriod,1,COLUMN())=FALSE,HP.MRFX,INDEX(MO_SPT_FXEoP,1,COLUMN()))</f>
        <v>1</v>
      </c>
      <c r="BT554" s="480">
        <f t="array" aca="1" ref="BT554" ca="1">IF(INDEX(MO_SNA_IsHistoricalPeriod,1,COLUMN())=FALSE,HP.MRFX,INDEX(MO_SPT_FXEoP,1,COLUMN()))</f>
        <v>1</v>
      </c>
      <c r="BU554" s="480">
        <f t="array" aca="1" ref="BU554" ca="1">IF(INDEX(MO_SNA_IsHistoricalPeriod,1,COLUMN())=FALSE,HP.MRFX,INDEX(MO_SPT_FXEoP,1,COLUMN()))</f>
        <v>1</v>
      </c>
      <c r="BV554" s="480">
        <f t="array" aca="1" ref="BV554" ca="1">IF(INDEX(MO_SNA_IsHistoricalPeriod,1,COLUMN())=FALSE,HP.MRFX,INDEX(MO_SPT_FXEoP,1,COLUMN()))</f>
        <v>1</v>
      </c>
      <c r="BW554" s="483"/>
    </row>
    <row r="555" spans="1:75" ht="15.75" hidden="1" customHeight="1" outlineLevel="1" x14ac:dyDescent="0.2">
      <c r="A555" s="463" t="str">
        <f ca="1">"Stock Price (Trading Cur.) - "&amp;MO.ValuationToggle&amp;", "&amp;HP.TradeCurrency</f>
        <v>Stock Price (Trading Cur.) - EoP, USD</v>
      </c>
      <c r="B555" s="464"/>
      <c r="C555" s="465">
        <f t="array" ref="C555">IF(INDEX(MO_SNA_IsHistoricalPeriod,1,COLUMN())=FALSE,MO.LastPrice,CHOOSE(VLOOKUP(MO.ValuationToggle,tb_ValuationToggle,COLUMNS(tb_ValuationToggle),FALSE),C549,C550,C551,C552))</f>
        <v>22.38</v>
      </c>
      <c r="D555" s="465">
        <f t="array" ref="D555">IF(INDEX(MO_SNA_IsHistoricalPeriod,1,COLUMN())=FALSE,MO.LastPrice,CHOOSE(VLOOKUP(MO.ValuationToggle,tb_ValuationToggle,COLUMNS(tb_ValuationToggle),FALSE),D549,D550,D551,D552))</f>
        <v>31.19</v>
      </c>
      <c r="E555" s="465">
        <f t="array" ref="E555">IF(INDEX(MO_SNA_IsHistoricalPeriod,1,COLUMN())=FALSE,MO.LastPrice,CHOOSE(VLOOKUP(MO.ValuationToggle,tb_ValuationToggle,COLUMNS(tb_ValuationToggle),FALSE),E549,E550,E551,E552))</f>
        <v>29.35</v>
      </c>
      <c r="F555" s="465">
        <f t="array" ref="F555">IF(INDEX(MO_SNA_IsHistoricalPeriod,1,COLUMN())=FALSE,MO.LastPrice,CHOOSE(VLOOKUP(MO.ValuationToggle,tb_ValuationToggle,COLUMNS(tb_ValuationToggle),FALSE),F549,F550,F551,F552))</f>
        <v>32.71</v>
      </c>
      <c r="G555" s="466">
        <f t="array" ref="G555">IF(INDEX(MO_SNA_IsHistoricalPeriod,1,COLUMN())=FALSE,MO.LastPrice,CHOOSE(VLOOKUP(MO.ValuationToggle,tb_ValuationToggle,COLUMNS(tb_ValuationToggle),FALSE),G549,G550,G551,G552))</f>
        <v>37.99</v>
      </c>
      <c r="H555" s="466">
        <f t="array" ref="H555">IF(INDEX(MO_SNA_IsHistoricalPeriod,1,COLUMN())=FALSE,MO.LastPrice,CHOOSE(VLOOKUP(MO.ValuationToggle,tb_ValuationToggle,COLUMNS(tb_ValuationToggle),FALSE),H549,H550,H551,H552))</f>
        <v>42.33</v>
      </c>
      <c r="I555" s="466">
        <f t="array" ref="I555">IF(INDEX(MO_SNA_IsHistoricalPeriod,1,COLUMN())=FALSE,MO.LastPrice,CHOOSE(VLOOKUP(MO.ValuationToggle,tb_ValuationToggle,COLUMNS(tb_ValuationToggle),FALSE),I549,I550,I551,I552))</f>
        <v>43.95</v>
      </c>
      <c r="J555" s="466">
        <f t="array" ref="J555">IF(INDEX(MO_SNA_IsHistoricalPeriod,1,COLUMN())=FALSE,MO.LastPrice,CHOOSE(VLOOKUP(MO.ValuationToggle,tb_ValuationToggle,COLUMNS(tb_ValuationToggle),FALSE),J549,J550,J551,J552))</f>
        <v>48.43</v>
      </c>
      <c r="K555" s="465">
        <f t="array" ref="K555">IF(INDEX(MO_SNA_IsHistoricalPeriod,1,COLUMN())=FALSE,MO.LastPrice,CHOOSE(VLOOKUP(MO.ValuationToggle,tb_ValuationToggle,COLUMNS(tb_ValuationToggle),FALSE),K549,K550,K551,K552))</f>
        <v>48.43</v>
      </c>
      <c r="L555" s="466">
        <f t="array" ref="L555">IF(INDEX(MO_SNA_IsHistoricalPeriod,1,COLUMN())=FALSE,MO.LastPrice,CHOOSE(VLOOKUP(MO.ValuationToggle,tb_ValuationToggle,COLUMNS(tb_ValuationToggle),FALSE),L549,L550,L551,L552))</f>
        <v>47.63</v>
      </c>
      <c r="M555" s="466">
        <f t="array" ref="M555">IF(INDEX(MO_SNA_IsHistoricalPeriod,1,COLUMN())=FALSE,MO.LastPrice,CHOOSE(VLOOKUP(MO.ValuationToggle,tb_ValuationToggle,COLUMNS(tb_ValuationToggle),FALSE),M549,M550,M551,M552))</f>
        <v>46.42</v>
      </c>
      <c r="N555" s="466">
        <f t="array" ref="N555">IF(INDEX(MO_SNA_IsHistoricalPeriod,1,COLUMN())=FALSE,MO.LastPrice,CHOOSE(VLOOKUP(MO.ValuationToggle,tb_ValuationToggle,COLUMNS(tb_ValuationToggle),FALSE),N549,N550,N551,N552))</f>
        <v>45.96</v>
      </c>
      <c r="O555" s="466">
        <f t="array" ref="O555">IF(INDEX(MO_SNA_IsHistoricalPeriod,1,COLUMN())=FALSE,MO.LastPrice,CHOOSE(VLOOKUP(MO.ValuationToggle,tb_ValuationToggle,COLUMNS(tb_ValuationToggle),FALSE),O549,O550,O551,O552))</f>
        <v>50.91</v>
      </c>
      <c r="P555" s="465">
        <f t="array" ref="P555">IF(INDEX(MO_SNA_IsHistoricalPeriod,1,COLUMN())=FALSE,MO.LastPrice,CHOOSE(VLOOKUP(MO.ValuationToggle,tb_ValuationToggle,COLUMNS(tb_ValuationToggle),FALSE),P549,P550,P551,P552))</f>
        <v>50.91</v>
      </c>
      <c r="Q555" s="466">
        <f t="array" ref="Q555">IF(INDEX(MO_SNA_IsHistoricalPeriod,1,COLUMN())=FALSE,MO.LastPrice,CHOOSE(VLOOKUP(MO.ValuationToggle,tb_ValuationToggle,COLUMNS(tb_ValuationToggle),FALSE),Q549,Q550,Q551,Q552))</f>
        <v>49.47</v>
      </c>
      <c r="R555" s="466">
        <f t="array" ref="R555">IF(INDEX(MO_SNA_IsHistoricalPeriod,1,COLUMN())=FALSE,MO.LastPrice,CHOOSE(VLOOKUP(MO.ValuationToggle,tb_ValuationToggle,COLUMNS(tb_ValuationToggle),FALSE),R549,R550,R551,R552))</f>
        <v>54.17</v>
      </c>
      <c r="S555" s="466">
        <f t="array" ref="S555">IF(INDEX(MO_SNA_IsHistoricalPeriod,1,COLUMN())=FALSE,MO.LastPrice,CHOOSE(VLOOKUP(MO.ValuationToggle,tb_ValuationToggle,COLUMNS(tb_ValuationToggle),FALSE),S549,S550,S551,S552))</f>
        <v>53.44</v>
      </c>
      <c r="T555" s="466">
        <f t="array" ref="T555">IF(INDEX(MO_SNA_IsHistoricalPeriod,1,COLUMN())=FALSE,MO.LastPrice,CHOOSE(VLOOKUP(MO.ValuationToggle,tb_ValuationToggle,COLUMNS(tb_ValuationToggle),FALSE),T549,T550,T551,T552))</f>
        <v>46.53</v>
      </c>
      <c r="U555" s="465">
        <f t="array" ref="U555">IF(INDEX(MO_SNA_IsHistoricalPeriod,1,COLUMN())=FALSE,MO.LastPrice,CHOOSE(VLOOKUP(MO.ValuationToggle,tb_ValuationToggle,COLUMNS(tb_ValuationToggle),FALSE),U549,U550,U551,U552))</f>
        <v>46.53</v>
      </c>
      <c r="V555" s="466">
        <f t="array" ref="V555">IF(INDEX(MO_SNA_IsHistoricalPeriod,1,COLUMN())=FALSE,MO.LastPrice,CHOOSE(VLOOKUP(MO.ValuationToggle,tb_ValuationToggle,COLUMNS(tb_ValuationToggle),FALSE),V549,V550,V551,V552))</f>
        <v>51.72</v>
      </c>
      <c r="W555" s="466">
        <f t="array" ref="W555">IF(INDEX(MO_SNA_IsHistoricalPeriod,1,COLUMN())=FALSE,MO.LastPrice,CHOOSE(VLOOKUP(MO.ValuationToggle,tb_ValuationToggle,COLUMNS(tb_ValuationToggle),FALSE),W549,W550,W551,W552))</f>
        <v>47.25</v>
      </c>
      <c r="X555" s="466">
        <f t="array" ref="X555">IF(INDEX(MO_SNA_IsHistoricalPeriod,1,COLUMN())=FALSE,MO.LastPrice,CHOOSE(VLOOKUP(MO.ValuationToggle,tb_ValuationToggle,COLUMNS(tb_ValuationToggle),FALSE),X549,X550,X551,X552))</f>
        <v>51.96</v>
      </c>
      <c r="Y555" s="466">
        <f t="array" ref="Y555">IF(INDEX(MO_SNA_IsHistoricalPeriod,1,COLUMN())=FALSE,MO.LastPrice,CHOOSE(VLOOKUP(MO.ValuationToggle,tb_ValuationToggle,COLUMNS(tb_ValuationToggle),FALSE),Y549,Y550,Y551,Y552))</f>
        <v>59.88</v>
      </c>
      <c r="Z555" s="467">
        <f t="array" ref="Z555">IF(INDEX(MO_SNA_IsHistoricalPeriod,1,COLUMN())=FALSE,MO.LastPrice,CHOOSE(VLOOKUP(MO.ValuationToggle,tb_ValuationToggle,COLUMNS(tb_ValuationToggle),FALSE),Z549,Z550,Z551,Z552))</f>
        <v>59.88</v>
      </c>
      <c r="AA555" s="466">
        <f t="array" ref="AA555">IF(INDEX(MO_SNA_IsHistoricalPeriod,1,COLUMN())=FALSE,MO.LastPrice,CHOOSE(VLOOKUP(MO.ValuationToggle,tb_ValuationToggle,COLUMNS(tb_ValuationToggle),FALSE),AA549,AA550,AA551,AA552))</f>
        <v>63.18</v>
      </c>
      <c r="AB555" s="466">
        <f t="array" ref="AB555">IF(INDEX(MO_SNA_IsHistoricalPeriod,1,COLUMN())=FALSE,MO.LastPrice,CHOOSE(VLOOKUP(MO.ValuationToggle,tb_ValuationToggle,COLUMNS(tb_ValuationToggle),FALSE),AB549,AB550,AB551,AB552))</f>
        <v>50.01</v>
      </c>
      <c r="AC555" s="466">
        <f t="array" ref="AC555">IF(INDEX(MO_SNA_IsHistoricalPeriod,1,COLUMN())=FALSE,MO.LastPrice,CHOOSE(VLOOKUP(MO.ValuationToggle,tb_ValuationToggle,COLUMNS(tb_ValuationToggle),FALSE),AC549,AC550,AC551,AC552))</f>
        <v>42.32</v>
      </c>
      <c r="AD555" s="466">
        <f t="array" ref="AD555">IF(INDEX(MO_SNA_IsHistoricalPeriod,1,COLUMN())=FALSE,MO.LastPrice,CHOOSE(VLOOKUP(MO.ValuationToggle,tb_ValuationToggle,COLUMNS(tb_ValuationToggle),FALSE),AD549,AD550,AD551,AD552))</f>
        <v>48.18</v>
      </c>
      <c r="AE555" s="467">
        <f t="array" ref="AE555">IF(INDEX(MO_SNA_IsHistoricalPeriod,1,COLUMN())=FALSE,MO.LastPrice,CHOOSE(VLOOKUP(MO.ValuationToggle,tb_ValuationToggle,COLUMNS(tb_ValuationToggle),FALSE),AE549,AE550,AE551,AE552))</f>
        <v>48.18</v>
      </c>
      <c r="AF555" s="466">
        <f t="array" ref="AF555">IF(INDEX(MO_SNA_IsHistoricalPeriod,1,COLUMN())=FALSE,MO.LastPrice,CHOOSE(VLOOKUP(MO.ValuationToggle,tb_ValuationToggle,COLUMNS(tb_ValuationToggle),FALSE),AF549,AF550,AF551,AF552))</f>
        <v>47.47</v>
      </c>
      <c r="AG555" s="466">
        <f t="array" ref="AG555">IF(INDEX(MO_SNA_IsHistoricalPeriod,1,COLUMN())=FALSE,MO.LastPrice,CHOOSE(VLOOKUP(MO.ValuationToggle,tb_ValuationToggle,COLUMNS(tb_ValuationToggle),FALSE),AG549,AG550,AG551,AG552))</f>
        <v>55.76</v>
      </c>
      <c r="AH555" s="466">
        <f t="array" ref="AH555">IF(INDEX(MO_SNA_IsHistoricalPeriod,1,COLUMN())=FALSE,MO.LastPrice,CHOOSE(VLOOKUP(MO.ValuationToggle,tb_ValuationToggle,COLUMNS(tb_ValuationToggle),FALSE),AH549,AH550,AH551,AH552))</f>
        <v>52.49</v>
      </c>
      <c r="AI555" s="466">
        <f t="array" ref="AI555">IF(INDEX(MO_SNA_IsHistoricalPeriod,1,COLUMN())=FALSE,MO.LastPrice,CHOOSE(VLOOKUP(MO.ValuationToggle,tb_ValuationToggle,COLUMNS(tb_ValuationToggle),FALSE),AI549,AI550,AI551,AI552))</f>
        <v>43.51</v>
      </c>
      <c r="AJ555" s="467">
        <f t="array" ref="AJ555">IF(INDEX(MO_SNA_IsHistoricalPeriod,1,COLUMN())=FALSE,MO.LastPrice,CHOOSE(VLOOKUP(MO.ValuationToggle,tb_ValuationToggle,COLUMNS(tb_ValuationToggle),FALSE),AJ549,AJ550,AJ551,AJ552))</f>
        <v>43.51</v>
      </c>
      <c r="AK555" s="466">
        <f t="array" ref="AK555">IF(INDEX(MO_SNA_IsHistoricalPeriod,1,COLUMN())=FALSE,MO.LastPrice,CHOOSE(VLOOKUP(MO.ValuationToggle,tb_ValuationToggle,COLUMNS(tb_ValuationToggle),FALSE),AK549,AK550,AK551,AK552))</f>
        <v>48.59</v>
      </c>
      <c r="AL555" s="466">
        <f t="array" ref="AL555">IF(INDEX(MO_SNA_IsHistoricalPeriod,1,COLUMN())=FALSE,MO.LastPrice,CHOOSE(VLOOKUP(MO.ValuationToggle,tb_ValuationToggle,COLUMNS(tb_ValuationToggle),FALSE),AL549,AL550,AL551,AL552))</f>
        <v>43.1</v>
      </c>
      <c r="AM555" s="466">
        <f t="array" ref="AM555">IF(INDEX(MO_SNA_IsHistoricalPeriod,1,COLUMN())=FALSE,MO.LastPrice,CHOOSE(VLOOKUP(MO.ValuationToggle,tb_ValuationToggle,COLUMNS(tb_ValuationToggle),FALSE),AM549,AM550,AM551,AM552))</f>
        <v>41.68</v>
      </c>
      <c r="AN555" s="466">
        <f t="array" ref="AN555">IF(INDEX(MO_SNA_IsHistoricalPeriod,1,COLUMN())=FALSE,MO.LastPrice,CHOOSE(VLOOKUP(MO.ValuationToggle,tb_ValuationToggle,COLUMNS(tb_ValuationToggle),FALSE),AN549,AN550,AN551,AN552))</f>
        <v>38.799999999999997</v>
      </c>
      <c r="AO555" s="467">
        <f t="array" ref="AO555">IF(INDEX(MO_SNA_IsHistoricalPeriod,1,COLUMN())=FALSE,MO.LastPrice,CHOOSE(VLOOKUP(MO.ValuationToggle,tb_ValuationToggle,COLUMNS(tb_ValuationToggle),FALSE),AO549,AO550,AO551,AO552))</f>
        <v>38.799999999999997</v>
      </c>
      <c r="AP555" s="466">
        <f t="array" ref="AP555">IF(INDEX(MO_SNA_IsHistoricalPeriod,1,COLUMN())=FALSE,MO.LastPrice,CHOOSE(VLOOKUP(MO.ValuationToggle,tb_ValuationToggle,COLUMNS(tb_ValuationToggle),FALSE),AP549,AP550,AP551,AP552))</f>
        <v>16.5</v>
      </c>
      <c r="AQ555" s="466">
        <f t="array" ref="AQ555">IF(INDEX(MO_SNA_IsHistoricalPeriod,1,COLUMN())=FALSE,MO.LastPrice,CHOOSE(VLOOKUP(MO.ValuationToggle,tb_ValuationToggle,COLUMNS(tb_ValuationToggle),FALSE),AQ549,AQ550,AQ551,AQ552))</f>
        <v>22.74</v>
      </c>
      <c r="AR555" s="466">
        <f t="array" ref="AR555">IF(INDEX(MO_SNA_IsHistoricalPeriod,1,COLUMN())=FALSE,MO.LastPrice,CHOOSE(VLOOKUP(MO.ValuationToggle,tb_ValuationToggle,COLUMNS(tb_ValuationToggle),FALSE),AR549,AR550,AR551,AR552))</f>
        <v>28.11</v>
      </c>
      <c r="AS555" s="466">
        <f t="array" ref="AS555">IF(INDEX(MO_SNA_IsHistoricalPeriod,1,COLUMN())=FALSE,MO.LastPrice,CHOOSE(VLOOKUP(MO.ValuationToggle,tb_ValuationToggle,COLUMNS(tb_ValuationToggle),FALSE),AS549,AS550,AS551,AS552))</f>
        <v>37.35</v>
      </c>
      <c r="AT555" s="467">
        <f t="array" ref="AT555">IF(INDEX(MO_SNA_IsHistoricalPeriod,1,COLUMN())=FALSE,MO.LastPrice,CHOOSE(VLOOKUP(MO.ValuationToggle,tb_ValuationToggle,COLUMNS(tb_ValuationToggle),FALSE),AT549,AT550,AT551,AT552))</f>
        <v>37.35</v>
      </c>
      <c r="AU555" s="466">
        <f t="array" ref="AU555">IF(INDEX(MO_SNA_IsHistoricalPeriod,1,COLUMN())=FALSE,MO.LastPrice,CHOOSE(VLOOKUP(MO.ValuationToggle,tb_ValuationToggle,COLUMNS(tb_ValuationToggle),FALSE),AU549,AU550,AU551,AU552))</f>
        <v>58.18</v>
      </c>
      <c r="AV555" s="466">
        <f t="array" ref="AV555">IF(INDEX(MO_SNA_IsHistoricalPeriod,1,COLUMN())=FALSE,MO.LastPrice,CHOOSE(VLOOKUP(MO.ValuationToggle,tb_ValuationToggle,COLUMNS(tb_ValuationToggle),FALSE),AV549,AV550,AV551,AV552))</f>
        <v>53.43</v>
      </c>
      <c r="AW555" s="466">
        <f t="array" ref="AW555">IF(INDEX(MO_SNA_IsHistoricalPeriod,1,COLUMN())=FALSE,MO.LastPrice,CHOOSE(VLOOKUP(MO.ValuationToggle,tb_ValuationToggle,COLUMNS(tb_ValuationToggle),FALSE),AW549,AW550,AW551,AW552))</f>
        <v>49.82</v>
      </c>
      <c r="AX555" s="466">
        <f t="array" ref="AX555">IF(INDEX(MO_SNA_IsHistoricalPeriod,1,COLUMN())=FALSE,MO.LastPrice,CHOOSE(VLOOKUP(MO.ValuationToggle,tb_ValuationToggle,COLUMNS(tb_ValuationToggle),FALSE),AX549,AX550,AX551,AX552))</f>
        <v>40.35</v>
      </c>
      <c r="AY555" s="467">
        <f t="array" ref="AY555">IF(INDEX(MO_SNA_IsHistoricalPeriod,1,COLUMN())=FALSE,MO.LastPrice,CHOOSE(VLOOKUP(MO.ValuationToggle,tb_ValuationToggle,COLUMNS(tb_ValuationToggle),FALSE),AY549,AY550,AY551,AY552))</f>
        <v>40.35</v>
      </c>
      <c r="AZ555" s="466">
        <f t="array" ref="AZ555">IF(INDEX(MO_SNA_IsHistoricalPeriod,1,COLUMN())=FALSE,MO.LastPrice,CHOOSE(VLOOKUP(MO.ValuationToggle,tb_ValuationToggle,COLUMNS(tb_ValuationToggle),FALSE),AZ549,AZ550,AZ551,AZ552))</f>
        <v>38.83</v>
      </c>
      <c r="BA555" s="466">
        <f t="array" ref="BA555">IF(INDEX(MO_SNA_IsHistoricalPeriod,1,COLUMN())=FALSE,MO.LastPrice,CHOOSE(VLOOKUP(MO.ValuationToggle,tb_ValuationToggle,COLUMNS(tb_ValuationToggle),FALSE),BA549,BA550,BA551,BA552))</f>
        <v>28.54</v>
      </c>
      <c r="BB555" s="466">
        <f t="array" ref="BB555">IF(INDEX(MO_SNA_IsHistoricalPeriod,1,COLUMN())=FALSE,MO.LastPrice,CHOOSE(VLOOKUP(MO.ValuationToggle,tb_ValuationToggle,COLUMNS(tb_ValuationToggle),FALSE),BB549,BB550,BB551,BB552))</f>
        <v>28.56</v>
      </c>
      <c r="BC555" s="466">
        <f t="array" ref="BC555">IF(INDEX(MO_SNA_IsHistoricalPeriod,1,COLUMN())=FALSE,MO.LastPrice,CHOOSE(VLOOKUP(MO.ValuationToggle,tb_ValuationToggle,COLUMNS(tb_ValuationToggle),FALSE),BC549,BC550,BC551,BC552))</f>
        <v>31.71</v>
      </c>
      <c r="BD555" s="467">
        <f t="array" ref="BD555">IF(INDEX(MO_SNA_IsHistoricalPeriod,1,COLUMN())=FALSE,MO.LastPrice,CHOOSE(VLOOKUP(MO.ValuationToggle,tb_ValuationToggle,COLUMNS(tb_ValuationToggle),FALSE),BD549,BD550,BD551,BD552))</f>
        <v>31.71</v>
      </c>
      <c r="BE555" s="468">
        <f t="array" ref="BE555">IF(INDEX(MO_SNA_IsHistoricalPeriod,1,COLUMN())=FALSE,MO.LastPrice,CHOOSE(VLOOKUP(MO.ValuationToggle,tb_ValuationToggle,COLUMNS(tb_ValuationToggle),FALSE),BE549,BE550,BE551,BE552))</f>
        <v>35.049999999999997</v>
      </c>
      <c r="BF555" s="468">
        <f t="array" ref="BF555">IF(INDEX(MO_SNA_IsHistoricalPeriod,1,COLUMN())=FALSE,MO.LastPrice,CHOOSE(VLOOKUP(MO.ValuationToggle,tb_ValuationToggle,COLUMNS(tb_ValuationToggle),FALSE),BF549,BF550,BF551,BF552))</f>
        <v>35.35</v>
      </c>
      <c r="BG555" s="468">
        <f t="array" ref="BG555">IF(INDEX(MO_SNA_IsHistoricalPeriod,1,COLUMN())=FALSE,MO.LastPrice,CHOOSE(VLOOKUP(MO.ValuationToggle,tb_ValuationToggle,COLUMNS(tb_ValuationToggle),FALSE),BG549,BG550,BG551,BG552))</f>
        <v>29.6</v>
      </c>
      <c r="BH555" s="468">
        <f t="array" ref="BH555">IF(INDEX(MO_SNA_IsHistoricalPeriod,1,COLUMN())=FALSE,MO.LastPrice,CHOOSE(VLOOKUP(MO.ValuationToggle,tb_ValuationToggle,COLUMNS(tb_ValuationToggle),FALSE),BH549,BH550,BH551,BH552))</f>
        <v>35.01</v>
      </c>
      <c r="BI555" s="469">
        <f t="array" ref="BI555">IF(INDEX(MO_SNA_IsHistoricalPeriod,1,COLUMN())=FALSE,MO.LastPrice,CHOOSE(VLOOKUP(MO.ValuationToggle,tb_ValuationToggle,COLUMNS(tb_ValuationToggle),FALSE),BI549,BI550,BI551,BI552))</f>
        <v>35.01</v>
      </c>
      <c r="BJ555" s="468">
        <f t="array" aca="1" ref="BJ555" ca="1">IF(INDEX(MO_SNA_IsHistoricalPeriod,1,COLUMN())=FALSE,MO.LastPrice,CHOOSE(VLOOKUP(MO.ValuationToggle,tb_ValuationToggle,COLUMNS(tb_ValuationToggle),FALSE),BJ549,BJ550,BJ551,BJ552))</f>
        <v>35.479999999999997</v>
      </c>
      <c r="BK555" s="468">
        <f t="array" aca="1" ref="BK555" ca="1">IF(INDEX(MO_SNA_IsHistoricalPeriod,1,COLUMN())=FALSE,MO.LastPrice,CHOOSE(VLOOKUP(MO.ValuationToggle,tb_ValuationToggle,COLUMNS(tb_ValuationToggle),FALSE),BK549,BK550,BK551,BK552))</f>
        <v>35.479999999999997</v>
      </c>
      <c r="BL555" s="468">
        <f t="array" aca="1" ref="BL555" ca="1">IF(INDEX(MO_SNA_IsHistoricalPeriod,1,COLUMN())=FALSE,MO.LastPrice,CHOOSE(VLOOKUP(MO.ValuationToggle,tb_ValuationToggle,COLUMNS(tb_ValuationToggle),FALSE),BL549,BL550,BL551,BL552))</f>
        <v>35.479999999999997</v>
      </c>
      <c r="BM555" s="468">
        <f t="array" aca="1" ref="BM555" ca="1">IF(INDEX(MO_SNA_IsHistoricalPeriod,1,COLUMN())=FALSE,MO.LastPrice,CHOOSE(VLOOKUP(MO.ValuationToggle,tb_ValuationToggle,COLUMNS(tb_ValuationToggle),FALSE),BM549,BM550,BM551,BM552))</f>
        <v>35.479999999999997</v>
      </c>
      <c r="BN555" s="467">
        <f t="array" aca="1" ref="BN555" ca="1">IF(INDEX(MO_SNA_IsHistoricalPeriod,1,COLUMN())=FALSE,MO.LastPrice,CHOOSE(VLOOKUP(MO.ValuationToggle,tb_ValuationToggle,COLUMNS(tb_ValuationToggle),FALSE),BN549,BN550,BN551,BN552))</f>
        <v>35.479999999999997</v>
      </c>
      <c r="BO555" s="468">
        <f t="array" aca="1" ref="BO555" ca="1">IF(INDEX(MO_SNA_IsHistoricalPeriod,1,COLUMN())=FALSE,MO.LastPrice,CHOOSE(VLOOKUP(MO.ValuationToggle,tb_ValuationToggle,COLUMNS(tb_ValuationToggle),FALSE),BO549,BO550,BO551,BO552))</f>
        <v>35.479999999999997</v>
      </c>
      <c r="BP555" s="468">
        <f t="array" aca="1" ref="BP555" ca="1">IF(INDEX(MO_SNA_IsHistoricalPeriod,1,COLUMN())=FALSE,MO.LastPrice,CHOOSE(VLOOKUP(MO.ValuationToggle,tb_ValuationToggle,COLUMNS(tb_ValuationToggle),FALSE),BP549,BP550,BP551,BP552))</f>
        <v>35.479999999999997</v>
      </c>
      <c r="BQ555" s="468">
        <f t="array" aca="1" ref="BQ555" ca="1">IF(INDEX(MO_SNA_IsHistoricalPeriod,1,COLUMN())=FALSE,MO.LastPrice,CHOOSE(VLOOKUP(MO.ValuationToggle,tb_ValuationToggle,COLUMNS(tb_ValuationToggle),FALSE),BQ549,BQ550,BQ551,BQ552))</f>
        <v>35.479999999999997</v>
      </c>
      <c r="BR555" s="468">
        <f t="array" aca="1" ref="BR555" ca="1">IF(INDEX(MO_SNA_IsHistoricalPeriod,1,COLUMN())=FALSE,MO.LastPrice,CHOOSE(VLOOKUP(MO.ValuationToggle,tb_ValuationToggle,COLUMNS(tb_ValuationToggle),FALSE),BR549,BR550,BR551,BR552))</f>
        <v>35.479999999999997</v>
      </c>
      <c r="BS555" s="467">
        <f t="array" aca="1" ref="BS555" ca="1">IF(INDEX(MO_SNA_IsHistoricalPeriod,1,COLUMN())=FALSE,MO.LastPrice,CHOOSE(VLOOKUP(MO.ValuationToggle,tb_ValuationToggle,COLUMNS(tb_ValuationToggle),FALSE),BS549,BS550,BS551,BS552))</f>
        <v>35.479999999999997</v>
      </c>
      <c r="BT555" s="467">
        <f t="array" aca="1" ref="BT555" ca="1">IF(INDEX(MO_SNA_IsHistoricalPeriod,1,COLUMN())=FALSE,MO.LastPrice,CHOOSE(VLOOKUP(MO.ValuationToggle,tb_ValuationToggle,COLUMNS(tb_ValuationToggle),FALSE),BT549,BT550,BT551,BT552))</f>
        <v>35.479999999999997</v>
      </c>
      <c r="BU555" s="467">
        <f t="array" aca="1" ref="BU555" ca="1">IF(INDEX(MO_SNA_IsHistoricalPeriod,1,COLUMN())=FALSE,MO.LastPrice,CHOOSE(VLOOKUP(MO.ValuationToggle,tb_ValuationToggle,COLUMNS(tb_ValuationToggle),FALSE),BU549,BU550,BU551,BU552))</f>
        <v>35.479999999999997</v>
      </c>
      <c r="BV555" s="467">
        <f t="array" aca="1" ref="BV555" ca="1">IF(INDEX(MO_SNA_IsHistoricalPeriod,1,COLUMN())=FALSE,MO.LastPrice,CHOOSE(VLOOKUP(MO.ValuationToggle,tb_ValuationToggle,COLUMNS(tb_ValuationToggle),FALSE),BV549,BV550,BV551,BV552))</f>
        <v>35.479999999999997</v>
      </c>
      <c r="BW555" s="470"/>
    </row>
    <row r="556" spans="1:75" ht="15.75" hidden="1" customHeight="1" outlineLevel="1" x14ac:dyDescent="0.2">
      <c r="A556" s="85"/>
      <c r="B556" s="85"/>
      <c r="C556" s="86"/>
      <c r="D556" s="86"/>
      <c r="E556" s="86"/>
      <c r="F556" s="86"/>
      <c r="G556" s="2"/>
      <c r="H556" s="2"/>
      <c r="I556" s="2"/>
      <c r="J556" s="2"/>
      <c r="K556" s="86"/>
      <c r="L556" s="2"/>
      <c r="M556" s="2"/>
      <c r="N556" s="2"/>
      <c r="O556" s="2"/>
      <c r="P556" s="86"/>
      <c r="Q556" s="2"/>
      <c r="R556" s="2"/>
      <c r="S556" s="2"/>
      <c r="T556" s="2"/>
      <c r="U556" s="86"/>
      <c r="V556" s="2"/>
      <c r="W556" s="2"/>
      <c r="X556" s="2"/>
      <c r="Y556" s="2"/>
      <c r="Z556" s="86"/>
      <c r="AA556" s="2"/>
      <c r="AB556" s="2"/>
      <c r="AC556" s="2"/>
      <c r="AD556" s="2"/>
      <c r="AE556" s="86"/>
      <c r="AF556" s="2"/>
      <c r="AG556" s="2"/>
      <c r="AH556" s="2"/>
      <c r="AI556" s="2"/>
      <c r="AJ556" s="86"/>
      <c r="AK556" s="2"/>
      <c r="AL556" s="2"/>
      <c r="AM556" s="2"/>
      <c r="AN556" s="2"/>
      <c r="AO556" s="86"/>
      <c r="AP556" s="2"/>
      <c r="AQ556" s="2"/>
      <c r="AR556" s="2"/>
      <c r="AS556" s="2"/>
      <c r="AT556" s="86"/>
      <c r="AU556" s="2"/>
      <c r="AV556" s="2"/>
      <c r="AW556" s="2"/>
      <c r="AX556" s="2"/>
      <c r="AY556" s="86"/>
      <c r="AZ556" s="2"/>
      <c r="BA556" s="2"/>
      <c r="BB556" s="2"/>
      <c r="BC556" s="2"/>
      <c r="BD556" s="86"/>
      <c r="BE556" s="2"/>
      <c r="BF556" s="2"/>
      <c r="BG556" s="2"/>
      <c r="BH556" s="2"/>
      <c r="BI556" s="90"/>
      <c r="BJ556" s="2"/>
      <c r="BK556" s="2"/>
      <c r="BL556" s="2"/>
      <c r="BM556" s="2"/>
      <c r="BN556" s="86"/>
      <c r="BO556" s="2"/>
      <c r="BP556" s="2"/>
      <c r="BQ556" s="2"/>
      <c r="BR556" s="2"/>
      <c r="BS556" s="86"/>
      <c r="BT556" s="86"/>
      <c r="BU556" s="86"/>
      <c r="BV556" s="86"/>
      <c r="BW556" s="4"/>
    </row>
    <row r="557" spans="1:75" ht="15.75" hidden="1" customHeight="1" outlineLevel="1" x14ac:dyDescent="0.2">
      <c r="A557" s="229" t="s">
        <v>818</v>
      </c>
      <c r="B557" s="108"/>
      <c r="C557" s="109"/>
      <c r="D557" s="109"/>
      <c r="E557" s="109"/>
      <c r="F557" s="109"/>
      <c r="G557" s="110"/>
      <c r="H557" s="110"/>
      <c r="I557" s="110"/>
      <c r="J557" s="110"/>
      <c r="K557" s="109"/>
      <c r="L557" s="110"/>
      <c r="M557" s="110"/>
      <c r="N557" s="110"/>
      <c r="O557" s="110"/>
      <c r="P557" s="109"/>
      <c r="Q557" s="110"/>
      <c r="R557" s="110"/>
      <c r="S557" s="110"/>
      <c r="T557" s="110"/>
      <c r="U557" s="109"/>
      <c r="V557" s="110"/>
      <c r="W557" s="110"/>
      <c r="X557" s="110"/>
      <c r="Y557" s="110"/>
      <c r="Z557" s="109"/>
      <c r="AA557" s="110"/>
      <c r="AB557" s="110"/>
      <c r="AC557" s="110"/>
      <c r="AD557" s="110"/>
      <c r="AE557" s="109"/>
      <c r="AF557" s="110"/>
      <c r="AG557" s="110"/>
      <c r="AH557" s="110"/>
      <c r="AI557" s="110"/>
      <c r="AJ557" s="109"/>
      <c r="AK557" s="110"/>
      <c r="AL557" s="110"/>
      <c r="AM557" s="110"/>
      <c r="AN557" s="110"/>
      <c r="AO557" s="109"/>
      <c r="AP557" s="110"/>
      <c r="AQ557" s="110"/>
      <c r="AR557" s="110"/>
      <c r="AS557" s="110"/>
      <c r="AT557" s="109"/>
      <c r="AU557" s="110"/>
      <c r="AV557" s="110"/>
      <c r="AW557" s="110"/>
      <c r="AX557" s="110"/>
      <c r="AY557" s="109"/>
      <c r="AZ557" s="110"/>
      <c r="BA557" s="110"/>
      <c r="BB557" s="110"/>
      <c r="BC557" s="110"/>
      <c r="BD557" s="109"/>
      <c r="BE557" s="110"/>
      <c r="BF557" s="110"/>
      <c r="BG557" s="110"/>
      <c r="BH557" s="110"/>
      <c r="BI557" s="107"/>
      <c r="BJ557" s="110"/>
      <c r="BK557" s="110"/>
      <c r="BL557" s="110"/>
      <c r="BM557" s="110"/>
      <c r="BN557" s="109"/>
      <c r="BO557" s="110"/>
      <c r="BP557" s="110"/>
      <c r="BQ557" s="110"/>
      <c r="BR557" s="110"/>
      <c r="BS557" s="109"/>
      <c r="BT557" s="109"/>
      <c r="BU557" s="109"/>
      <c r="BV557" s="109"/>
      <c r="BW557" s="83"/>
    </row>
    <row r="558" spans="1:75" ht="15.75" hidden="1" customHeight="1" outlineLevel="1" x14ac:dyDescent="0.2">
      <c r="A558" s="84" t="s">
        <v>819</v>
      </c>
      <c r="B558" s="85"/>
      <c r="C558" s="111">
        <f t="shared" ref="C558:BV558" si="1210">C790</f>
        <v>0</v>
      </c>
      <c r="D558" s="111">
        <f t="shared" si="1210"/>
        <v>0</v>
      </c>
      <c r="E558" s="111">
        <f t="shared" si="1210"/>
        <v>0</v>
      </c>
      <c r="F558" s="111">
        <f t="shared" si="1210"/>
        <v>0</v>
      </c>
      <c r="G558" s="4">
        <f t="shared" si="1210"/>
        <v>0</v>
      </c>
      <c r="H558" s="4">
        <f t="shared" si="1210"/>
        <v>0</v>
      </c>
      <c r="I558" s="4">
        <f t="shared" si="1210"/>
        <v>0</v>
      </c>
      <c r="J558" s="4">
        <f t="shared" si="1210"/>
        <v>0</v>
      </c>
      <c r="K558" s="111">
        <f t="shared" si="1210"/>
        <v>0</v>
      </c>
      <c r="L558" s="4">
        <f t="shared" si="1210"/>
        <v>0</v>
      </c>
      <c r="M558" s="4">
        <f t="shared" si="1210"/>
        <v>0</v>
      </c>
      <c r="N558" s="4">
        <f t="shared" si="1210"/>
        <v>0</v>
      </c>
      <c r="O558" s="4">
        <f t="shared" si="1210"/>
        <v>0</v>
      </c>
      <c r="P558" s="111">
        <f t="shared" si="1210"/>
        <v>0</v>
      </c>
      <c r="Q558" s="4">
        <f t="shared" si="1210"/>
        <v>0</v>
      </c>
      <c r="R558" s="4">
        <f t="shared" si="1210"/>
        <v>0</v>
      </c>
      <c r="S558" s="4">
        <f t="shared" si="1210"/>
        <v>0</v>
      </c>
      <c r="T558" s="4">
        <f t="shared" si="1210"/>
        <v>0</v>
      </c>
      <c r="U558" s="111">
        <f t="shared" si="1210"/>
        <v>0</v>
      </c>
      <c r="V558" s="4">
        <f t="shared" si="1210"/>
        <v>0</v>
      </c>
      <c r="W558" s="4">
        <f t="shared" si="1210"/>
        <v>0</v>
      </c>
      <c r="X558" s="4">
        <f t="shared" si="1210"/>
        <v>0</v>
      </c>
      <c r="Y558" s="4">
        <f t="shared" si="1210"/>
        <v>0</v>
      </c>
      <c r="Z558" s="86">
        <f t="shared" si="1210"/>
        <v>0</v>
      </c>
      <c r="AA558" s="4">
        <f t="shared" si="1210"/>
        <v>0</v>
      </c>
      <c r="AB558" s="4">
        <f t="shared" si="1210"/>
        <v>0</v>
      </c>
      <c r="AC558" s="4">
        <f t="shared" si="1210"/>
        <v>0</v>
      </c>
      <c r="AD558" s="4">
        <f t="shared" si="1210"/>
        <v>0</v>
      </c>
      <c r="AE558" s="86">
        <f t="shared" si="1210"/>
        <v>0</v>
      </c>
      <c r="AF558" s="4">
        <f t="shared" si="1210"/>
        <v>0</v>
      </c>
      <c r="AG558" s="4">
        <f t="shared" si="1210"/>
        <v>0</v>
      </c>
      <c r="AH558" s="4">
        <f t="shared" si="1210"/>
        <v>0</v>
      </c>
      <c r="AI558" s="4">
        <f t="shared" si="1210"/>
        <v>0</v>
      </c>
      <c r="AJ558" s="86">
        <f t="shared" si="1210"/>
        <v>0</v>
      </c>
      <c r="AK558" s="4">
        <f t="shared" si="1210"/>
        <v>0</v>
      </c>
      <c r="AL558" s="4">
        <f t="shared" si="1210"/>
        <v>0</v>
      </c>
      <c r="AM558" s="4">
        <f t="shared" si="1210"/>
        <v>0</v>
      </c>
      <c r="AN558" s="4">
        <f t="shared" si="1210"/>
        <v>0</v>
      </c>
      <c r="AO558" s="86">
        <f t="shared" si="1210"/>
        <v>0</v>
      </c>
      <c r="AP558" s="4">
        <f t="shared" si="1210"/>
        <v>0</v>
      </c>
      <c r="AQ558" s="4">
        <f t="shared" si="1210"/>
        <v>0</v>
      </c>
      <c r="AR558" s="4">
        <f t="shared" si="1210"/>
        <v>0</v>
      </c>
      <c r="AS558" s="4">
        <f t="shared" si="1210"/>
        <v>0</v>
      </c>
      <c r="AT558" s="86">
        <f t="shared" si="1210"/>
        <v>0</v>
      </c>
      <c r="AU558" s="4">
        <f t="shared" si="1210"/>
        <v>0</v>
      </c>
      <c r="AV558" s="4">
        <f t="shared" si="1210"/>
        <v>0</v>
      </c>
      <c r="AW558" s="4">
        <f t="shared" si="1210"/>
        <v>0</v>
      </c>
      <c r="AX558" s="4">
        <f t="shared" si="1210"/>
        <v>0</v>
      </c>
      <c r="AY558" s="86">
        <f t="shared" si="1210"/>
        <v>0</v>
      </c>
      <c r="AZ558" s="4">
        <f t="shared" si="1210"/>
        <v>0</v>
      </c>
      <c r="BA558" s="4">
        <f t="shared" si="1210"/>
        <v>0</v>
      </c>
      <c r="BB558" s="4">
        <f t="shared" si="1210"/>
        <v>0</v>
      </c>
      <c r="BC558" s="4">
        <f t="shared" si="1210"/>
        <v>0</v>
      </c>
      <c r="BD558" s="86">
        <f t="shared" si="1210"/>
        <v>0</v>
      </c>
      <c r="BE558" s="2">
        <f t="shared" si="1210"/>
        <v>0</v>
      </c>
      <c r="BF558" s="2">
        <f t="shared" si="1210"/>
        <v>0</v>
      </c>
      <c r="BG558" s="2">
        <f t="shared" si="1210"/>
        <v>0</v>
      </c>
      <c r="BH558" s="2">
        <f t="shared" si="1210"/>
        <v>0</v>
      </c>
      <c r="BI558" s="90">
        <f t="shared" si="1210"/>
        <v>0</v>
      </c>
      <c r="BJ558" s="2">
        <f t="shared" si="1210"/>
        <v>0</v>
      </c>
      <c r="BK558" s="2">
        <f t="shared" si="1210"/>
        <v>0</v>
      </c>
      <c r="BL558" s="2">
        <f t="shared" si="1210"/>
        <v>0</v>
      </c>
      <c r="BM558" s="2">
        <f t="shared" si="1210"/>
        <v>0</v>
      </c>
      <c r="BN558" s="86">
        <f t="shared" si="1210"/>
        <v>0</v>
      </c>
      <c r="BO558" s="2">
        <f t="shared" si="1210"/>
        <v>0</v>
      </c>
      <c r="BP558" s="2">
        <f t="shared" si="1210"/>
        <v>0</v>
      </c>
      <c r="BQ558" s="2">
        <f t="shared" si="1210"/>
        <v>0</v>
      </c>
      <c r="BR558" s="2">
        <f t="shared" si="1210"/>
        <v>0</v>
      </c>
      <c r="BS558" s="86">
        <f t="shared" si="1210"/>
        <v>0</v>
      </c>
      <c r="BT558" s="86">
        <f t="shared" si="1210"/>
        <v>0</v>
      </c>
      <c r="BU558" s="86">
        <f t="shared" si="1210"/>
        <v>0</v>
      </c>
      <c r="BV558" s="86">
        <f t="shared" si="1210"/>
        <v>0</v>
      </c>
      <c r="BW558" s="4"/>
    </row>
    <row r="559" spans="1:75" ht="15.75" hidden="1" customHeight="1" outlineLevel="1" x14ac:dyDescent="0.2">
      <c r="A559" s="84" t="s">
        <v>820</v>
      </c>
      <c r="B559" s="85"/>
      <c r="C559" s="86"/>
      <c r="D559" s="86"/>
      <c r="E559" s="86"/>
      <c r="F559" s="86"/>
      <c r="G559" s="2"/>
      <c r="H559" s="2"/>
      <c r="I559" s="2"/>
      <c r="J559" s="2"/>
      <c r="K559" s="86"/>
      <c r="L559" s="2"/>
      <c r="M559" s="2"/>
      <c r="N559" s="2"/>
      <c r="O559" s="2"/>
      <c r="P559" s="86"/>
      <c r="Q559" s="2"/>
      <c r="R559" s="2"/>
      <c r="S559" s="2"/>
      <c r="T559" s="2"/>
      <c r="U559" s="86"/>
      <c r="V559" s="2"/>
      <c r="W559" s="2"/>
      <c r="X559" s="2"/>
      <c r="Y559" s="2"/>
      <c r="Z559" s="86"/>
      <c r="AA559" s="2"/>
      <c r="AB559" s="2"/>
      <c r="AC559" s="2"/>
      <c r="AD559" s="2"/>
      <c r="AE559" s="86"/>
      <c r="AF559" s="2"/>
      <c r="AG559" s="2"/>
      <c r="AH559" s="2"/>
      <c r="AI559" s="2"/>
      <c r="AJ559" s="86"/>
      <c r="AK559" s="2"/>
      <c r="AL559" s="2"/>
      <c r="AM559" s="2"/>
      <c r="AN559" s="2"/>
      <c r="AO559" s="86"/>
      <c r="AP559" s="2"/>
      <c r="AQ559" s="2"/>
      <c r="AR559" s="2"/>
      <c r="AS559" s="2"/>
      <c r="AT559" s="86"/>
      <c r="AU559" s="2"/>
      <c r="AV559" s="2"/>
      <c r="AW559" s="2"/>
      <c r="AX559" s="2"/>
      <c r="AY559" s="86"/>
      <c r="AZ559" s="2"/>
      <c r="BA559" s="2"/>
      <c r="BB559" s="2"/>
      <c r="BC559" s="2"/>
      <c r="BD559" s="86"/>
      <c r="BE559" s="2"/>
      <c r="BF559" s="2"/>
      <c r="BG559" s="2"/>
      <c r="BH559" s="2"/>
      <c r="BI559" s="90"/>
      <c r="BJ559" s="2"/>
      <c r="BK559" s="2"/>
      <c r="BL559" s="2"/>
      <c r="BM559" s="2"/>
      <c r="BN559" s="86"/>
      <c r="BO559" s="2"/>
      <c r="BP559" s="2"/>
      <c r="BQ559" s="2"/>
      <c r="BR559" s="2"/>
      <c r="BS559" s="86"/>
      <c r="BT559" s="86"/>
      <c r="BU559" s="86"/>
      <c r="BV559" s="86"/>
      <c r="BW559" s="4"/>
    </row>
    <row r="560" spans="1:75" ht="15.75" hidden="1" customHeight="1" outlineLevel="1" x14ac:dyDescent="0.2">
      <c r="A560" s="84" t="s">
        <v>821</v>
      </c>
      <c r="B560" s="85"/>
      <c r="C560" s="86"/>
      <c r="D560" s="86"/>
      <c r="E560" s="86"/>
      <c r="F560" s="86"/>
      <c r="G560" s="2"/>
      <c r="H560" s="2"/>
      <c r="I560" s="2"/>
      <c r="J560" s="2"/>
      <c r="K560" s="86"/>
      <c r="L560" s="2"/>
      <c r="M560" s="2"/>
      <c r="N560" s="2"/>
      <c r="O560" s="2"/>
      <c r="P560" s="86"/>
      <c r="Q560" s="2"/>
      <c r="R560" s="2"/>
      <c r="S560" s="2"/>
      <c r="T560" s="2"/>
      <c r="U560" s="86"/>
      <c r="V560" s="2"/>
      <c r="W560" s="2"/>
      <c r="X560" s="2"/>
      <c r="Y560" s="2"/>
      <c r="Z560" s="86"/>
      <c r="AA560" s="2"/>
      <c r="AB560" s="2"/>
      <c r="AC560" s="2"/>
      <c r="AD560" s="2"/>
      <c r="AE560" s="86"/>
      <c r="AF560" s="2"/>
      <c r="AG560" s="2"/>
      <c r="AH560" s="2"/>
      <c r="AI560" s="2"/>
      <c r="AJ560" s="86"/>
      <c r="AK560" s="2"/>
      <c r="AL560" s="2"/>
      <c r="AM560" s="2"/>
      <c r="AN560" s="2"/>
      <c r="AO560" s="86"/>
      <c r="AP560" s="2"/>
      <c r="AQ560" s="2"/>
      <c r="AR560" s="4">
        <f t="shared" ref="AR560:BV560" si="1211">AR779</f>
        <v>209.92599999999999</v>
      </c>
      <c r="AS560" s="4">
        <f t="shared" si="1211"/>
        <v>218.24799999999999</v>
      </c>
      <c r="AT560" s="111">
        <f t="shared" si="1211"/>
        <v>218.24799999999999</v>
      </c>
      <c r="AU560" s="4">
        <f t="shared" si="1211"/>
        <v>213.48500000000001</v>
      </c>
      <c r="AV560" s="4">
        <f t="shared" si="1211"/>
        <v>0</v>
      </c>
      <c r="AW560" s="4">
        <f t="shared" si="1211"/>
        <v>0</v>
      </c>
      <c r="AX560" s="4">
        <f t="shared" si="1211"/>
        <v>0</v>
      </c>
      <c r="AY560" s="111">
        <f t="shared" si="1211"/>
        <v>0</v>
      </c>
      <c r="AZ560" s="4">
        <f t="shared" si="1211"/>
        <v>0</v>
      </c>
      <c r="BA560" s="4">
        <f t="shared" si="1211"/>
        <v>0</v>
      </c>
      <c r="BB560" s="4">
        <f t="shared" si="1211"/>
        <v>0</v>
      </c>
      <c r="BC560" s="4">
        <f t="shared" si="1211"/>
        <v>0</v>
      </c>
      <c r="BD560" s="111">
        <f t="shared" si="1211"/>
        <v>0</v>
      </c>
      <c r="BE560" s="2">
        <f t="shared" si="1211"/>
        <v>0</v>
      </c>
      <c r="BF560" s="2">
        <f t="shared" si="1211"/>
        <v>0</v>
      </c>
      <c r="BG560" s="2">
        <f t="shared" si="1211"/>
        <v>0</v>
      </c>
      <c r="BH560" s="2">
        <f t="shared" si="1211"/>
        <v>0</v>
      </c>
      <c r="BI560" s="112">
        <f t="shared" si="1211"/>
        <v>0</v>
      </c>
      <c r="BJ560" s="2">
        <f t="shared" si="1211"/>
        <v>0</v>
      </c>
      <c r="BK560" s="2">
        <f t="shared" si="1211"/>
        <v>0</v>
      </c>
      <c r="BL560" s="2">
        <f t="shared" si="1211"/>
        <v>0</v>
      </c>
      <c r="BM560" s="2">
        <f t="shared" si="1211"/>
        <v>0</v>
      </c>
      <c r="BN560" s="86">
        <f t="shared" si="1211"/>
        <v>0</v>
      </c>
      <c r="BO560" s="2">
        <f t="shared" si="1211"/>
        <v>0</v>
      </c>
      <c r="BP560" s="2">
        <f t="shared" si="1211"/>
        <v>0</v>
      </c>
      <c r="BQ560" s="2">
        <f t="shared" si="1211"/>
        <v>0</v>
      </c>
      <c r="BR560" s="2">
        <f t="shared" si="1211"/>
        <v>0</v>
      </c>
      <c r="BS560" s="86">
        <f t="shared" si="1211"/>
        <v>0</v>
      </c>
      <c r="BT560" s="86">
        <f t="shared" si="1211"/>
        <v>0</v>
      </c>
      <c r="BU560" s="86">
        <f t="shared" si="1211"/>
        <v>0</v>
      </c>
      <c r="BV560" s="86">
        <f t="shared" si="1211"/>
        <v>0</v>
      </c>
      <c r="BW560" s="4"/>
    </row>
    <row r="561" spans="1:75" ht="15.75" customHeight="1" collapsed="1" x14ac:dyDescent="0.2">
      <c r="A561" s="85"/>
      <c r="B561" s="85"/>
      <c r="C561" s="86"/>
      <c r="D561" s="86"/>
      <c r="E561" s="86"/>
      <c r="F561" s="86"/>
      <c r="G561" s="2"/>
      <c r="H561" s="2"/>
      <c r="I561" s="2"/>
      <c r="J561" s="2"/>
      <c r="K561" s="86"/>
      <c r="L561" s="2"/>
      <c r="M561" s="2"/>
      <c r="N561" s="2"/>
      <c r="O561" s="2"/>
      <c r="P561" s="86"/>
      <c r="Q561" s="2"/>
      <c r="R561" s="2"/>
      <c r="S561" s="2"/>
      <c r="T561" s="2"/>
      <c r="U561" s="86"/>
      <c r="V561" s="2"/>
      <c r="W561" s="2"/>
      <c r="X561" s="2"/>
      <c r="Y561" s="2"/>
      <c r="Z561" s="86"/>
      <c r="AA561" s="2"/>
      <c r="AB561" s="2"/>
      <c r="AC561" s="2"/>
      <c r="AD561" s="2"/>
      <c r="AE561" s="86"/>
      <c r="AF561" s="2"/>
      <c r="AG561" s="2"/>
      <c r="AH561" s="2"/>
      <c r="AI561" s="2"/>
      <c r="AJ561" s="86"/>
      <c r="AK561" s="2"/>
      <c r="AL561" s="2"/>
      <c r="AM561" s="2"/>
      <c r="AN561" s="2"/>
      <c r="AO561" s="86"/>
      <c r="AP561" s="2"/>
      <c r="AQ561" s="2"/>
      <c r="AR561" s="2"/>
      <c r="AS561" s="2"/>
      <c r="AT561" s="86"/>
      <c r="AU561" s="2"/>
      <c r="AV561" s="2"/>
      <c r="AW561" s="2"/>
      <c r="AX561" s="2"/>
      <c r="AY561" s="86"/>
      <c r="AZ561" s="2"/>
      <c r="BA561" s="2"/>
      <c r="BB561" s="2"/>
      <c r="BC561" s="2"/>
      <c r="BD561" s="86"/>
      <c r="BE561" s="2"/>
      <c r="BF561" s="2"/>
      <c r="BG561" s="2"/>
      <c r="BH561" s="2"/>
      <c r="BI561" s="90"/>
      <c r="BJ561" s="2"/>
      <c r="BK561" s="2"/>
      <c r="BL561" s="2"/>
      <c r="BM561" s="2"/>
      <c r="BN561" s="86"/>
      <c r="BO561" s="2"/>
      <c r="BP561" s="2"/>
      <c r="BQ561" s="2"/>
      <c r="BR561" s="2"/>
      <c r="BS561" s="86"/>
      <c r="BT561" s="86"/>
      <c r="BU561" s="86"/>
      <c r="BV561" s="86"/>
      <c r="BW561" s="4"/>
    </row>
    <row r="562" spans="1:75" ht="15.75" customHeight="1" x14ac:dyDescent="0.2">
      <c r="A562" s="81" t="s">
        <v>822</v>
      </c>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c r="AI562" s="81"/>
      <c r="AJ562" s="81"/>
      <c r="AK562" s="81"/>
      <c r="AL562" s="81"/>
      <c r="AM562" s="81"/>
      <c r="AN562" s="81"/>
      <c r="AO562" s="81"/>
      <c r="AP562" s="81"/>
      <c r="AQ562" s="81"/>
      <c r="AR562" s="81"/>
      <c r="AS562" s="81"/>
      <c r="AT562" s="81"/>
      <c r="AU562" s="81"/>
      <c r="AV562" s="81"/>
      <c r="AW562" s="81"/>
      <c r="AX562" s="81"/>
      <c r="AY562" s="81"/>
      <c r="AZ562" s="81"/>
      <c r="BA562" s="81"/>
      <c r="BB562" s="81"/>
      <c r="BC562" s="81"/>
      <c r="BD562" s="81"/>
      <c r="BE562" s="81"/>
      <c r="BF562" s="81"/>
      <c r="BG562" s="81"/>
      <c r="BH562" s="81"/>
      <c r="BI562" s="82"/>
      <c r="BJ562" s="81"/>
      <c r="BK562" s="81"/>
      <c r="BL562" s="81"/>
      <c r="BM562" s="81"/>
      <c r="BN562" s="81"/>
      <c r="BO562" s="81"/>
      <c r="BP562" s="81"/>
      <c r="BQ562" s="81"/>
      <c r="BR562" s="81"/>
      <c r="BS562" s="81"/>
      <c r="BT562" s="81"/>
      <c r="BU562" s="81"/>
      <c r="BV562" s="81"/>
      <c r="BW562" s="83"/>
    </row>
    <row r="563" spans="1:75" ht="15.75" customHeight="1" outlineLevel="1" x14ac:dyDescent="0.2">
      <c r="A563" s="229" t="s">
        <v>823</v>
      </c>
      <c r="B563" s="108"/>
      <c r="C563" s="109"/>
      <c r="D563" s="109"/>
      <c r="E563" s="109"/>
      <c r="F563" s="109"/>
      <c r="G563" s="110"/>
      <c r="H563" s="110"/>
      <c r="I563" s="110"/>
      <c r="J563" s="110"/>
      <c r="K563" s="109"/>
      <c r="L563" s="110"/>
      <c r="M563" s="110"/>
      <c r="N563" s="110"/>
      <c r="O563" s="110"/>
      <c r="P563" s="109"/>
      <c r="Q563" s="110"/>
      <c r="R563" s="110"/>
      <c r="S563" s="110"/>
      <c r="T563" s="110"/>
      <c r="U563" s="109"/>
      <c r="V563" s="110"/>
      <c r="W563" s="110"/>
      <c r="X563" s="110"/>
      <c r="Y563" s="110"/>
      <c r="Z563" s="109"/>
      <c r="AA563" s="110"/>
      <c r="AB563" s="110"/>
      <c r="AC563" s="110"/>
      <c r="AD563" s="110"/>
      <c r="AE563" s="109"/>
      <c r="AF563" s="110"/>
      <c r="AG563" s="110"/>
      <c r="AH563" s="110"/>
      <c r="AI563" s="110"/>
      <c r="AJ563" s="109"/>
      <c r="AK563" s="110"/>
      <c r="AL563" s="110"/>
      <c r="AM563" s="110"/>
      <c r="AN563" s="110"/>
      <c r="AO563" s="109"/>
      <c r="AP563" s="110"/>
      <c r="AQ563" s="110"/>
      <c r="AR563" s="110"/>
      <c r="AS563" s="110"/>
      <c r="AT563" s="109"/>
      <c r="AU563" s="110"/>
      <c r="AV563" s="110"/>
      <c r="AW563" s="110"/>
      <c r="AX563" s="110"/>
      <c r="AY563" s="109"/>
      <c r="AZ563" s="110"/>
      <c r="BA563" s="110"/>
      <c r="BB563" s="110"/>
      <c r="BC563" s="110"/>
      <c r="BD563" s="109"/>
      <c r="BE563" s="110"/>
      <c r="BF563" s="110"/>
      <c r="BG563" s="110"/>
      <c r="BH563" s="110"/>
      <c r="BI563" s="107"/>
      <c r="BJ563" s="110"/>
      <c r="BK563" s="110"/>
      <c r="BL563" s="110"/>
      <c r="BM563" s="110"/>
      <c r="BN563" s="109"/>
      <c r="BO563" s="110"/>
      <c r="BP563" s="110"/>
      <c r="BQ563" s="110"/>
      <c r="BR563" s="110"/>
      <c r="BS563" s="109"/>
      <c r="BT563" s="109"/>
      <c r="BU563" s="109"/>
      <c r="BV563" s="109"/>
      <c r="BW563" s="83"/>
    </row>
    <row r="564" spans="1:75" ht="15.75" customHeight="1" outlineLevel="1" x14ac:dyDescent="0.2">
      <c r="A564" s="84" t="s">
        <v>414</v>
      </c>
      <c r="B564" s="85"/>
      <c r="C564" s="87">
        <v>42.832999999999998</v>
      </c>
      <c r="D564" s="87">
        <v>81.712999999999994</v>
      </c>
      <c r="E564" s="87">
        <v>95.72</v>
      </c>
      <c r="F564" s="87">
        <v>98.423000000000002</v>
      </c>
      <c r="G564" s="88">
        <v>25.292000000000002</v>
      </c>
      <c r="H564" s="88">
        <v>53.875</v>
      </c>
      <c r="I564" s="88">
        <v>81.355999999999995</v>
      </c>
      <c r="J564" s="4">
        <f t="shared" ref="J564:J568" si="1212">K564</f>
        <v>114.35599999999999</v>
      </c>
      <c r="K564" s="87">
        <v>114.35599999999999</v>
      </c>
      <c r="L564" s="88">
        <v>22.518000000000001</v>
      </c>
      <c r="M564" s="88">
        <v>52.567</v>
      </c>
      <c r="N564" s="88">
        <v>76.790000000000006</v>
      </c>
      <c r="O564" s="4">
        <f t="shared" ref="O564:O568" si="1213">P564</f>
        <v>101.276</v>
      </c>
      <c r="P564" s="87">
        <v>101.276</v>
      </c>
      <c r="Q564" s="88">
        <v>28.422999999999998</v>
      </c>
      <c r="R564" s="88">
        <v>63.146999999999998</v>
      </c>
      <c r="S564" s="88">
        <v>89.322999999999993</v>
      </c>
      <c r="T564" s="4">
        <f t="shared" ref="T564:T568" si="1214">U564</f>
        <v>116.523</v>
      </c>
      <c r="U564" s="87">
        <v>116.523</v>
      </c>
      <c r="V564" s="88">
        <v>33.954000000000001</v>
      </c>
      <c r="W564" s="88">
        <v>72.539000000000001</v>
      </c>
      <c r="X564" s="88">
        <v>107.113</v>
      </c>
      <c r="Y564" s="2">
        <f t="shared" ref="Y564:Y568" si="1215">Z564</f>
        <v>139.494</v>
      </c>
      <c r="Z564" s="87">
        <v>139.494</v>
      </c>
      <c r="AA564" s="88">
        <v>35.042999999999999</v>
      </c>
      <c r="AB564" s="88">
        <v>73.209000000000003</v>
      </c>
      <c r="AC564" s="88">
        <v>99.653999999999996</v>
      </c>
      <c r="AD564" s="2">
        <f t="shared" ref="AD564:AD568" si="1216">AE564</f>
        <v>157.392</v>
      </c>
      <c r="AE564" s="87">
        <v>157.392</v>
      </c>
      <c r="AF564" s="88">
        <v>26.029</v>
      </c>
      <c r="AG564" s="88">
        <v>54.381999999999998</v>
      </c>
      <c r="AH564" s="88">
        <v>82.856999999999999</v>
      </c>
      <c r="AI564" s="2">
        <f t="shared" ref="AI564:AI572" si="1217">AJ564</f>
        <v>99.034999999999997</v>
      </c>
      <c r="AJ564" s="87">
        <v>99.034999999999997</v>
      </c>
      <c r="AK564" s="88">
        <v>26.984000000000002</v>
      </c>
      <c r="AL564" s="88">
        <v>62.494</v>
      </c>
      <c r="AM564" s="88">
        <v>78.584000000000003</v>
      </c>
      <c r="AN564" s="2">
        <f t="shared" ref="AN564:AN572" si="1218">AO564</f>
        <v>127.29300000000001</v>
      </c>
      <c r="AO564" s="87">
        <v>127.29300000000001</v>
      </c>
      <c r="AP564" s="88">
        <v>-136.16300000000001</v>
      </c>
      <c r="AQ564" s="88">
        <v>-192.702</v>
      </c>
      <c r="AR564" s="88">
        <v>-221.048</v>
      </c>
      <c r="AS564" s="2">
        <f t="shared" ref="AS564:AS572" si="1219">AT564</f>
        <v>-253.36500000000001</v>
      </c>
      <c r="AT564" s="87">
        <v>-253.36500000000001</v>
      </c>
      <c r="AU564" s="88">
        <v>3.8679999999999999</v>
      </c>
      <c r="AV564" s="88">
        <v>37.582999999999998</v>
      </c>
      <c r="AW564" s="88">
        <v>70.263000000000005</v>
      </c>
      <c r="AX564" s="2">
        <f t="shared" ref="AX564:AX572" si="1220">AY564</f>
        <v>72.373000000000005</v>
      </c>
      <c r="AY564" s="87">
        <v>72.373000000000005</v>
      </c>
      <c r="AZ564" s="88">
        <v>23.163</v>
      </c>
      <c r="BA564" s="88">
        <v>48.819000000000003</v>
      </c>
      <c r="BB564" s="88">
        <v>46.420999999999999</v>
      </c>
      <c r="BC564" s="2">
        <f t="shared" ref="BC564:BC572" si="1221">BD564</f>
        <v>43.122999999999998</v>
      </c>
      <c r="BD564" s="87">
        <v>43.122999999999998</v>
      </c>
      <c r="BE564" s="88">
        <v>28.05</v>
      </c>
      <c r="BF564" s="88">
        <v>70.724999999999994</v>
      </c>
      <c r="BG564" s="88">
        <v>88.67</v>
      </c>
      <c r="BH564" s="2">
        <f t="shared" ref="BH564:BH572" si="1222">BI564</f>
        <v>101.351</v>
      </c>
      <c r="BI564" s="89">
        <v>101.351</v>
      </c>
      <c r="BJ564" s="2"/>
      <c r="BK564" s="2"/>
      <c r="BL564" s="2"/>
      <c r="BM564" s="2"/>
      <c r="BN564" s="86"/>
      <c r="BO564" s="2"/>
      <c r="BP564" s="2"/>
      <c r="BQ564" s="2"/>
      <c r="BR564" s="2"/>
      <c r="BS564" s="86"/>
      <c r="BT564" s="86"/>
      <c r="BU564" s="86"/>
      <c r="BV564" s="86"/>
      <c r="BW564" s="4"/>
    </row>
    <row r="565" spans="1:75" ht="15.75" customHeight="1" outlineLevel="1" x14ac:dyDescent="0.2">
      <c r="A565" s="84" t="s">
        <v>415</v>
      </c>
      <c r="B565" s="85"/>
      <c r="C565" s="87">
        <v>75.183999999999997</v>
      </c>
      <c r="D565" s="87">
        <v>72.14</v>
      </c>
      <c r="E565" s="87">
        <v>71.957999999999998</v>
      </c>
      <c r="F565" s="87">
        <v>74.433000000000007</v>
      </c>
      <c r="G565" s="88">
        <v>19.23</v>
      </c>
      <c r="H565" s="88">
        <v>38.445</v>
      </c>
      <c r="I565" s="88">
        <v>58.106000000000002</v>
      </c>
      <c r="J565" s="4">
        <f t="shared" si="1212"/>
        <v>78.558000000000007</v>
      </c>
      <c r="K565" s="87">
        <v>78.558000000000007</v>
      </c>
      <c r="L565" s="88">
        <v>20.251000000000001</v>
      </c>
      <c r="M565" s="88">
        <v>40.784999999999997</v>
      </c>
      <c r="N565" s="88">
        <v>61.715000000000003</v>
      </c>
      <c r="O565" s="4">
        <f t="shared" si="1213"/>
        <v>82.834999999999994</v>
      </c>
      <c r="P565" s="87">
        <v>82.834999999999994</v>
      </c>
      <c r="Q565" s="88">
        <v>21.177</v>
      </c>
      <c r="R565" s="88">
        <v>42.335000000000001</v>
      </c>
      <c r="S565" s="88">
        <v>63.652000000000001</v>
      </c>
      <c r="T565" s="4">
        <f t="shared" si="1214"/>
        <v>85.563000000000002</v>
      </c>
      <c r="U565" s="87">
        <v>85.563000000000002</v>
      </c>
      <c r="V565" s="88">
        <v>21.463999999999999</v>
      </c>
      <c r="W565" s="88">
        <v>42.924999999999997</v>
      </c>
      <c r="X565" s="88">
        <v>64.558999999999997</v>
      </c>
      <c r="Y565" s="2">
        <f t="shared" si="1215"/>
        <v>88.01</v>
      </c>
      <c r="Z565" s="87">
        <v>88.01</v>
      </c>
      <c r="AA565" s="88">
        <v>23.196000000000002</v>
      </c>
      <c r="AB565" s="88">
        <v>46.493000000000002</v>
      </c>
      <c r="AC565" s="88">
        <v>69.492000000000004</v>
      </c>
      <c r="AD565" s="2">
        <f t="shared" si="1216"/>
        <v>92.728999999999999</v>
      </c>
      <c r="AE565" s="87">
        <v>92.728999999999999</v>
      </c>
      <c r="AF565" s="88">
        <v>24.001999999999999</v>
      </c>
      <c r="AG565" s="88">
        <v>47.728999999999999</v>
      </c>
      <c r="AH565" s="88">
        <v>71.819000000000003</v>
      </c>
      <c r="AI565" s="2">
        <f t="shared" si="1217"/>
        <v>95.975999999999999</v>
      </c>
      <c r="AJ565" s="87">
        <v>95.975999999999999</v>
      </c>
      <c r="AK565" s="88">
        <v>21.361999999999998</v>
      </c>
      <c r="AL565" s="88">
        <v>43.021000000000001</v>
      </c>
      <c r="AM565" s="88">
        <v>64.363</v>
      </c>
      <c r="AN565" s="2">
        <f t="shared" si="1218"/>
        <v>88.132999999999996</v>
      </c>
      <c r="AO565" s="87">
        <v>88.132999999999996</v>
      </c>
      <c r="AP565" s="88">
        <v>23.562000000000001</v>
      </c>
      <c r="AQ565" s="88">
        <v>46.152000000000001</v>
      </c>
      <c r="AR565" s="88">
        <v>68.802999999999997</v>
      </c>
      <c r="AS565" s="2">
        <f t="shared" si="1219"/>
        <v>91.415000000000006</v>
      </c>
      <c r="AT565" s="87">
        <v>91.415000000000006</v>
      </c>
      <c r="AU565" s="88">
        <v>22.006</v>
      </c>
      <c r="AV565" s="88">
        <v>44.228999999999999</v>
      </c>
      <c r="AW565" s="88">
        <v>66.805000000000007</v>
      </c>
      <c r="AX565" s="2">
        <f t="shared" si="1220"/>
        <v>89.653999999999996</v>
      </c>
      <c r="AY565" s="87">
        <v>89.653999999999996</v>
      </c>
      <c r="AZ565" s="88">
        <v>21.504999999999999</v>
      </c>
      <c r="BA565" s="88">
        <v>44.113</v>
      </c>
      <c r="BB565" s="88">
        <v>66.763999999999996</v>
      </c>
      <c r="BC565" s="2">
        <f t="shared" si="1221"/>
        <v>92.38</v>
      </c>
      <c r="BD565" s="87">
        <v>92.38</v>
      </c>
      <c r="BE565" s="88">
        <v>22.954999999999998</v>
      </c>
      <c r="BF565" s="88">
        <v>46.286999999999999</v>
      </c>
      <c r="BG565" s="88">
        <v>69.123999999999995</v>
      </c>
      <c r="BH565" s="2">
        <f t="shared" si="1222"/>
        <v>93.135999999999996</v>
      </c>
      <c r="BI565" s="89">
        <v>93.135999999999996</v>
      </c>
      <c r="BJ565" s="2"/>
      <c r="BK565" s="2"/>
      <c r="BL565" s="2"/>
      <c r="BM565" s="2"/>
      <c r="BN565" s="86"/>
      <c r="BO565" s="2"/>
      <c r="BP565" s="2"/>
      <c r="BQ565" s="2"/>
      <c r="BR565" s="2"/>
      <c r="BS565" s="86"/>
      <c r="BT565" s="86"/>
      <c r="BU565" s="86"/>
      <c r="BV565" s="86"/>
      <c r="BW565" s="4"/>
    </row>
    <row r="566" spans="1:75" ht="15.75" customHeight="1" outlineLevel="1" x14ac:dyDescent="0.2">
      <c r="A566" s="84" t="s">
        <v>416</v>
      </c>
      <c r="B566" s="85"/>
      <c r="C566" s="87">
        <v>26.541</v>
      </c>
      <c r="D566" s="86"/>
      <c r="E566" s="87">
        <v>1.5469999999999999</v>
      </c>
      <c r="F566" s="87">
        <v>5.4690000000000003</v>
      </c>
      <c r="G566" s="88">
        <v>0.46400000000000002</v>
      </c>
      <c r="H566" s="88">
        <v>1.5049999999999999</v>
      </c>
      <c r="I566" s="88">
        <v>3.0379999999999998</v>
      </c>
      <c r="J566" s="4">
        <f t="shared" si="1212"/>
        <v>3.294</v>
      </c>
      <c r="K566" s="87">
        <v>3.294</v>
      </c>
      <c r="L566" s="88">
        <v>0.186</v>
      </c>
      <c r="M566" s="88">
        <v>0.61699999999999999</v>
      </c>
      <c r="N566" s="88">
        <v>0.437</v>
      </c>
      <c r="O566" s="4">
        <f t="shared" si="1213"/>
        <v>0.245</v>
      </c>
      <c r="P566" s="87">
        <v>0.245</v>
      </c>
      <c r="Q566" s="2"/>
      <c r="R566" s="2"/>
      <c r="S566" s="88">
        <v>6.0110000000000001</v>
      </c>
      <c r="T566" s="4">
        <f t="shared" si="1214"/>
        <v>6.0110000000000001</v>
      </c>
      <c r="U566" s="87">
        <v>6.0110000000000001</v>
      </c>
      <c r="V566" s="2"/>
      <c r="W566" s="2"/>
      <c r="X566" s="2"/>
      <c r="Y566" s="2">
        <f t="shared" si="1215"/>
        <v>0.114</v>
      </c>
      <c r="Z566" s="87">
        <v>0.114</v>
      </c>
      <c r="AA566" s="88">
        <v>0.78600000000000003</v>
      </c>
      <c r="AB566" s="88">
        <v>1.4890000000000001</v>
      </c>
      <c r="AC566" s="88">
        <v>1.4910000000000001</v>
      </c>
      <c r="AD566" s="2">
        <f t="shared" si="1216"/>
        <v>10.586</v>
      </c>
      <c r="AE566" s="87">
        <v>10.586</v>
      </c>
      <c r="AF566" s="88">
        <v>0</v>
      </c>
      <c r="AG566" s="88">
        <v>2.4929999999999999</v>
      </c>
      <c r="AH566" s="88">
        <v>2.532</v>
      </c>
      <c r="AI566" s="2">
        <f t="shared" si="1217"/>
        <v>16.411000000000001</v>
      </c>
      <c r="AJ566" s="87">
        <v>16.411000000000001</v>
      </c>
      <c r="AK566" s="2"/>
      <c r="AL566" s="2"/>
      <c r="AM566" s="2"/>
      <c r="AN566" s="2">
        <f t="shared" si="1218"/>
        <v>16.222999999999999</v>
      </c>
      <c r="AO566" s="87">
        <v>16.222999999999999</v>
      </c>
      <c r="AP566" s="88">
        <v>191.571</v>
      </c>
      <c r="AQ566" s="88">
        <v>193.88900000000001</v>
      </c>
      <c r="AR566" s="88">
        <v>195.98099999999999</v>
      </c>
      <c r="AS566" s="2">
        <f t="shared" si="1219"/>
        <v>208.066</v>
      </c>
      <c r="AT566" s="87">
        <v>208.066</v>
      </c>
      <c r="AU566" s="88">
        <v>0.43099999999999999</v>
      </c>
      <c r="AV566" s="88">
        <v>0.39400000000000002</v>
      </c>
      <c r="AW566" s="88">
        <v>0.39400000000000002</v>
      </c>
      <c r="AX566" s="2">
        <f t="shared" si="1220"/>
        <v>17.937000000000001</v>
      </c>
      <c r="AY566" s="87">
        <v>17.937000000000001</v>
      </c>
      <c r="AZ566" s="88">
        <v>0.14899999999999999</v>
      </c>
      <c r="BA566" s="88">
        <v>0.25</v>
      </c>
      <c r="BB566" s="88">
        <v>0.25</v>
      </c>
      <c r="BC566" s="2">
        <f t="shared" si="1221"/>
        <v>31.327000000000002</v>
      </c>
      <c r="BD566" s="87">
        <v>31.327000000000002</v>
      </c>
      <c r="BE566" s="88">
        <v>-1.4E-2</v>
      </c>
      <c r="BF566" s="88">
        <v>-0.76800000000000002</v>
      </c>
      <c r="BG566" s="88">
        <v>-0.753</v>
      </c>
      <c r="BH566" s="2">
        <f t="shared" si="1222"/>
        <v>26.998000000000001</v>
      </c>
      <c r="BI566" s="89">
        <v>26.998000000000001</v>
      </c>
      <c r="BJ566" s="2"/>
      <c r="BK566" s="2"/>
      <c r="BL566" s="2"/>
      <c r="BM566" s="2"/>
      <c r="BN566" s="86"/>
      <c r="BO566" s="2"/>
      <c r="BP566" s="2"/>
      <c r="BQ566" s="2"/>
      <c r="BR566" s="2"/>
      <c r="BS566" s="86"/>
      <c r="BT566" s="86"/>
      <c r="BU566" s="86"/>
      <c r="BV566" s="86"/>
      <c r="BW566" s="4"/>
    </row>
    <row r="567" spans="1:75" ht="15.75" customHeight="1" outlineLevel="1" x14ac:dyDescent="0.2">
      <c r="A567" s="84" t="s">
        <v>379</v>
      </c>
      <c r="B567" s="85"/>
      <c r="C567" s="87">
        <v>-4.798</v>
      </c>
      <c r="D567" s="87">
        <v>-4.0869999999999997</v>
      </c>
      <c r="E567" s="87">
        <v>7.907</v>
      </c>
      <c r="F567" s="87">
        <v>-12.757999999999999</v>
      </c>
      <c r="G567" s="88">
        <v>2.278</v>
      </c>
      <c r="H567" s="88">
        <v>4.718</v>
      </c>
      <c r="I567" s="88">
        <v>6.2489999999999997</v>
      </c>
      <c r="J567" s="4">
        <f t="shared" si="1212"/>
        <v>4.633</v>
      </c>
      <c r="K567" s="87">
        <v>4.633</v>
      </c>
      <c r="L567" s="88">
        <v>0.81100000000000005</v>
      </c>
      <c r="M567" s="88">
        <v>-0.19</v>
      </c>
      <c r="N567" s="88">
        <v>-1.175</v>
      </c>
      <c r="O567" s="4">
        <f t="shared" si="1213"/>
        <v>0.20399999999999999</v>
      </c>
      <c r="P567" s="87">
        <v>0.20399999999999999</v>
      </c>
      <c r="Q567" s="88">
        <v>1.2150000000000001</v>
      </c>
      <c r="R567" s="88">
        <v>1.1459999999999999</v>
      </c>
      <c r="S567" s="88">
        <v>0.67500000000000004</v>
      </c>
      <c r="T567" s="4">
        <f t="shared" si="1214"/>
        <v>1.1839999999999999</v>
      </c>
      <c r="U567" s="87">
        <v>1.1839999999999999</v>
      </c>
      <c r="V567" s="88">
        <v>3.161</v>
      </c>
      <c r="W567" s="88">
        <v>1.2130000000000001</v>
      </c>
      <c r="X567" s="88">
        <v>0.56399999999999995</v>
      </c>
      <c r="Y567" s="2">
        <f t="shared" si="1215"/>
        <v>-1.0049999999999999</v>
      </c>
      <c r="Z567" s="87">
        <v>-1.0049999999999999</v>
      </c>
      <c r="AA567" s="88">
        <v>3.1859999999999999</v>
      </c>
      <c r="AB567" s="88">
        <v>2.2639999999999998</v>
      </c>
      <c r="AC567" s="88">
        <v>1.139</v>
      </c>
      <c r="AD567" s="2">
        <f t="shared" si="1216"/>
        <v>-25.18</v>
      </c>
      <c r="AE567" s="87">
        <v>-25.18</v>
      </c>
      <c r="AF567" s="88">
        <v>1.157</v>
      </c>
      <c r="AG567" s="88">
        <v>0.80500000000000005</v>
      </c>
      <c r="AH567" s="88">
        <v>0.91600000000000004</v>
      </c>
      <c r="AI567" s="2">
        <f t="shared" si="1217"/>
        <v>-5.51</v>
      </c>
      <c r="AJ567" s="87">
        <v>-5.51</v>
      </c>
      <c r="AK567" s="88">
        <v>1.792</v>
      </c>
      <c r="AL567" s="88">
        <v>-2.2890000000000001</v>
      </c>
      <c r="AM567" s="88">
        <v>-2.64</v>
      </c>
      <c r="AN567" s="2">
        <f t="shared" si="1218"/>
        <v>-2.1970000000000001</v>
      </c>
      <c r="AO567" s="87">
        <v>-2.1970000000000001</v>
      </c>
      <c r="AP567" s="88">
        <v>-11.231</v>
      </c>
      <c r="AQ567" s="88">
        <v>-11.173</v>
      </c>
      <c r="AR567" s="88">
        <v>-52.978999999999999</v>
      </c>
      <c r="AS567" s="2">
        <f t="shared" si="1219"/>
        <v>-67.227999999999994</v>
      </c>
      <c r="AT567" s="87">
        <v>-67.227999999999994</v>
      </c>
      <c r="AU567" s="88">
        <v>-1.508</v>
      </c>
      <c r="AV567" s="88">
        <v>-2.895</v>
      </c>
      <c r="AW567" s="88">
        <v>-5.2270000000000003</v>
      </c>
      <c r="AX567" s="2">
        <f t="shared" si="1220"/>
        <v>-20.849</v>
      </c>
      <c r="AY567" s="87">
        <v>-20.849</v>
      </c>
      <c r="AZ567" s="88">
        <v>3.8690000000000002</v>
      </c>
      <c r="BA567" s="88">
        <v>0.27900000000000003</v>
      </c>
      <c r="BB567" s="88">
        <v>-2.633</v>
      </c>
      <c r="BC567" s="2">
        <f t="shared" si="1221"/>
        <v>-18.646000000000001</v>
      </c>
      <c r="BD567" s="87">
        <v>-18.646000000000001</v>
      </c>
      <c r="BE567" s="88">
        <v>3.1920000000000002</v>
      </c>
      <c r="BF567" s="88">
        <v>2.4689999999999999</v>
      </c>
      <c r="BG567" s="88">
        <v>1.613</v>
      </c>
      <c r="BH567" s="2">
        <f t="shared" si="1222"/>
        <v>-15.715</v>
      </c>
      <c r="BI567" s="89">
        <v>-15.715</v>
      </c>
      <c r="BJ567" s="2"/>
      <c r="BK567" s="2"/>
      <c r="BL567" s="2"/>
      <c r="BM567" s="2"/>
      <c r="BN567" s="86"/>
      <c r="BO567" s="2"/>
      <c r="BP567" s="2"/>
      <c r="BQ567" s="2"/>
      <c r="BR567" s="2"/>
      <c r="BS567" s="86"/>
      <c r="BT567" s="86"/>
      <c r="BU567" s="86"/>
      <c r="BV567" s="86"/>
      <c r="BW567" s="4"/>
    </row>
    <row r="568" spans="1:75" ht="15.75" customHeight="1" outlineLevel="1" x14ac:dyDescent="0.2">
      <c r="A568" s="84" t="s">
        <v>417</v>
      </c>
      <c r="B568" s="85"/>
      <c r="C568" s="87">
        <v>14.61</v>
      </c>
      <c r="D568" s="87">
        <v>10.913</v>
      </c>
      <c r="E568" s="87">
        <v>9.6349999999999998</v>
      </c>
      <c r="F568" s="87">
        <v>10.837999999999999</v>
      </c>
      <c r="G568" s="88">
        <v>3.4049999999999998</v>
      </c>
      <c r="H568" s="88">
        <v>6.8129999999999997</v>
      </c>
      <c r="I568" s="88">
        <v>10.273</v>
      </c>
      <c r="J568" s="4">
        <f t="shared" si="1212"/>
        <v>14.135</v>
      </c>
      <c r="K568" s="87">
        <v>14.135</v>
      </c>
      <c r="L568" s="88">
        <v>3.839</v>
      </c>
      <c r="M568" s="88">
        <v>7.7380000000000004</v>
      </c>
      <c r="N568" s="88">
        <v>11.792999999999999</v>
      </c>
      <c r="O568" s="4">
        <f t="shared" si="1213"/>
        <v>16.817</v>
      </c>
      <c r="P568" s="87">
        <v>16.817</v>
      </c>
      <c r="Q568" s="88">
        <v>4.7309999999999999</v>
      </c>
      <c r="R568" s="88">
        <v>9.6769999999999996</v>
      </c>
      <c r="S568" s="88">
        <v>14.548999999999999</v>
      </c>
      <c r="T568" s="4">
        <f t="shared" si="1214"/>
        <v>20.053000000000001</v>
      </c>
      <c r="U568" s="87">
        <v>20.053000000000001</v>
      </c>
      <c r="V568" s="88">
        <v>5.1849999999999996</v>
      </c>
      <c r="W568" s="88">
        <v>11.304</v>
      </c>
      <c r="X568" s="88">
        <v>16.177</v>
      </c>
      <c r="Y568" s="2">
        <f t="shared" si="1215"/>
        <v>21.472999999999999</v>
      </c>
      <c r="Z568" s="87">
        <v>21.472999999999999</v>
      </c>
      <c r="AA568" s="88">
        <v>4.6150000000000002</v>
      </c>
      <c r="AB568" s="88">
        <v>9.7880000000000003</v>
      </c>
      <c r="AC568" s="88">
        <v>15.067</v>
      </c>
      <c r="AD568" s="2">
        <f t="shared" si="1216"/>
        <v>16.457000000000001</v>
      </c>
      <c r="AE568" s="87">
        <v>16.457000000000001</v>
      </c>
      <c r="AF568" s="88">
        <v>6.0129999999999999</v>
      </c>
      <c r="AG568" s="88">
        <v>11.074999999999999</v>
      </c>
      <c r="AH568" s="88">
        <v>15.807</v>
      </c>
      <c r="AI568" s="2">
        <f t="shared" si="1217"/>
        <v>19.988</v>
      </c>
      <c r="AJ568" s="87">
        <v>19.988</v>
      </c>
      <c r="AK568" s="88">
        <v>5.8470000000000004</v>
      </c>
      <c r="AL568" s="88">
        <v>10.488</v>
      </c>
      <c r="AM568" s="88">
        <v>15.135</v>
      </c>
      <c r="AN568" s="2">
        <f t="shared" si="1218"/>
        <v>19.373000000000001</v>
      </c>
      <c r="AO568" s="87">
        <v>19.373000000000001</v>
      </c>
      <c r="AP568" s="88">
        <v>5.5069999999999997</v>
      </c>
      <c r="AQ568" s="88">
        <v>10.617000000000001</v>
      </c>
      <c r="AR568" s="88">
        <v>15.532999999999999</v>
      </c>
      <c r="AS568" s="2">
        <f t="shared" si="1219"/>
        <v>21.35</v>
      </c>
      <c r="AT568" s="87">
        <v>21.35</v>
      </c>
      <c r="AU568" s="88">
        <v>5.444</v>
      </c>
      <c r="AV568" s="88">
        <v>10.935</v>
      </c>
      <c r="AW568" s="88">
        <v>16.329000000000001</v>
      </c>
      <c r="AX568" s="2">
        <f t="shared" si="1220"/>
        <v>22.988</v>
      </c>
      <c r="AY568" s="87">
        <v>22.988</v>
      </c>
      <c r="AZ568" s="88">
        <v>5.5179999999999998</v>
      </c>
      <c r="BA568" s="88">
        <v>11.606999999999999</v>
      </c>
      <c r="BB568" s="88">
        <v>17.22</v>
      </c>
      <c r="BC568" s="2">
        <f t="shared" si="1221"/>
        <v>24.425999999999998</v>
      </c>
      <c r="BD568" s="87">
        <v>24.425999999999998</v>
      </c>
      <c r="BE568" s="88">
        <v>5.9020000000000001</v>
      </c>
      <c r="BF568" s="88">
        <v>12.227</v>
      </c>
      <c r="BG568" s="88">
        <v>18.850000000000001</v>
      </c>
      <c r="BH568" s="2">
        <f t="shared" si="1222"/>
        <v>25.780999999999999</v>
      </c>
      <c r="BI568" s="89">
        <v>25.780999999999999</v>
      </c>
      <c r="BJ568" s="2"/>
      <c r="BK568" s="2"/>
      <c r="BL568" s="2"/>
      <c r="BM568" s="2"/>
      <c r="BN568" s="86"/>
      <c r="BO568" s="2"/>
      <c r="BP568" s="2"/>
      <c r="BQ568" s="2"/>
      <c r="BR568" s="2"/>
      <c r="BS568" s="86"/>
      <c r="BT568" s="86"/>
      <c r="BU568" s="86"/>
      <c r="BV568" s="86"/>
      <c r="BW568" s="4"/>
    </row>
    <row r="569" spans="1:75" ht="15.75" customHeight="1" outlineLevel="1" x14ac:dyDescent="0.2">
      <c r="A569" s="84" t="s">
        <v>418</v>
      </c>
      <c r="B569" s="85"/>
      <c r="C569" s="86"/>
      <c r="D569" s="86"/>
      <c r="E569" s="86"/>
      <c r="F569" s="86"/>
      <c r="G569" s="2"/>
      <c r="H569" s="2"/>
      <c r="I569" s="2"/>
      <c r="J569" s="2"/>
      <c r="K569" s="86"/>
      <c r="L569" s="2"/>
      <c r="M569" s="2"/>
      <c r="N569" s="2"/>
      <c r="O569" s="2"/>
      <c r="P569" s="86"/>
      <c r="Q569" s="2"/>
      <c r="R569" s="2"/>
      <c r="S569" s="2"/>
      <c r="T569" s="2"/>
      <c r="U569" s="86"/>
      <c r="V569" s="2"/>
      <c r="W569" s="2"/>
      <c r="X569" s="2"/>
      <c r="Y569" s="2"/>
      <c r="Z569" s="86"/>
      <c r="AA569" s="2"/>
      <c r="AB569" s="2"/>
      <c r="AC569" s="2"/>
      <c r="AD569" s="2"/>
      <c r="AE569" s="86"/>
      <c r="AF569" s="2"/>
      <c r="AG569" s="2"/>
      <c r="AH569" s="2"/>
      <c r="AI569" s="2">
        <f t="shared" si="1217"/>
        <v>4.7539999999999996</v>
      </c>
      <c r="AJ569" s="87">
        <v>4.7539999999999996</v>
      </c>
      <c r="AK569" s="88">
        <v>1.45</v>
      </c>
      <c r="AL569" s="88">
        <v>3.0939999999999999</v>
      </c>
      <c r="AM569" s="88">
        <v>13.439</v>
      </c>
      <c r="AN569" s="2">
        <f t="shared" si="1218"/>
        <v>-39.233000000000004</v>
      </c>
      <c r="AO569" s="87">
        <v>-39.233000000000004</v>
      </c>
      <c r="AP569" s="2"/>
      <c r="AQ569" s="2"/>
      <c r="AR569" s="2"/>
      <c r="AS569" s="2">
        <f t="shared" si="1219"/>
        <v>0</v>
      </c>
      <c r="AT569" s="86"/>
      <c r="AU569" s="2"/>
      <c r="AV569" s="2"/>
      <c r="AW569" s="2"/>
      <c r="AX569" s="2">
        <f t="shared" si="1220"/>
        <v>0</v>
      </c>
      <c r="AY569" s="86"/>
      <c r="AZ569" s="2"/>
      <c r="BA569" s="2"/>
      <c r="BB569" s="2"/>
      <c r="BC569" s="2">
        <f t="shared" si="1221"/>
        <v>0</v>
      </c>
      <c r="BD569" s="86"/>
      <c r="BE569" s="2"/>
      <c r="BF569" s="2"/>
      <c r="BG569" s="2"/>
      <c r="BH569" s="2">
        <f t="shared" si="1222"/>
        <v>0</v>
      </c>
      <c r="BI569" s="90"/>
      <c r="BJ569" s="2"/>
      <c r="BK569" s="2"/>
      <c r="BL569" s="2"/>
      <c r="BM569" s="2"/>
      <c r="BN569" s="86"/>
      <c r="BO569" s="2"/>
      <c r="BP569" s="2"/>
      <c r="BQ569" s="2"/>
      <c r="BR569" s="2"/>
      <c r="BS569" s="86"/>
      <c r="BT569" s="86"/>
      <c r="BU569" s="86"/>
      <c r="BV569" s="86"/>
      <c r="BW569" s="4"/>
    </row>
    <row r="570" spans="1:75" ht="15.75" customHeight="1" outlineLevel="1" x14ac:dyDescent="0.2">
      <c r="A570" s="84" t="s">
        <v>419</v>
      </c>
      <c r="B570" s="85"/>
      <c r="C570" s="87">
        <v>-1.117</v>
      </c>
      <c r="D570" s="87">
        <v>0.23300000000000001</v>
      </c>
      <c r="E570" s="87">
        <v>0.84399999999999997</v>
      </c>
      <c r="F570" s="87">
        <v>2.4350000000000001</v>
      </c>
      <c r="G570" s="88">
        <v>1.6439999999999999</v>
      </c>
      <c r="H570" s="88">
        <v>2.3719999999999999</v>
      </c>
      <c r="I570" s="88">
        <v>4.3570000000000002</v>
      </c>
      <c r="J570" s="4">
        <f t="shared" ref="J570:J572" si="1223">K570</f>
        <v>7.1589999999999998</v>
      </c>
      <c r="K570" s="87">
        <v>7.1589999999999998</v>
      </c>
      <c r="L570" s="88">
        <v>3.9420000000000002</v>
      </c>
      <c r="M570" s="88">
        <v>5.032</v>
      </c>
      <c r="N570" s="88">
        <v>6.3769999999999998</v>
      </c>
      <c r="O570" s="4">
        <f t="shared" ref="O570:O572" si="1224">P570</f>
        <v>8.9060000000000006</v>
      </c>
      <c r="P570" s="87">
        <v>8.9060000000000006</v>
      </c>
      <c r="Q570" s="88">
        <v>4.34</v>
      </c>
      <c r="R570" s="88">
        <v>7.8380000000000001</v>
      </c>
      <c r="S570" s="88">
        <v>11.647</v>
      </c>
      <c r="T570" s="4">
        <f t="shared" ref="T570:T572" si="1225">U570</f>
        <v>12.500999999999999</v>
      </c>
      <c r="U570" s="87">
        <v>12.500999999999999</v>
      </c>
      <c r="V570" s="88">
        <v>5.9399999999999995</v>
      </c>
      <c r="W570" s="88">
        <v>6.5590000000000002</v>
      </c>
      <c r="X570" s="88">
        <v>8.4499999999999993</v>
      </c>
      <c r="Y570" s="2">
        <f t="shared" ref="Y570:Y572" si="1226">Z570</f>
        <v>13.722</v>
      </c>
      <c r="Z570" s="87">
        <v>13.722</v>
      </c>
      <c r="AA570" s="2"/>
      <c r="AB570" s="2"/>
      <c r="AC570" s="2"/>
      <c r="AD570" s="2">
        <f t="shared" ref="AD570:AD572" si="1227">AE570</f>
        <v>0</v>
      </c>
      <c r="AE570" s="87">
        <v>0</v>
      </c>
      <c r="AF570" s="2"/>
      <c r="AG570" s="2"/>
      <c r="AH570" s="2"/>
      <c r="AI570" s="2">
        <f t="shared" si="1217"/>
        <v>0</v>
      </c>
      <c r="AJ570" s="86"/>
      <c r="AK570" s="2"/>
      <c r="AL570" s="2"/>
      <c r="AM570" s="2"/>
      <c r="AN570" s="2">
        <f t="shared" si="1218"/>
        <v>0</v>
      </c>
      <c r="AO570" s="86"/>
      <c r="AP570" s="2"/>
      <c r="AQ570" s="2"/>
      <c r="AR570" s="2"/>
      <c r="AS570" s="2">
        <f t="shared" si="1219"/>
        <v>0</v>
      </c>
      <c r="AT570" s="86"/>
      <c r="AU570" s="2"/>
      <c r="AV570" s="2"/>
      <c r="AW570" s="2"/>
      <c r="AX570" s="2">
        <f t="shared" si="1220"/>
        <v>0</v>
      </c>
      <c r="AY570" s="86"/>
      <c r="AZ570" s="2"/>
      <c r="BA570" s="2"/>
      <c r="BB570" s="2"/>
      <c r="BC570" s="2">
        <f t="shared" si="1221"/>
        <v>0</v>
      </c>
      <c r="BD570" s="86"/>
      <c r="BE570" s="2"/>
      <c r="BF570" s="2"/>
      <c r="BG570" s="2"/>
      <c r="BH570" s="2">
        <f t="shared" si="1222"/>
        <v>0</v>
      </c>
      <c r="BI570" s="90"/>
      <c r="BJ570" s="2"/>
      <c r="BK570" s="2"/>
      <c r="BL570" s="2"/>
      <c r="BM570" s="2"/>
      <c r="BN570" s="86"/>
      <c r="BO570" s="2"/>
      <c r="BP570" s="2"/>
      <c r="BQ570" s="2"/>
      <c r="BR570" s="2"/>
      <c r="BS570" s="86"/>
      <c r="BT570" s="86"/>
      <c r="BU570" s="86"/>
      <c r="BV570" s="86"/>
      <c r="BW570" s="4"/>
    </row>
    <row r="571" spans="1:75" ht="15.75" customHeight="1" outlineLevel="1" x14ac:dyDescent="0.2">
      <c r="A571" s="84" t="s">
        <v>420</v>
      </c>
      <c r="B571" s="85"/>
      <c r="C571" s="87">
        <v>-0.85699999999999998</v>
      </c>
      <c r="D571" s="87">
        <v>-3.3570000000000002</v>
      </c>
      <c r="E571" s="87">
        <v>-0.74099999999999999</v>
      </c>
      <c r="F571" s="87">
        <v>-2.8010000000000002</v>
      </c>
      <c r="G571" s="88">
        <v>-2.181</v>
      </c>
      <c r="H571" s="88">
        <v>-3.2650000000000001</v>
      </c>
      <c r="I571" s="88">
        <v>-5.15</v>
      </c>
      <c r="J571" s="4">
        <f t="shared" si="1223"/>
        <v>-7.7649999999999997</v>
      </c>
      <c r="K571" s="87">
        <v>-7.7649999999999997</v>
      </c>
      <c r="L571" s="88">
        <v>-3.851</v>
      </c>
      <c r="M571" s="88">
        <v>-4.923</v>
      </c>
      <c r="N571" s="88">
        <v>-6.2119999999999997</v>
      </c>
      <c r="O571" s="4">
        <f t="shared" si="1224"/>
        <v>-8.8610000000000007</v>
      </c>
      <c r="P571" s="87">
        <v>-8.8610000000000007</v>
      </c>
      <c r="Q571" s="88">
        <v>-4.3170000000000002</v>
      </c>
      <c r="R571" s="88">
        <v>-7.8259999999999996</v>
      </c>
      <c r="S571" s="88">
        <v>-11.66</v>
      </c>
      <c r="T571" s="4">
        <f t="shared" si="1225"/>
        <v>-12.308999999999999</v>
      </c>
      <c r="U571" s="87">
        <v>-12.308999999999999</v>
      </c>
      <c r="V571" s="88">
        <v>-6.0339999999999998</v>
      </c>
      <c r="W571" s="88">
        <v>-6.6349999999999998</v>
      </c>
      <c r="X571" s="88">
        <v>-8.5210000000000008</v>
      </c>
      <c r="Y571" s="2">
        <f t="shared" si="1226"/>
        <v>-13.861000000000001</v>
      </c>
      <c r="Z571" s="87">
        <v>-13.861000000000001</v>
      </c>
      <c r="AA571" s="2"/>
      <c r="AB571" s="2"/>
      <c r="AC571" s="2"/>
      <c r="AD571" s="2">
        <f t="shared" si="1227"/>
        <v>0</v>
      </c>
      <c r="AE571" s="87">
        <v>0</v>
      </c>
      <c r="AF571" s="2"/>
      <c r="AG571" s="2"/>
      <c r="AH571" s="2"/>
      <c r="AI571" s="2">
        <f t="shared" si="1217"/>
        <v>0</v>
      </c>
      <c r="AJ571" s="86"/>
      <c r="AK571" s="2"/>
      <c r="AL571" s="2"/>
      <c r="AM571" s="2"/>
      <c r="AN571" s="2">
        <f t="shared" si="1218"/>
        <v>0</v>
      </c>
      <c r="AO571" s="86"/>
      <c r="AP571" s="2"/>
      <c r="AQ571" s="2"/>
      <c r="AR571" s="2"/>
      <c r="AS571" s="2">
        <f t="shared" si="1219"/>
        <v>0</v>
      </c>
      <c r="AT571" s="86"/>
      <c r="AU571" s="2"/>
      <c r="AV571" s="2"/>
      <c r="AW571" s="2"/>
      <c r="AX571" s="2">
        <f t="shared" si="1220"/>
        <v>0</v>
      </c>
      <c r="AY571" s="86"/>
      <c r="AZ571" s="2"/>
      <c r="BA571" s="2"/>
      <c r="BB571" s="2"/>
      <c r="BC571" s="2">
        <f t="shared" si="1221"/>
        <v>0</v>
      </c>
      <c r="BD571" s="86"/>
      <c r="BE571" s="2"/>
      <c r="BF571" s="2"/>
      <c r="BG571" s="2"/>
      <c r="BH571" s="2">
        <f t="shared" si="1222"/>
        <v>0</v>
      </c>
      <c r="BI571" s="90"/>
      <c r="BJ571" s="2"/>
      <c r="BK571" s="2"/>
      <c r="BL571" s="2"/>
      <c r="BM571" s="2"/>
      <c r="BN571" s="86"/>
      <c r="BO571" s="2"/>
      <c r="BP571" s="2"/>
      <c r="BQ571" s="2"/>
      <c r="BR571" s="2"/>
      <c r="BS571" s="86"/>
      <c r="BT571" s="86"/>
      <c r="BU571" s="86"/>
      <c r="BV571" s="86"/>
      <c r="BW571" s="4"/>
    </row>
    <row r="572" spans="1:75" ht="15.75" customHeight="1" outlineLevel="1" x14ac:dyDescent="0.2">
      <c r="A572" s="84" t="s">
        <v>387</v>
      </c>
      <c r="B572" s="85"/>
      <c r="C572" s="87">
        <v>1.9570000000000001</v>
      </c>
      <c r="D572" s="87">
        <v>0.17799999999999999</v>
      </c>
      <c r="E572" s="87">
        <v>1.0229999999999999</v>
      </c>
      <c r="F572" s="87">
        <v>1.2589999999999999</v>
      </c>
      <c r="G572" s="88">
        <v>-1.133</v>
      </c>
      <c r="H572" s="88">
        <v>-0.71299999999999997</v>
      </c>
      <c r="I572" s="88">
        <v>-0.94899999999999995</v>
      </c>
      <c r="J572" s="4">
        <f t="shared" si="1223"/>
        <v>-0.46400000000000002</v>
      </c>
      <c r="K572" s="87">
        <v>-0.46400000000000002</v>
      </c>
      <c r="L572" s="88">
        <v>0.4</v>
      </c>
      <c r="M572" s="88">
        <v>0.89700000000000002</v>
      </c>
      <c r="N572" s="88">
        <v>1.3360000000000001</v>
      </c>
      <c r="O572" s="4">
        <f t="shared" si="1224"/>
        <v>2.0590000000000002</v>
      </c>
      <c r="P572" s="87">
        <v>2.0590000000000002</v>
      </c>
      <c r="Q572" s="88">
        <v>0.81399999999999995</v>
      </c>
      <c r="R572" s="88">
        <v>1.3460000000000001</v>
      </c>
      <c r="S572" s="88">
        <v>2.0720000000000001</v>
      </c>
      <c r="T572" s="4">
        <f t="shared" si="1225"/>
        <v>2.6150000000000002</v>
      </c>
      <c r="U572" s="87">
        <v>2.6150000000000002</v>
      </c>
      <c r="V572" s="88">
        <v>0.83399999999999996</v>
      </c>
      <c r="W572" s="88">
        <v>1.3420000000000001</v>
      </c>
      <c r="X572" s="88">
        <v>2.9449999999999998</v>
      </c>
      <c r="Y572" s="2">
        <f t="shared" si="1226"/>
        <v>3.5920000000000001</v>
      </c>
      <c r="Z572" s="87">
        <v>3.5920000000000001</v>
      </c>
      <c r="AA572" s="2"/>
      <c r="AB572" s="2"/>
      <c r="AC572" s="2"/>
      <c r="AD572" s="2">
        <f t="shared" si="1227"/>
        <v>0</v>
      </c>
      <c r="AE572" s="87">
        <v>0</v>
      </c>
      <c r="AF572" s="2"/>
      <c r="AG572" s="2"/>
      <c r="AH572" s="2"/>
      <c r="AI572" s="2">
        <f t="shared" si="1217"/>
        <v>0</v>
      </c>
      <c r="AJ572" s="86"/>
      <c r="AK572" s="2"/>
      <c r="AL572" s="2"/>
      <c r="AM572" s="2"/>
      <c r="AN572" s="2">
        <f t="shared" si="1218"/>
        <v>0</v>
      </c>
      <c r="AO572" s="86"/>
      <c r="AP572" s="2"/>
      <c r="AQ572" s="2"/>
      <c r="AR572" s="2"/>
      <c r="AS572" s="2">
        <f t="shared" si="1219"/>
        <v>0</v>
      </c>
      <c r="AT572" s="86"/>
      <c r="AU572" s="2"/>
      <c r="AV572" s="2"/>
      <c r="AW572" s="2"/>
      <c r="AX572" s="2">
        <f t="shared" si="1220"/>
        <v>0</v>
      </c>
      <c r="AY572" s="86"/>
      <c r="AZ572" s="2"/>
      <c r="BA572" s="2"/>
      <c r="BB572" s="2"/>
      <c r="BC572" s="2">
        <f t="shared" si="1221"/>
        <v>0</v>
      </c>
      <c r="BD572" s="86"/>
      <c r="BE572" s="2"/>
      <c r="BF572" s="2"/>
      <c r="BG572" s="2"/>
      <c r="BH572" s="2">
        <f t="shared" si="1222"/>
        <v>0</v>
      </c>
      <c r="BI572" s="90"/>
      <c r="BJ572" s="2"/>
      <c r="BK572" s="2"/>
      <c r="BL572" s="2"/>
      <c r="BM572" s="2"/>
      <c r="BN572" s="86"/>
      <c r="BO572" s="2"/>
      <c r="BP572" s="2"/>
      <c r="BQ572" s="2"/>
      <c r="BR572" s="2"/>
      <c r="BS572" s="86"/>
      <c r="BT572" s="86"/>
      <c r="BU572" s="86"/>
      <c r="BV572" s="86"/>
      <c r="BW572" s="4"/>
    </row>
    <row r="573" spans="1:75" ht="15.75" customHeight="1" outlineLevel="1" x14ac:dyDescent="0.2">
      <c r="A573" s="101" t="s">
        <v>824</v>
      </c>
      <c r="B573" s="102"/>
      <c r="C573" s="104">
        <f t="shared" ref="C573:BI573" si="1228">SUM(C564:C572)</f>
        <v>154.35300000000001</v>
      </c>
      <c r="D573" s="104">
        <f t="shared" si="1228"/>
        <v>157.73300000000003</v>
      </c>
      <c r="E573" s="104">
        <f t="shared" si="1228"/>
        <v>187.89299999999997</v>
      </c>
      <c r="F573" s="104">
        <f t="shared" si="1228"/>
        <v>177.29799999999997</v>
      </c>
      <c r="G573" s="105">
        <f t="shared" si="1228"/>
        <v>48.999000000000002</v>
      </c>
      <c r="H573" s="105">
        <f t="shared" si="1228"/>
        <v>103.75</v>
      </c>
      <c r="I573" s="105">
        <f t="shared" si="1228"/>
        <v>157.27999999999997</v>
      </c>
      <c r="J573" s="105">
        <f t="shared" si="1228"/>
        <v>213.90600000000001</v>
      </c>
      <c r="K573" s="104">
        <f t="shared" si="1228"/>
        <v>213.90600000000001</v>
      </c>
      <c r="L573" s="105">
        <f t="shared" si="1228"/>
        <v>48.096000000000004</v>
      </c>
      <c r="M573" s="105">
        <f t="shared" si="1228"/>
        <v>102.52300000000001</v>
      </c>
      <c r="N573" s="105">
        <f t="shared" si="1228"/>
        <v>151.06100000000004</v>
      </c>
      <c r="O573" s="105">
        <f t="shared" si="1228"/>
        <v>203.48100000000002</v>
      </c>
      <c r="P573" s="104">
        <f t="shared" si="1228"/>
        <v>203.48100000000002</v>
      </c>
      <c r="Q573" s="105">
        <f t="shared" si="1228"/>
        <v>56.382999999999996</v>
      </c>
      <c r="R573" s="105">
        <f t="shared" si="1228"/>
        <v>117.66300000000001</v>
      </c>
      <c r="S573" s="105">
        <f t="shared" si="1228"/>
        <v>176.26900000000001</v>
      </c>
      <c r="T573" s="105">
        <f t="shared" si="1228"/>
        <v>232.14100000000002</v>
      </c>
      <c r="U573" s="104">
        <f t="shared" si="1228"/>
        <v>232.14100000000002</v>
      </c>
      <c r="V573" s="105">
        <f t="shared" si="1228"/>
        <v>64.504000000000005</v>
      </c>
      <c r="W573" s="105">
        <f t="shared" si="1228"/>
        <v>129.24699999999999</v>
      </c>
      <c r="X573" s="105">
        <f t="shared" si="1228"/>
        <v>191.28699999999998</v>
      </c>
      <c r="Y573" s="106">
        <f t="shared" si="1228"/>
        <v>251.53900000000002</v>
      </c>
      <c r="Z573" s="103">
        <f t="shared" si="1228"/>
        <v>251.53900000000002</v>
      </c>
      <c r="AA573" s="105">
        <f t="shared" si="1228"/>
        <v>66.826000000000008</v>
      </c>
      <c r="AB573" s="105">
        <f t="shared" si="1228"/>
        <v>133.24299999999999</v>
      </c>
      <c r="AC573" s="105">
        <f t="shared" si="1228"/>
        <v>186.84300000000005</v>
      </c>
      <c r="AD573" s="106">
        <f t="shared" si="1228"/>
        <v>251.98399999999998</v>
      </c>
      <c r="AE573" s="103">
        <f t="shared" si="1228"/>
        <v>251.98399999999998</v>
      </c>
      <c r="AF573" s="105">
        <f t="shared" si="1228"/>
        <v>57.201000000000001</v>
      </c>
      <c r="AG573" s="105">
        <f t="shared" si="1228"/>
        <v>116.48399999999999</v>
      </c>
      <c r="AH573" s="105">
        <f t="shared" si="1228"/>
        <v>173.93099999999998</v>
      </c>
      <c r="AI573" s="106">
        <f t="shared" si="1228"/>
        <v>230.654</v>
      </c>
      <c r="AJ573" s="103">
        <f t="shared" si="1228"/>
        <v>230.654</v>
      </c>
      <c r="AK573" s="106">
        <f t="shared" si="1228"/>
        <v>57.435000000000009</v>
      </c>
      <c r="AL573" s="106">
        <f t="shared" si="1228"/>
        <v>116.80799999999999</v>
      </c>
      <c r="AM573" s="106">
        <f t="shared" si="1228"/>
        <v>168.881</v>
      </c>
      <c r="AN573" s="106">
        <f t="shared" si="1228"/>
        <v>209.59199999999998</v>
      </c>
      <c r="AO573" s="103">
        <f t="shared" si="1228"/>
        <v>209.59199999999998</v>
      </c>
      <c r="AP573" s="106">
        <f t="shared" si="1228"/>
        <v>73.245999999999995</v>
      </c>
      <c r="AQ573" s="106">
        <f t="shared" si="1228"/>
        <v>46.783000000000001</v>
      </c>
      <c r="AR573" s="106">
        <f t="shared" si="1228"/>
        <v>6.2899999999999903</v>
      </c>
      <c r="AS573" s="106">
        <f t="shared" si="1228"/>
        <v>0.23800000000002086</v>
      </c>
      <c r="AT573" s="103">
        <f t="shared" si="1228"/>
        <v>0.23800000000002086</v>
      </c>
      <c r="AU573" s="106">
        <f t="shared" si="1228"/>
        <v>30.241</v>
      </c>
      <c r="AV573" s="106">
        <f t="shared" si="1228"/>
        <v>90.246000000000009</v>
      </c>
      <c r="AW573" s="106">
        <f t="shared" si="1228"/>
        <v>148.56400000000002</v>
      </c>
      <c r="AX573" s="106">
        <f t="shared" si="1228"/>
        <v>182.10300000000001</v>
      </c>
      <c r="AY573" s="103">
        <f t="shared" si="1228"/>
        <v>182.10300000000001</v>
      </c>
      <c r="AZ573" s="106">
        <f t="shared" si="1228"/>
        <v>54.204000000000001</v>
      </c>
      <c r="BA573" s="106">
        <f t="shared" si="1228"/>
        <v>105.068</v>
      </c>
      <c r="BB573" s="106">
        <f t="shared" si="1228"/>
        <v>128.02199999999999</v>
      </c>
      <c r="BC573" s="106">
        <f t="shared" si="1228"/>
        <v>172.60999999999996</v>
      </c>
      <c r="BD573" s="103">
        <f t="shared" si="1228"/>
        <v>172.60999999999996</v>
      </c>
      <c r="BE573" s="106">
        <f t="shared" si="1228"/>
        <v>60.084999999999994</v>
      </c>
      <c r="BF573" s="106">
        <f t="shared" si="1228"/>
        <v>130.94</v>
      </c>
      <c r="BG573" s="106">
        <f t="shared" si="1228"/>
        <v>177.50399999999999</v>
      </c>
      <c r="BH573" s="106">
        <f t="shared" si="1228"/>
        <v>231.55099999999999</v>
      </c>
      <c r="BI573" s="115">
        <f t="shared" si="1228"/>
        <v>231.55099999999999</v>
      </c>
      <c r="BJ573" s="106"/>
      <c r="BK573" s="106"/>
      <c r="BL573" s="106"/>
      <c r="BM573" s="106"/>
      <c r="BN573" s="103"/>
      <c r="BO573" s="106"/>
      <c r="BP573" s="106"/>
      <c r="BQ573" s="106"/>
      <c r="BR573" s="106"/>
      <c r="BS573" s="103"/>
      <c r="BT573" s="103"/>
      <c r="BU573" s="103"/>
      <c r="BV573" s="103"/>
      <c r="BW573" s="83"/>
    </row>
    <row r="574" spans="1:75" ht="15.75" customHeight="1" outlineLevel="2" x14ac:dyDescent="0.2">
      <c r="A574" s="84" t="s">
        <v>373</v>
      </c>
      <c r="B574" s="85"/>
      <c r="C574" s="87">
        <v>1.1850000000000001</v>
      </c>
      <c r="D574" s="87">
        <v>-4.8319999999999999</v>
      </c>
      <c r="E574" s="87">
        <v>4.8499999999999996</v>
      </c>
      <c r="F574" s="87">
        <v>-3.2240000000000002</v>
      </c>
      <c r="G574" s="88">
        <v>5.7709999999999999</v>
      </c>
      <c r="H574" s="88">
        <v>3.6139999999999999</v>
      </c>
      <c r="I574" s="88">
        <v>3.3929999999999998</v>
      </c>
      <c r="J574" s="4">
        <f t="shared" ref="J574:J575" si="1229">K574</f>
        <v>4.4770000000000003</v>
      </c>
      <c r="K574" s="87">
        <v>4.4770000000000003</v>
      </c>
      <c r="L574" s="88">
        <v>-1.591</v>
      </c>
      <c r="M574" s="88">
        <v>0.92300000000000004</v>
      </c>
      <c r="N574" s="88">
        <v>-0.90600000000000003</v>
      </c>
      <c r="O574" s="4">
        <f t="shared" ref="O574:O575" si="1230">P574</f>
        <v>-5.0789999999999997</v>
      </c>
      <c r="P574" s="87">
        <v>-5.0789999999999997</v>
      </c>
      <c r="Q574" s="88">
        <v>2.5270000000000001</v>
      </c>
      <c r="R574" s="88">
        <v>6.359</v>
      </c>
      <c r="S574" s="88">
        <v>4.3040000000000003</v>
      </c>
      <c r="T574" s="4">
        <f t="shared" ref="T574:T575" si="1231">U574</f>
        <v>1.0109999999999999</v>
      </c>
      <c r="U574" s="87">
        <v>1.0109999999999999</v>
      </c>
      <c r="V574" s="88">
        <v>1.08</v>
      </c>
      <c r="W574" s="88">
        <v>-0.309</v>
      </c>
      <c r="X574" s="88">
        <v>0.20899999999999999</v>
      </c>
      <c r="Y574" s="2">
        <f t="shared" ref="Y574:Y575" si="1232">Z574</f>
        <v>-1.4730000000000001</v>
      </c>
      <c r="Z574" s="87">
        <v>-1.4730000000000001</v>
      </c>
      <c r="AA574" s="88">
        <v>3.1720000000000002</v>
      </c>
      <c r="AB574" s="88">
        <v>1.5589999999999999</v>
      </c>
      <c r="AC574" s="88">
        <v>2.4369999999999998</v>
      </c>
      <c r="AD574" s="2">
        <f t="shared" ref="AD574:AD575" si="1233">AE574</f>
        <v>-4.2329999999999997</v>
      </c>
      <c r="AE574" s="87">
        <v>-4.2329999999999997</v>
      </c>
      <c r="AF574" s="88">
        <v>3.4910000000000001</v>
      </c>
      <c r="AG574" s="88">
        <v>2.089</v>
      </c>
      <c r="AH574" s="88">
        <v>3.927</v>
      </c>
      <c r="AI574" s="2">
        <f t="shared" ref="AI574:AI575" si="1234">AJ574</f>
        <v>-1.018</v>
      </c>
      <c r="AJ574" s="87">
        <v>-1.018</v>
      </c>
      <c r="AK574" s="2"/>
      <c r="AL574" s="2"/>
      <c r="AM574" s="2"/>
      <c r="AN574" s="2"/>
      <c r="AO574" s="86"/>
      <c r="AP574" s="2"/>
      <c r="AQ574" s="2"/>
      <c r="AR574" s="2"/>
      <c r="AS574" s="2"/>
      <c r="AT574" s="86"/>
      <c r="AU574" s="2"/>
      <c r="AV574" s="2"/>
      <c r="AW574" s="2"/>
      <c r="AX574" s="2"/>
      <c r="AY574" s="86"/>
      <c r="AZ574" s="2"/>
      <c r="BA574" s="2"/>
      <c r="BB574" s="2"/>
      <c r="BC574" s="2"/>
      <c r="BD574" s="86"/>
      <c r="BE574" s="2"/>
      <c r="BF574" s="2"/>
      <c r="BG574" s="2"/>
      <c r="BH574" s="2"/>
      <c r="BI574" s="90"/>
      <c r="BJ574" s="2"/>
      <c r="BK574" s="2"/>
      <c r="BL574" s="2"/>
      <c r="BM574" s="2"/>
      <c r="BN574" s="86"/>
      <c r="BO574" s="2"/>
      <c r="BP574" s="2"/>
      <c r="BQ574" s="2"/>
      <c r="BR574" s="2"/>
      <c r="BS574" s="86"/>
      <c r="BT574" s="86"/>
      <c r="BU574" s="86"/>
      <c r="BV574" s="86"/>
      <c r="BW574" s="4"/>
    </row>
    <row r="575" spans="1:75" ht="15.75" customHeight="1" outlineLevel="2" x14ac:dyDescent="0.2">
      <c r="A575" s="91" t="s">
        <v>374</v>
      </c>
      <c r="B575" s="92"/>
      <c r="C575" s="98">
        <v>5.3460000000000001</v>
      </c>
      <c r="D575" s="98">
        <v>0.17899999999999999</v>
      </c>
      <c r="E575" s="98">
        <v>-4.8</v>
      </c>
      <c r="F575" s="98">
        <v>-16.004000000000001</v>
      </c>
      <c r="G575" s="99">
        <v>22.085000000000001</v>
      </c>
      <c r="H575" s="99">
        <v>20.251000000000001</v>
      </c>
      <c r="I575" s="99">
        <v>17.763999999999999</v>
      </c>
      <c r="J575" s="95">
        <f t="shared" si="1229"/>
        <v>-6.4859999999999998</v>
      </c>
      <c r="K575" s="98">
        <v>-6.4859999999999998</v>
      </c>
      <c r="L575" s="99">
        <v>26.733000000000001</v>
      </c>
      <c r="M575" s="99">
        <v>23.956</v>
      </c>
      <c r="N575" s="99">
        <v>19.905999999999999</v>
      </c>
      <c r="O575" s="95">
        <f t="shared" si="1230"/>
        <v>-6.867</v>
      </c>
      <c r="P575" s="98">
        <v>-6.867</v>
      </c>
      <c r="Q575" s="99">
        <v>32.634999999999998</v>
      </c>
      <c r="R575" s="99">
        <v>28.914000000000001</v>
      </c>
      <c r="S575" s="99">
        <v>27.323</v>
      </c>
      <c r="T575" s="95">
        <f t="shared" si="1231"/>
        <v>-10.331</v>
      </c>
      <c r="U575" s="98">
        <v>-10.331</v>
      </c>
      <c r="V575" s="99">
        <v>42.07</v>
      </c>
      <c r="W575" s="99">
        <v>45.508000000000003</v>
      </c>
      <c r="X575" s="99">
        <v>41.893000000000001</v>
      </c>
      <c r="Y575" s="94">
        <f t="shared" si="1232"/>
        <v>8.0660000000000007</v>
      </c>
      <c r="Z575" s="98">
        <v>8.0660000000000007</v>
      </c>
      <c r="AA575" s="99">
        <v>32.264000000000003</v>
      </c>
      <c r="AB575" s="99">
        <v>29.896000000000001</v>
      </c>
      <c r="AC575" s="99">
        <v>30.695</v>
      </c>
      <c r="AD575" s="94">
        <f t="shared" si="1233"/>
        <v>-2.9550000000000001</v>
      </c>
      <c r="AE575" s="98">
        <v>-2.9550000000000001</v>
      </c>
      <c r="AF575" s="99">
        <v>41.103000000000002</v>
      </c>
      <c r="AG575" s="99">
        <v>35.661000000000001</v>
      </c>
      <c r="AH575" s="99">
        <v>31.82</v>
      </c>
      <c r="AI575" s="94">
        <f t="shared" si="1234"/>
        <v>4.6980000000000004</v>
      </c>
      <c r="AJ575" s="98">
        <v>4.6980000000000004</v>
      </c>
      <c r="AK575" s="94"/>
      <c r="AL575" s="94"/>
      <c r="AM575" s="94"/>
      <c r="AN575" s="94"/>
      <c r="AO575" s="93"/>
      <c r="AP575" s="94"/>
      <c r="AQ575" s="94"/>
      <c r="AR575" s="94"/>
      <c r="AS575" s="94"/>
      <c r="AT575" s="93"/>
      <c r="AU575" s="94"/>
      <c r="AV575" s="94"/>
      <c r="AW575" s="94"/>
      <c r="AX575" s="94"/>
      <c r="AY575" s="93"/>
      <c r="AZ575" s="94"/>
      <c r="BA575" s="94"/>
      <c r="BB575" s="94"/>
      <c r="BC575" s="94"/>
      <c r="BD575" s="93"/>
      <c r="BE575" s="94"/>
      <c r="BF575" s="94"/>
      <c r="BG575" s="94"/>
      <c r="BH575" s="94"/>
      <c r="BI575" s="97"/>
      <c r="BJ575" s="94"/>
      <c r="BK575" s="94"/>
      <c r="BL575" s="94"/>
      <c r="BM575" s="94"/>
      <c r="BN575" s="93"/>
      <c r="BO575" s="94"/>
      <c r="BP575" s="94"/>
      <c r="BQ575" s="94"/>
      <c r="BR575" s="94"/>
      <c r="BS575" s="93"/>
      <c r="BT575" s="93"/>
      <c r="BU575" s="93"/>
      <c r="BV575" s="93"/>
      <c r="BW575" s="4"/>
    </row>
    <row r="576" spans="1:75" ht="15.75" customHeight="1" outlineLevel="1" x14ac:dyDescent="0.2">
      <c r="A576" s="84" t="s">
        <v>422</v>
      </c>
      <c r="B576" s="85"/>
      <c r="C576" s="86"/>
      <c r="D576" s="86"/>
      <c r="E576" s="86"/>
      <c r="F576" s="86"/>
      <c r="G576" s="2"/>
      <c r="H576" s="2"/>
      <c r="I576" s="2"/>
      <c r="J576" s="2"/>
      <c r="K576" s="86"/>
      <c r="L576" s="2"/>
      <c r="M576" s="2"/>
      <c r="N576" s="2"/>
      <c r="O576" s="2"/>
      <c r="P576" s="86"/>
      <c r="Q576" s="2"/>
      <c r="R576" s="2"/>
      <c r="S576" s="2"/>
      <c r="T576" s="2"/>
      <c r="U576" s="86"/>
      <c r="V576" s="2"/>
      <c r="W576" s="2"/>
      <c r="X576" s="2"/>
      <c r="Y576" s="2"/>
      <c r="Z576" s="86"/>
      <c r="AA576" s="2"/>
      <c r="AB576" s="2"/>
      <c r="AC576" s="2"/>
      <c r="AD576" s="2"/>
      <c r="AE576" s="86"/>
      <c r="AF576" s="2"/>
      <c r="AG576" s="2"/>
      <c r="AH576" s="2"/>
      <c r="AI576" s="2"/>
      <c r="AJ576" s="86"/>
      <c r="AK576" s="88">
        <v>43.295000000000002</v>
      </c>
      <c r="AL576" s="88">
        <v>43.122999999999998</v>
      </c>
      <c r="AM576" s="88">
        <v>40.634</v>
      </c>
      <c r="AN576" s="2">
        <f t="shared" ref="AN576:AN586" si="1235">AO576</f>
        <v>3.7770000000000001</v>
      </c>
      <c r="AO576" s="87">
        <v>3.7770000000000001</v>
      </c>
      <c r="AP576" s="88">
        <v>38.311999999999998</v>
      </c>
      <c r="AQ576" s="88">
        <v>41.404000000000003</v>
      </c>
      <c r="AR576" s="88">
        <v>40.46</v>
      </c>
      <c r="AS576" s="2">
        <f t="shared" ref="AS576:AS586" si="1236">AT576</f>
        <v>15.148</v>
      </c>
      <c r="AT576" s="87">
        <v>15.148</v>
      </c>
      <c r="AU576" s="88">
        <v>15.516999999999999</v>
      </c>
      <c r="AV576" s="88">
        <v>17.047999999999998</v>
      </c>
      <c r="AW576" s="88">
        <v>8.1210000000000004</v>
      </c>
      <c r="AX576" s="2">
        <f t="shared" ref="AX576:AX586" si="1237">AY576</f>
        <v>-24.815999999999999</v>
      </c>
      <c r="AY576" s="87">
        <v>-24.815999999999999</v>
      </c>
      <c r="AZ576" s="88">
        <v>34.286999999999999</v>
      </c>
      <c r="BA576" s="88">
        <v>23.780999999999999</v>
      </c>
      <c r="BB576" s="88">
        <v>23.835000000000001</v>
      </c>
      <c r="BC576" s="2">
        <f t="shared" ref="BC576:BC586" si="1238">BD576</f>
        <v>-12.266</v>
      </c>
      <c r="BD576" s="87">
        <v>-12.266</v>
      </c>
      <c r="BE576" s="88">
        <v>38.012999999999998</v>
      </c>
      <c r="BF576" s="88">
        <v>31.74</v>
      </c>
      <c r="BG576" s="88">
        <v>32.106999999999999</v>
      </c>
      <c r="BH576" s="2">
        <f t="shared" ref="BH576:BH586" si="1239">BI576</f>
        <v>-9.8000000000000004E-2</v>
      </c>
      <c r="BI576" s="89">
        <v>-9.8000000000000004E-2</v>
      </c>
      <c r="BJ576" s="2"/>
      <c r="BK576" s="2"/>
      <c r="BL576" s="2"/>
      <c r="BM576" s="2"/>
      <c r="BN576" s="86"/>
      <c r="BO576" s="2"/>
      <c r="BP576" s="2"/>
      <c r="BQ576" s="2"/>
      <c r="BR576" s="2"/>
      <c r="BS576" s="86"/>
      <c r="BT576" s="86"/>
      <c r="BU576" s="86"/>
      <c r="BV576" s="86"/>
      <c r="BW576" s="4"/>
    </row>
    <row r="577" spans="1:75" ht="15.75" customHeight="1" outlineLevel="1" x14ac:dyDescent="0.2">
      <c r="A577" s="84" t="s">
        <v>423</v>
      </c>
      <c r="B577" s="85"/>
      <c r="C577" s="87">
        <v>7.8650000000000002</v>
      </c>
      <c r="D577" s="87">
        <v>-1.964</v>
      </c>
      <c r="E577" s="87">
        <v>-1.6319999999999999</v>
      </c>
      <c r="F577" s="87">
        <v>6.6849999999999996</v>
      </c>
      <c r="G577" s="88">
        <v>3.4</v>
      </c>
      <c r="H577" s="88">
        <v>-3.11</v>
      </c>
      <c r="I577" s="88">
        <v>-3.629</v>
      </c>
      <c r="J577" s="4">
        <f t="shared" ref="J577:J579" si="1240">K577</f>
        <v>-5.742</v>
      </c>
      <c r="K577" s="87">
        <v>-5.742</v>
      </c>
      <c r="L577" s="88">
        <v>3.4359999999999999</v>
      </c>
      <c r="M577" s="88">
        <v>1.762</v>
      </c>
      <c r="N577" s="88">
        <v>-7.01</v>
      </c>
      <c r="O577" s="4">
        <f t="shared" ref="O577:O579" si="1241">P577</f>
        <v>-12.853999999999999</v>
      </c>
      <c r="P577" s="87">
        <v>-12.853999999999999</v>
      </c>
      <c r="Q577" s="88">
        <v>4.5999999999999996</v>
      </c>
      <c r="R577" s="88">
        <v>11.465999999999999</v>
      </c>
      <c r="S577" s="88">
        <v>1.3520000000000001</v>
      </c>
      <c r="T577" s="4">
        <f t="shared" ref="T577:T579" si="1242">U577</f>
        <v>-1.3560000000000001</v>
      </c>
      <c r="U577" s="87">
        <v>-1.3560000000000001</v>
      </c>
      <c r="V577" s="88">
        <v>2.718</v>
      </c>
      <c r="W577" s="88">
        <v>14.398</v>
      </c>
      <c r="X577" s="88">
        <v>18.28</v>
      </c>
      <c r="Y577" s="2">
        <f t="shared" ref="Y577:Y579" si="1243">Z577</f>
        <v>21.837</v>
      </c>
      <c r="Z577" s="87">
        <v>21.837</v>
      </c>
      <c r="AA577" s="88">
        <v>3.1640000000000001</v>
      </c>
      <c r="AB577" s="88">
        <v>-6.4969999999999999</v>
      </c>
      <c r="AC577" s="88">
        <v>-7.3369999999999997</v>
      </c>
      <c r="AD577" s="2">
        <f t="shared" ref="AD577:AD579" si="1244">AE577</f>
        <v>-17.315000000000001</v>
      </c>
      <c r="AE577" s="87">
        <v>-17.315000000000001</v>
      </c>
      <c r="AF577" s="88">
        <v>13.667999999999999</v>
      </c>
      <c r="AG577" s="88">
        <v>12.583</v>
      </c>
      <c r="AH577" s="88">
        <v>11.832000000000001</v>
      </c>
      <c r="AI577" s="2">
        <f t="shared" ref="AI577:AI579" si="1245">AJ577</f>
        <v>15.728999999999999</v>
      </c>
      <c r="AJ577" s="87">
        <v>15.728999999999999</v>
      </c>
      <c r="AK577" s="88">
        <v>-0.68100000000000005</v>
      </c>
      <c r="AL577" s="88">
        <v>-3.0950000000000002</v>
      </c>
      <c r="AM577" s="88">
        <v>-9.1270000000000007</v>
      </c>
      <c r="AN577" s="2">
        <f t="shared" si="1235"/>
        <v>-5.3380000000000001</v>
      </c>
      <c r="AO577" s="87">
        <v>-5.3380000000000001</v>
      </c>
      <c r="AP577" s="88">
        <v>-44.553000000000004</v>
      </c>
      <c r="AQ577" s="88">
        <v>-74.387</v>
      </c>
      <c r="AR577" s="88">
        <v>-40.976999999999997</v>
      </c>
      <c r="AS577" s="2">
        <f t="shared" si="1236"/>
        <v>-32.262999999999998</v>
      </c>
      <c r="AT577" s="87">
        <v>-32.262999999999998</v>
      </c>
      <c r="AU577" s="88">
        <v>1.9159999999999999</v>
      </c>
      <c r="AV577" s="88">
        <v>1.1060000000000001</v>
      </c>
      <c r="AW577" s="88">
        <v>-3.7490000000000001</v>
      </c>
      <c r="AX577" s="2">
        <f t="shared" si="1237"/>
        <v>0.71499999999999997</v>
      </c>
      <c r="AY577" s="87">
        <v>0.71499999999999997</v>
      </c>
      <c r="AZ577" s="88">
        <v>-0.72</v>
      </c>
      <c r="BA577" s="88">
        <v>-3.6179999999999999</v>
      </c>
      <c r="BB577" s="88">
        <v>12.481</v>
      </c>
      <c r="BC577" s="2">
        <f t="shared" si="1238"/>
        <v>14.651</v>
      </c>
      <c r="BD577" s="87">
        <v>14.651</v>
      </c>
      <c r="BE577" s="88">
        <v>-0.11799999999999999</v>
      </c>
      <c r="BF577" s="88">
        <v>-1.216</v>
      </c>
      <c r="BG577" s="88">
        <v>-2.4009999999999998</v>
      </c>
      <c r="BH577" s="2">
        <f t="shared" si="1239"/>
        <v>0.85199999999999998</v>
      </c>
      <c r="BI577" s="89">
        <v>0.85199999999999998</v>
      </c>
      <c r="BJ577" s="2"/>
      <c r="BK577" s="2"/>
      <c r="BL577" s="2"/>
      <c r="BM577" s="2"/>
      <c r="BN577" s="86"/>
      <c r="BO577" s="2"/>
      <c r="BP577" s="2"/>
      <c r="BQ577" s="2"/>
      <c r="BR577" s="2"/>
      <c r="BS577" s="86"/>
      <c r="BT577" s="86"/>
      <c r="BU577" s="86"/>
      <c r="BV577" s="86"/>
      <c r="BW577" s="4"/>
    </row>
    <row r="578" spans="1:75" ht="15.75" customHeight="1" outlineLevel="1" x14ac:dyDescent="0.2">
      <c r="A578" s="84" t="s">
        <v>377</v>
      </c>
      <c r="B578" s="85"/>
      <c r="C578" s="87">
        <v>0.93</v>
      </c>
      <c r="D578" s="87">
        <v>-0.83399999999999996</v>
      </c>
      <c r="E578" s="87">
        <v>-5.1740000000000004</v>
      </c>
      <c r="F578" s="87">
        <v>-0.626</v>
      </c>
      <c r="G578" s="88">
        <v>-5.0010000000000003</v>
      </c>
      <c r="H578" s="88">
        <v>-6.8540000000000001</v>
      </c>
      <c r="I578" s="88">
        <v>-8.2100000000000009</v>
      </c>
      <c r="J578" s="4">
        <f t="shared" si="1240"/>
        <v>-6.6420000000000003</v>
      </c>
      <c r="K578" s="87">
        <v>-6.6420000000000003</v>
      </c>
      <c r="L578" s="88">
        <v>0.82299999999999995</v>
      </c>
      <c r="M578" s="88">
        <v>-0.90100000000000002</v>
      </c>
      <c r="N578" s="88">
        <v>-1.6879999999999999</v>
      </c>
      <c r="O578" s="4">
        <f t="shared" si="1241"/>
        <v>2.2229999999999999</v>
      </c>
      <c r="P578" s="87">
        <v>2.2229999999999999</v>
      </c>
      <c r="Q578" s="88">
        <v>0.73</v>
      </c>
      <c r="R578" s="88">
        <v>-3.2109999999999999</v>
      </c>
      <c r="S578" s="88">
        <v>-3.4870000000000001</v>
      </c>
      <c r="T578" s="4">
        <f t="shared" si="1242"/>
        <v>-0.755</v>
      </c>
      <c r="U578" s="87">
        <v>-0.755</v>
      </c>
      <c r="V578" s="88">
        <v>-1.5329999999999999</v>
      </c>
      <c r="W578" s="88">
        <v>-0.56100000000000005</v>
      </c>
      <c r="X578" s="88">
        <v>-1.5309999999999999</v>
      </c>
      <c r="Y578" s="2">
        <f t="shared" si="1243"/>
        <v>-0.91600000000000004</v>
      </c>
      <c r="Z578" s="87">
        <v>-0.91600000000000004</v>
      </c>
      <c r="AA578" s="88">
        <v>-3.6150000000000002</v>
      </c>
      <c r="AB578" s="88">
        <v>-5.32</v>
      </c>
      <c r="AC578" s="88">
        <v>-9.2690000000000001</v>
      </c>
      <c r="AD578" s="2">
        <f t="shared" si="1244"/>
        <v>-7.6340000000000003</v>
      </c>
      <c r="AE578" s="87">
        <v>-7.6340000000000003</v>
      </c>
      <c r="AF578" s="88">
        <v>1.601</v>
      </c>
      <c r="AG578" s="88">
        <v>7.8650000000000002</v>
      </c>
      <c r="AH578" s="88">
        <v>2.7890000000000001</v>
      </c>
      <c r="AI578" s="2">
        <f t="shared" si="1245"/>
        <v>3.6669999999999998</v>
      </c>
      <c r="AJ578" s="87">
        <v>3.6669999999999998</v>
      </c>
      <c r="AK578" s="88">
        <v>-3.1419999999999999</v>
      </c>
      <c r="AL578" s="88">
        <v>-7.1219999999999999</v>
      </c>
      <c r="AM578" s="88">
        <v>-8.89</v>
      </c>
      <c r="AN578" s="2">
        <f t="shared" si="1235"/>
        <v>-5.766</v>
      </c>
      <c r="AO578" s="87">
        <v>-5.766</v>
      </c>
      <c r="AP578" s="88">
        <v>-0.60499999999999998</v>
      </c>
      <c r="AQ578" s="88">
        <v>6.7089999999999996</v>
      </c>
      <c r="AR578" s="88">
        <v>9.4949999999999992</v>
      </c>
      <c r="AS578" s="2">
        <f t="shared" si="1236"/>
        <v>7.9210000000000003</v>
      </c>
      <c r="AT578" s="87">
        <v>7.9210000000000003</v>
      </c>
      <c r="AU578" s="88">
        <v>0.40799999999999997</v>
      </c>
      <c r="AV578" s="88">
        <v>-2.504</v>
      </c>
      <c r="AW578" s="88">
        <v>-3.907</v>
      </c>
      <c r="AX578" s="2">
        <f t="shared" si="1237"/>
        <v>-3.4780000000000002</v>
      </c>
      <c r="AY578" s="87">
        <v>-3.4780000000000002</v>
      </c>
      <c r="AZ578" s="88">
        <v>-3.839</v>
      </c>
      <c r="BA578" s="88">
        <v>-9.4469999999999992</v>
      </c>
      <c r="BB578" s="88">
        <v>-19.442</v>
      </c>
      <c r="BC578" s="2">
        <f t="shared" si="1238"/>
        <v>-12.725</v>
      </c>
      <c r="BD578" s="87">
        <v>-12.725</v>
      </c>
      <c r="BE578" s="88">
        <v>-3.4279999999999999</v>
      </c>
      <c r="BF578" s="88">
        <v>-5.306</v>
      </c>
      <c r="BG578" s="88">
        <v>-3.113</v>
      </c>
      <c r="BH578" s="2">
        <f t="shared" si="1239"/>
        <v>-2.0920000000000001</v>
      </c>
      <c r="BI578" s="89">
        <v>-2.0920000000000001</v>
      </c>
      <c r="BJ578" s="2"/>
      <c r="BK578" s="2"/>
      <c r="BL578" s="2"/>
      <c r="BM578" s="2"/>
      <c r="BN578" s="86"/>
      <c r="BO578" s="2"/>
      <c r="BP578" s="2"/>
      <c r="BQ578" s="2"/>
      <c r="BR578" s="2"/>
      <c r="BS578" s="86"/>
      <c r="BT578" s="86"/>
      <c r="BU578" s="86"/>
      <c r="BV578" s="86"/>
      <c r="BW578" s="4"/>
    </row>
    <row r="579" spans="1:75" ht="15.75" customHeight="1" outlineLevel="1" x14ac:dyDescent="0.2">
      <c r="A579" s="84" t="s">
        <v>378</v>
      </c>
      <c r="B579" s="85"/>
      <c r="C579" s="87">
        <v>-3.2170000000000001</v>
      </c>
      <c r="D579" s="87">
        <v>-0.47399999999999998</v>
      </c>
      <c r="E579" s="87">
        <v>-8.1530000000000005</v>
      </c>
      <c r="F579" s="87">
        <v>-3.3889999999999998</v>
      </c>
      <c r="G579" s="88">
        <v>0.66700000000000004</v>
      </c>
      <c r="H579" s="88">
        <v>1.7649999999999999</v>
      </c>
      <c r="I579" s="88">
        <v>3.9609999999999999</v>
      </c>
      <c r="J579" s="4">
        <f t="shared" si="1240"/>
        <v>-2.7080000000000002</v>
      </c>
      <c r="K579" s="87">
        <v>-2.7080000000000002</v>
      </c>
      <c r="L579" s="88">
        <v>-0.29899999999999999</v>
      </c>
      <c r="M579" s="88">
        <v>0.57399999999999995</v>
      </c>
      <c r="N579" s="88">
        <v>2.2519999999999998</v>
      </c>
      <c r="O579" s="4">
        <f t="shared" si="1241"/>
        <v>4.3620000000000001</v>
      </c>
      <c r="P579" s="87">
        <v>4.3620000000000001</v>
      </c>
      <c r="Q579" s="88">
        <v>-8.3460000000000001</v>
      </c>
      <c r="R579" s="88">
        <v>-8.3889999999999993</v>
      </c>
      <c r="S579" s="88">
        <v>-5.8470000000000004</v>
      </c>
      <c r="T579" s="4">
        <f t="shared" si="1242"/>
        <v>-3.7429999999999999</v>
      </c>
      <c r="U579" s="87">
        <v>-3.7429999999999999</v>
      </c>
      <c r="V579" s="88">
        <v>1.339</v>
      </c>
      <c r="W579" s="88">
        <v>4.1520000000000001</v>
      </c>
      <c r="X579" s="88">
        <v>5.6390000000000002</v>
      </c>
      <c r="Y579" s="2">
        <f t="shared" si="1243"/>
        <v>-10.462</v>
      </c>
      <c r="Z579" s="87">
        <v>-10.462</v>
      </c>
      <c r="AA579" s="88">
        <v>-0.14699999999999999</v>
      </c>
      <c r="AB579" s="88">
        <v>1.5189999999999999</v>
      </c>
      <c r="AC579" s="88">
        <v>3.9169999999999998</v>
      </c>
      <c r="AD579" s="2">
        <f t="shared" si="1244"/>
        <v>-5.2270000000000003</v>
      </c>
      <c r="AE579" s="87">
        <v>-5.2270000000000003</v>
      </c>
      <c r="AF579" s="88">
        <v>3.63</v>
      </c>
      <c r="AG579" s="88">
        <v>4.7169999999999996</v>
      </c>
      <c r="AH579" s="88">
        <v>10.163</v>
      </c>
      <c r="AI579" s="2">
        <f t="shared" si="1245"/>
        <v>6.2619999999999996</v>
      </c>
      <c r="AJ579" s="87">
        <v>6.2619999999999996</v>
      </c>
      <c r="AK579" s="88">
        <v>-10.621</v>
      </c>
      <c r="AL579" s="88">
        <v>-3.3719999999999999</v>
      </c>
      <c r="AM579" s="88">
        <v>-2.746</v>
      </c>
      <c r="AN579" s="2">
        <f t="shared" si="1235"/>
        <v>-4.133</v>
      </c>
      <c r="AO579" s="87">
        <v>-4.133</v>
      </c>
      <c r="AP579" s="88">
        <v>1.452</v>
      </c>
      <c r="AQ579" s="88">
        <v>7.6</v>
      </c>
      <c r="AR579" s="88">
        <v>11.695</v>
      </c>
      <c r="AS579" s="2">
        <f t="shared" si="1236"/>
        <v>8.5630000000000006</v>
      </c>
      <c r="AT579" s="87">
        <v>8.5630000000000006</v>
      </c>
      <c r="AU579" s="88">
        <v>4.5839999999999996</v>
      </c>
      <c r="AV579" s="88">
        <v>3.274</v>
      </c>
      <c r="AW579" s="88">
        <v>5.5960000000000001</v>
      </c>
      <c r="AX579" s="2">
        <f t="shared" si="1237"/>
        <v>-1.137</v>
      </c>
      <c r="AY579" s="87">
        <v>-1.137</v>
      </c>
      <c r="AZ579" s="88">
        <v>2.7069999999999999</v>
      </c>
      <c r="BA579" s="88">
        <v>3.0710000000000002</v>
      </c>
      <c r="BB579" s="88">
        <v>5.4870000000000001</v>
      </c>
      <c r="BC579" s="2">
        <f t="shared" si="1238"/>
        <v>-11.96</v>
      </c>
      <c r="BD579" s="87">
        <v>-11.96</v>
      </c>
      <c r="BE579" s="88">
        <v>1.4E-2</v>
      </c>
      <c r="BF579" s="88">
        <v>-4.24</v>
      </c>
      <c r="BG579" s="88">
        <v>-7.1589999999999998</v>
      </c>
      <c r="BH579" s="2">
        <f t="shared" si="1239"/>
        <v>-14.694000000000001</v>
      </c>
      <c r="BI579" s="89">
        <v>-14.694000000000001</v>
      </c>
      <c r="BJ579" s="2"/>
      <c r="BK579" s="2"/>
      <c r="BL579" s="2"/>
      <c r="BM579" s="2"/>
      <c r="BN579" s="86"/>
      <c r="BO579" s="2"/>
      <c r="BP579" s="2"/>
      <c r="BQ579" s="2"/>
      <c r="BR579" s="2"/>
      <c r="BS579" s="86"/>
      <c r="BT579" s="86"/>
      <c r="BU579" s="86"/>
      <c r="BV579" s="86"/>
      <c r="BW579" s="4"/>
    </row>
    <row r="580" spans="1:75" ht="15.75" customHeight="1" outlineLevel="1" x14ac:dyDescent="0.2">
      <c r="A580" s="84" t="s">
        <v>424</v>
      </c>
      <c r="B580" s="85"/>
      <c r="C580" s="86"/>
      <c r="D580" s="86"/>
      <c r="E580" s="86"/>
      <c r="F580" s="86"/>
      <c r="G580" s="2"/>
      <c r="H580" s="2"/>
      <c r="I580" s="2"/>
      <c r="J580" s="2"/>
      <c r="K580" s="86"/>
      <c r="L580" s="2"/>
      <c r="M580" s="2"/>
      <c r="N580" s="2"/>
      <c r="O580" s="2"/>
      <c r="P580" s="86"/>
      <c r="Q580" s="2"/>
      <c r="R580" s="2"/>
      <c r="S580" s="2"/>
      <c r="T580" s="2"/>
      <c r="U580" s="86"/>
      <c r="V580" s="2"/>
      <c r="W580" s="2"/>
      <c r="X580" s="2"/>
      <c r="Y580" s="2"/>
      <c r="Z580" s="86"/>
      <c r="AA580" s="2"/>
      <c r="AB580" s="2"/>
      <c r="AC580" s="2"/>
      <c r="AD580" s="2"/>
      <c r="AE580" s="86"/>
      <c r="AF580" s="2"/>
      <c r="AG580" s="2"/>
      <c r="AH580" s="2"/>
      <c r="AI580" s="2"/>
      <c r="AJ580" s="86"/>
      <c r="AK580" s="88">
        <v>1.1299999999999999</v>
      </c>
      <c r="AL580" s="88">
        <v>-5.5039999999999996</v>
      </c>
      <c r="AM580" s="88">
        <v>-5.234</v>
      </c>
      <c r="AN580" s="2">
        <f t="shared" si="1235"/>
        <v>5.0190000000000001</v>
      </c>
      <c r="AO580" s="87">
        <v>5.0190000000000001</v>
      </c>
      <c r="AP580" s="88">
        <v>1.851</v>
      </c>
      <c r="AQ580" s="88">
        <v>12.895</v>
      </c>
      <c r="AR580" s="88">
        <v>17.465</v>
      </c>
      <c r="AS580" s="2">
        <f t="shared" si="1236"/>
        <v>22.957999999999998</v>
      </c>
      <c r="AT580" s="87">
        <v>22.957999999999998</v>
      </c>
      <c r="AU580" s="88">
        <v>-2.6840000000000002</v>
      </c>
      <c r="AV580" s="88">
        <v>-3.883</v>
      </c>
      <c r="AW580" s="88">
        <v>-4.3860000000000001</v>
      </c>
      <c r="AX580" s="2">
        <f t="shared" si="1237"/>
        <v>-4.1059999999999999</v>
      </c>
      <c r="AY580" s="87">
        <v>-4.1059999999999999</v>
      </c>
      <c r="AZ580" s="88">
        <v>-2.8519999999999999</v>
      </c>
      <c r="BA580" s="88">
        <v>-9.8130000000000006</v>
      </c>
      <c r="BB580" s="88">
        <v>-13.757999999999999</v>
      </c>
      <c r="BC580" s="2">
        <f t="shared" si="1238"/>
        <v>-18.404</v>
      </c>
      <c r="BD580" s="87">
        <v>-18.404</v>
      </c>
      <c r="BE580" s="88">
        <v>-3.7770000000000001</v>
      </c>
      <c r="BF580" s="88">
        <v>-12.218</v>
      </c>
      <c r="BG580" s="88">
        <v>-18.571999999999999</v>
      </c>
      <c r="BH580" s="2">
        <f t="shared" si="1239"/>
        <v>-27.113</v>
      </c>
      <c r="BI580" s="89">
        <v>-27.113</v>
      </c>
      <c r="BJ580" s="2"/>
      <c r="BK580" s="2"/>
      <c r="BL580" s="2"/>
      <c r="BM580" s="2"/>
      <c r="BN580" s="86"/>
      <c r="BO580" s="2"/>
      <c r="BP580" s="2"/>
      <c r="BQ580" s="2"/>
      <c r="BR580" s="2"/>
      <c r="BS580" s="86"/>
      <c r="BT580" s="86"/>
      <c r="BU580" s="86"/>
      <c r="BV580" s="86"/>
      <c r="BW580" s="4"/>
    </row>
    <row r="581" spans="1:75" ht="15.75" customHeight="1" outlineLevel="1" x14ac:dyDescent="0.2">
      <c r="A581" s="84" t="s">
        <v>425</v>
      </c>
      <c r="B581" s="85"/>
      <c r="C581" s="87">
        <v>6.7249999999999996</v>
      </c>
      <c r="D581" s="87">
        <v>0.56200000000000006</v>
      </c>
      <c r="E581" s="87">
        <v>-0.54500000000000004</v>
      </c>
      <c r="F581" s="87">
        <v>-6.5330000000000004</v>
      </c>
      <c r="G581" s="88">
        <v>0.78600000000000003</v>
      </c>
      <c r="H581" s="88">
        <v>0.61399999999999999</v>
      </c>
      <c r="I581" s="88">
        <v>-2.226</v>
      </c>
      <c r="J581" s="4">
        <f t="shared" ref="J581:J582" si="1246">K581</f>
        <v>-3.9969999999999999</v>
      </c>
      <c r="K581" s="87">
        <v>-3.9969999999999999</v>
      </c>
      <c r="L581" s="88">
        <v>-0.82399999999999995</v>
      </c>
      <c r="M581" s="88">
        <v>-2.9449999999999998</v>
      </c>
      <c r="N581" s="88">
        <v>-2.508</v>
      </c>
      <c r="O581" s="4">
        <f t="shared" ref="O581:O582" si="1247">P581</f>
        <v>-3.645</v>
      </c>
      <c r="P581" s="87">
        <v>-3.645</v>
      </c>
      <c r="Q581" s="88">
        <v>-1.847</v>
      </c>
      <c r="R581" s="88">
        <v>-6.01</v>
      </c>
      <c r="S581" s="88">
        <v>-4.5369999999999999</v>
      </c>
      <c r="T581" s="4">
        <f t="shared" ref="T581:T582" si="1248">U581</f>
        <v>-5.7990000000000004</v>
      </c>
      <c r="U581" s="87">
        <v>-5.7990000000000004</v>
      </c>
      <c r="V581" s="88">
        <v>-0.61899999999999999</v>
      </c>
      <c r="W581" s="88">
        <v>-1.071</v>
      </c>
      <c r="X581" s="88">
        <v>-2.2010000000000001</v>
      </c>
      <c r="Y581" s="2">
        <f t="shared" ref="Y581:Y582" si="1249">Z581</f>
        <v>-2.8180000000000001</v>
      </c>
      <c r="Z581" s="87">
        <v>-2.8180000000000001</v>
      </c>
      <c r="AA581" s="88">
        <v>-2.65</v>
      </c>
      <c r="AB581" s="88">
        <v>-4.28</v>
      </c>
      <c r="AC581" s="88">
        <v>-6.0449999999999999</v>
      </c>
      <c r="AD581" s="2">
        <f t="shared" ref="AD581:AD582" si="1250">AE581</f>
        <v>-9.0340000000000007</v>
      </c>
      <c r="AE581" s="87">
        <v>-9.0340000000000007</v>
      </c>
      <c r="AF581" s="88">
        <v>1.276</v>
      </c>
      <c r="AG581" s="88">
        <v>1.089</v>
      </c>
      <c r="AH581" s="88">
        <v>2.9649999999999999</v>
      </c>
      <c r="AI581" s="2">
        <f t="shared" ref="AI581:AI582" si="1251">AJ581</f>
        <v>7.4059999999999997</v>
      </c>
      <c r="AJ581" s="87">
        <v>7.4059999999999997</v>
      </c>
      <c r="AK581" s="88">
        <v>-5.8959999999999999</v>
      </c>
      <c r="AL581" s="88">
        <v>-7.984</v>
      </c>
      <c r="AM581" s="88">
        <v>-8.9849999999999994</v>
      </c>
      <c r="AN581" s="2">
        <f t="shared" si="1235"/>
        <v>-11.989000000000001</v>
      </c>
      <c r="AO581" s="87">
        <v>-11.989000000000001</v>
      </c>
      <c r="AP581" s="88">
        <v>13.279</v>
      </c>
      <c r="AQ581" s="88">
        <v>4.2939999999999996</v>
      </c>
      <c r="AR581" s="88">
        <v>0.54</v>
      </c>
      <c r="AS581" s="2">
        <f t="shared" si="1236"/>
        <v>-6.0190000000000001</v>
      </c>
      <c r="AT581" s="87">
        <v>-6.0190000000000001</v>
      </c>
      <c r="AU581" s="88">
        <v>-2.113</v>
      </c>
      <c r="AV581" s="88">
        <v>-6.6120000000000001</v>
      </c>
      <c r="AW581" s="88">
        <v>-5.6820000000000004</v>
      </c>
      <c r="AX581" s="2">
        <f t="shared" si="1237"/>
        <v>-9.2270000000000003</v>
      </c>
      <c r="AY581" s="87">
        <v>-9.2270000000000003</v>
      </c>
      <c r="AZ581" s="88">
        <v>4.0490000000000004</v>
      </c>
      <c r="BA581" s="88">
        <v>14.992000000000001</v>
      </c>
      <c r="BB581" s="88">
        <v>18.446999999999999</v>
      </c>
      <c r="BC581" s="2">
        <f t="shared" si="1238"/>
        <v>13.739000000000001</v>
      </c>
      <c r="BD581" s="87">
        <v>13.739000000000001</v>
      </c>
      <c r="BE581" s="88">
        <v>-3.5920000000000001</v>
      </c>
      <c r="BF581" s="88">
        <v>-7.1070000000000002</v>
      </c>
      <c r="BG581" s="88">
        <v>-6.0860000000000003</v>
      </c>
      <c r="BH581" s="2">
        <f t="shared" si="1239"/>
        <v>-14.504</v>
      </c>
      <c r="BI581" s="89">
        <v>-14.504</v>
      </c>
      <c r="BJ581" s="2"/>
      <c r="BK581" s="2"/>
      <c r="BL581" s="2"/>
      <c r="BM581" s="2"/>
      <c r="BN581" s="86"/>
      <c r="BO581" s="2"/>
      <c r="BP581" s="2"/>
      <c r="BQ581" s="2"/>
      <c r="BR581" s="2"/>
      <c r="BS581" s="86"/>
      <c r="BT581" s="86"/>
      <c r="BU581" s="86"/>
      <c r="BV581" s="86"/>
      <c r="BW581" s="4"/>
    </row>
    <row r="582" spans="1:75" ht="15.75" customHeight="1" outlineLevel="1" x14ac:dyDescent="0.2">
      <c r="A582" s="84" t="s">
        <v>391</v>
      </c>
      <c r="B582" s="85"/>
      <c r="C582" s="87">
        <v>-3.927</v>
      </c>
      <c r="D582" s="87">
        <v>-1.2969999999999999</v>
      </c>
      <c r="E582" s="87">
        <v>3.508</v>
      </c>
      <c r="F582" s="87">
        <v>10.839</v>
      </c>
      <c r="G582" s="88">
        <v>-11.628</v>
      </c>
      <c r="H582" s="88">
        <v>-11.363</v>
      </c>
      <c r="I582" s="88">
        <v>-3.016</v>
      </c>
      <c r="J582" s="4">
        <f t="shared" si="1246"/>
        <v>-11.58</v>
      </c>
      <c r="K582" s="87">
        <v>-11.58</v>
      </c>
      <c r="L582" s="88">
        <v>13.763999999999999</v>
      </c>
      <c r="M582" s="88">
        <v>12.076000000000001</v>
      </c>
      <c r="N582" s="88">
        <v>15.228999999999999</v>
      </c>
      <c r="O582" s="4">
        <f t="shared" si="1247"/>
        <v>18.18</v>
      </c>
      <c r="P582" s="87">
        <v>18.18</v>
      </c>
      <c r="Q582" s="88">
        <v>-1.3340000000000001</v>
      </c>
      <c r="R582" s="88">
        <v>-8.5619999999999994</v>
      </c>
      <c r="S582" s="88">
        <v>-14.858000000000001</v>
      </c>
      <c r="T582" s="4">
        <f t="shared" si="1248"/>
        <v>-12.930999999999999</v>
      </c>
      <c r="U582" s="87">
        <v>-12.930999999999999</v>
      </c>
      <c r="V582" s="88">
        <v>-0.50900000000000001</v>
      </c>
      <c r="W582" s="88">
        <v>-5.992</v>
      </c>
      <c r="X582" s="88">
        <v>-4.5259999999999998</v>
      </c>
      <c r="Y582" s="2">
        <f t="shared" si="1249"/>
        <v>0.752</v>
      </c>
      <c r="Z582" s="87">
        <v>0.752</v>
      </c>
      <c r="AA582" s="88">
        <v>-3.56</v>
      </c>
      <c r="AB582" s="88">
        <v>3.7669999999999999</v>
      </c>
      <c r="AC582" s="88">
        <v>-2.0419999999999998</v>
      </c>
      <c r="AD582" s="2">
        <f t="shared" si="1250"/>
        <v>3.7709999999999999</v>
      </c>
      <c r="AE582" s="87">
        <v>3.7709999999999999</v>
      </c>
      <c r="AF582" s="88">
        <v>-3.645</v>
      </c>
      <c r="AG582" s="88">
        <v>-4.8390000000000004</v>
      </c>
      <c r="AH582" s="88">
        <v>-8.3919999999999995</v>
      </c>
      <c r="AI582" s="2">
        <f t="shared" si="1251"/>
        <v>5.601</v>
      </c>
      <c r="AJ582" s="87">
        <v>5.601</v>
      </c>
      <c r="AK582" s="88">
        <v>-11.622999999999999</v>
      </c>
      <c r="AL582" s="88">
        <v>-13.417</v>
      </c>
      <c r="AM582" s="88">
        <v>-15.654</v>
      </c>
      <c r="AN582" s="2">
        <f t="shared" si="1235"/>
        <v>2.3260000000000001</v>
      </c>
      <c r="AO582" s="87">
        <v>2.3260000000000001</v>
      </c>
      <c r="AP582" s="88">
        <v>-3.464</v>
      </c>
      <c r="AQ582" s="88">
        <v>0.22600000000000001</v>
      </c>
      <c r="AR582" s="88">
        <v>3.101</v>
      </c>
      <c r="AS582" s="2">
        <f t="shared" si="1236"/>
        <v>-2.0049999999999999</v>
      </c>
      <c r="AT582" s="87">
        <v>-2.0049999999999999</v>
      </c>
      <c r="AU582" s="88">
        <v>-1.5880000000000001</v>
      </c>
      <c r="AV582" s="88">
        <v>-3.0720000000000001</v>
      </c>
      <c r="AW582" s="88">
        <v>-3.7709999999999999</v>
      </c>
      <c r="AX582" s="2">
        <f t="shared" si="1237"/>
        <v>-3.6779999999999999</v>
      </c>
      <c r="AY582" s="87">
        <v>-3.6779999999999999</v>
      </c>
      <c r="AZ582" s="88">
        <v>12.106</v>
      </c>
      <c r="BA582" s="88">
        <v>8.9369999999999994</v>
      </c>
      <c r="BB582" s="88">
        <v>11.177</v>
      </c>
      <c r="BC582" s="2">
        <f t="shared" si="1238"/>
        <v>17.585999999999999</v>
      </c>
      <c r="BD582" s="87">
        <v>17.585999999999999</v>
      </c>
      <c r="BE582" s="88">
        <v>-4.5430000000000001</v>
      </c>
      <c r="BF582" s="88">
        <v>0.627</v>
      </c>
      <c r="BG582" s="88">
        <v>-10.984999999999999</v>
      </c>
      <c r="BH582" s="2">
        <f t="shared" si="1239"/>
        <v>3.9710000000000001</v>
      </c>
      <c r="BI582" s="89">
        <v>3.9710000000000001</v>
      </c>
      <c r="BJ582" s="2"/>
      <c r="BK582" s="2"/>
      <c r="BL582" s="2"/>
      <c r="BM582" s="2"/>
      <c r="BN582" s="86"/>
      <c r="BO582" s="2"/>
      <c r="BP582" s="2"/>
      <c r="BQ582" s="2"/>
      <c r="BR582" s="2"/>
      <c r="BS582" s="86"/>
      <c r="BT582" s="86"/>
      <c r="BU582" s="86"/>
      <c r="BV582" s="86"/>
      <c r="BW582" s="4"/>
    </row>
    <row r="583" spans="1:75" ht="15.75" customHeight="1" outlineLevel="1" x14ac:dyDescent="0.2">
      <c r="A583" s="84" t="s">
        <v>393</v>
      </c>
      <c r="B583" s="85"/>
      <c r="C583" s="86"/>
      <c r="D583" s="86"/>
      <c r="E583" s="86"/>
      <c r="F583" s="86"/>
      <c r="G583" s="2"/>
      <c r="H583" s="2"/>
      <c r="I583" s="2"/>
      <c r="J583" s="2"/>
      <c r="K583" s="86"/>
      <c r="L583" s="2"/>
      <c r="M583" s="2"/>
      <c r="N583" s="2"/>
      <c r="O583" s="2"/>
      <c r="P583" s="86"/>
      <c r="Q583" s="2"/>
      <c r="R583" s="2"/>
      <c r="S583" s="2"/>
      <c r="T583" s="2"/>
      <c r="U583" s="86"/>
      <c r="V583" s="2"/>
      <c r="W583" s="2"/>
      <c r="X583" s="2"/>
      <c r="Y583" s="2"/>
      <c r="Z583" s="86"/>
      <c r="AA583" s="2"/>
      <c r="AB583" s="2"/>
      <c r="AC583" s="2"/>
      <c r="AD583" s="2"/>
      <c r="AE583" s="86"/>
      <c r="AF583" s="2"/>
      <c r="AG583" s="2"/>
      <c r="AH583" s="2"/>
      <c r="AI583" s="2"/>
      <c r="AJ583" s="86"/>
      <c r="AK583" s="88">
        <v>-26.594000000000001</v>
      </c>
      <c r="AL583" s="88">
        <v>-29.98</v>
      </c>
      <c r="AM583" s="88">
        <v>-36.774000000000001</v>
      </c>
      <c r="AN583" s="2">
        <f t="shared" si="1235"/>
        <v>9.6950000000000003</v>
      </c>
      <c r="AO583" s="87">
        <v>9.6950000000000003</v>
      </c>
      <c r="AP583" s="88">
        <v>-26.753</v>
      </c>
      <c r="AQ583" s="88">
        <v>-25.731000000000002</v>
      </c>
      <c r="AR583" s="88">
        <v>-32.488</v>
      </c>
      <c r="AS583" s="2">
        <f t="shared" si="1236"/>
        <v>-3.3239999999999998</v>
      </c>
      <c r="AT583" s="87">
        <v>-3.3239999999999998</v>
      </c>
      <c r="AU583" s="88">
        <v>-18.48</v>
      </c>
      <c r="AV583" s="88">
        <v>-15.561999999999999</v>
      </c>
      <c r="AW583" s="88">
        <v>-23.143000000000001</v>
      </c>
      <c r="AX583" s="2">
        <f t="shared" si="1237"/>
        <v>26.527000000000001</v>
      </c>
      <c r="AY583" s="87">
        <v>26.527000000000001</v>
      </c>
      <c r="AZ583" s="88">
        <v>-25.673999999999999</v>
      </c>
      <c r="BA583" s="88">
        <v>-28.887</v>
      </c>
      <c r="BB583" s="88">
        <v>-36.448</v>
      </c>
      <c r="BC583" s="2">
        <f t="shared" si="1238"/>
        <v>8.6340000000000003</v>
      </c>
      <c r="BD583" s="87">
        <v>8.6340000000000003</v>
      </c>
      <c r="BE583" s="88">
        <v>-27.902000000000001</v>
      </c>
      <c r="BF583" s="88">
        <v>-32.328000000000003</v>
      </c>
      <c r="BG583" s="88">
        <v>-39.607999999999997</v>
      </c>
      <c r="BH583" s="2">
        <f t="shared" si="1239"/>
        <v>3.1040000000000001</v>
      </c>
      <c r="BI583" s="89">
        <v>3.1040000000000001</v>
      </c>
      <c r="BJ583" s="2"/>
      <c r="BK583" s="2"/>
      <c r="BL583" s="2"/>
      <c r="BM583" s="2"/>
      <c r="BN583" s="86"/>
      <c r="BO583" s="2"/>
      <c r="BP583" s="2"/>
      <c r="BQ583" s="2"/>
      <c r="BR583" s="2"/>
      <c r="BS583" s="86"/>
      <c r="BT583" s="86"/>
      <c r="BU583" s="86"/>
      <c r="BV583" s="86"/>
      <c r="BW583" s="4"/>
    </row>
    <row r="584" spans="1:75" ht="15.75" customHeight="1" outlineLevel="1" x14ac:dyDescent="0.2">
      <c r="A584" s="84" t="s">
        <v>395</v>
      </c>
      <c r="B584" s="85"/>
      <c r="C584" s="87">
        <v>29.587</v>
      </c>
      <c r="D584" s="87">
        <v>17.984000000000002</v>
      </c>
      <c r="E584" s="87">
        <v>20.117000000000001</v>
      </c>
      <c r="F584" s="87">
        <v>30.324999999999999</v>
      </c>
      <c r="G584" s="88">
        <v>-19.946999999999999</v>
      </c>
      <c r="H584" s="88">
        <v>-20.021000000000001</v>
      </c>
      <c r="I584" s="88">
        <v>-15</v>
      </c>
      <c r="J584" s="4">
        <f t="shared" ref="J584:J586" si="1252">K584</f>
        <v>23.556999999999999</v>
      </c>
      <c r="K584" s="87">
        <v>23.556999999999999</v>
      </c>
      <c r="L584" s="88">
        <v>-13.022</v>
      </c>
      <c r="M584" s="88">
        <v>-15.86</v>
      </c>
      <c r="N584" s="88">
        <v>-15.358000000000001</v>
      </c>
      <c r="O584" s="4">
        <f t="shared" ref="O584:O586" si="1253">P584</f>
        <v>39.847999999999999</v>
      </c>
      <c r="P584" s="87">
        <v>39.847999999999999</v>
      </c>
      <c r="Q584" s="88">
        <v>-20</v>
      </c>
      <c r="R584" s="88">
        <v>-17.263999999999999</v>
      </c>
      <c r="S584" s="88">
        <v>-19.433</v>
      </c>
      <c r="T584" s="4">
        <f t="shared" ref="T584:T586" si="1254">U584</f>
        <v>37.186</v>
      </c>
      <c r="U584" s="87">
        <v>37.186</v>
      </c>
      <c r="V584" s="88">
        <v>-32.741999999999997</v>
      </c>
      <c r="W584" s="88">
        <v>-33.585999999999999</v>
      </c>
      <c r="X584" s="88">
        <v>-32.520000000000003</v>
      </c>
      <c r="Y584" s="2">
        <f t="shared" ref="Y584:Y586" si="1255">Z584</f>
        <v>35.994999999999997</v>
      </c>
      <c r="Z584" s="87">
        <v>35.994999999999997</v>
      </c>
      <c r="AA584" s="88">
        <v>-47.35</v>
      </c>
      <c r="AB584" s="88">
        <v>-39.948</v>
      </c>
      <c r="AC584" s="88">
        <v>-44.988999999999997</v>
      </c>
      <c r="AD584" s="2">
        <f t="shared" ref="AD584:AD586" si="1256">AE584</f>
        <v>29.439</v>
      </c>
      <c r="AE584" s="87">
        <v>29.439</v>
      </c>
      <c r="AF584" s="88">
        <v>-43.381999999999998</v>
      </c>
      <c r="AG584" s="88">
        <v>-35.100999999999999</v>
      </c>
      <c r="AH584" s="88">
        <v>-46.929000000000002</v>
      </c>
      <c r="AI584" s="2">
        <f t="shared" ref="AI584:AI586" si="1257">AJ584</f>
        <v>18.315999999999999</v>
      </c>
      <c r="AJ584" s="87">
        <v>18.315999999999999</v>
      </c>
      <c r="AK584" s="88">
        <v>-9.7870000000000008</v>
      </c>
      <c r="AL584" s="88">
        <v>-5.6879999999999997</v>
      </c>
      <c r="AM584" s="88">
        <v>-5.8979999999999997</v>
      </c>
      <c r="AN584" s="2">
        <f t="shared" si="1235"/>
        <v>15.578000000000001</v>
      </c>
      <c r="AO584" s="87">
        <v>15.578000000000001</v>
      </c>
      <c r="AP584" s="88">
        <v>-85.745000000000005</v>
      </c>
      <c r="AQ584" s="88">
        <v>-55.476999999999997</v>
      </c>
      <c r="AR584" s="88">
        <v>-48.317</v>
      </c>
      <c r="AS584" s="2">
        <f t="shared" si="1236"/>
        <v>-8.3089999999999993</v>
      </c>
      <c r="AT584" s="87">
        <v>-8.3089999999999993</v>
      </c>
      <c r="AU584" s="88">
        <v>-6.1589999999999998</v>
      </c>
      <c r="AV584" s="88">
        <v>50.396999999999998</v>
      </c>
      <c r="AW584" s="88">
        <v>1.5169999999999999</v>
      </c>
      <c r="AX584" s="2">
        <f t="shared" si="1237"/>
        <v>50.103000000000002</v>
      </c>
      <c r="AY584" s="87">
        <v>50.103000000000002</v>
      </c>
      <c r="AZ584" s="88">
        <v>-40.756</v>
      </c>
      <c r="BA584" s="88">
        <v>-16.567</v>
      </c>
      <c r="BB584" s="88">
        <v>-30.904</v>
      </c>
      <c r="BC584" s="2">
        <f t="shared" si="1238"/>
        <v>-9.9390000000000001</v>
      </c>
      <c r="BD584" s="87">
        <v>-9.9390000000000001</v>
      </c>
      <c r="BE584" s="88">
        <v>10.282999999999999</v>
      </c>
      <c r="BF584" s="88">
        <v>0.624</v>
      </c>
      <c r="BG584" s="88">
        <v>28.859000000000002</v>
      </c>
      <c r="BH584" s="2">
        <f t="shared" si="1239"/>
        <v>37.423999999999999</v>
      </c>
      <c r="BI584" s="89">
        <v>37.423999999999999</v>
      </c>
      <c r="BJ584" s="2"/>
      <c r="BK584" s="2"/>
      <c r="BL584" s="2"/>
      <c r="BM584" s="2"/>
      <c r="BN584" s="86"/>
      <c r="BO584" s="2"/>
      <c r="BP584" s="2"/>
      <c r="BQ584" s="2"/>
      <c r="BR584" s="2"/>
      <c r="BS584" s="86"/>
      <c r="BT584" s="86"/>
      <c r="BU584" s="86"/>
      <c r="BV584" s="86"/>
      <c r="BW584" s="4"/>
    </row>
    <row r="585" spans="1:75" ht="15.75" customHeight="1" outlineLevel="1" x14ac:dyDescent="0.2">
      <c r="A585" s="84" t="s">
        <v>426</v>
      </c>
      <c r="B585" s="85"/>
      <c r="C585" s="87">
        <v>-7.4210000000000003</v>
      </c>
      <c r="D585" s="87">
        <v>-7.3760000000000003</v>
      </c>
      <c r="E585" s="86"/>
      <c r="F585" s="86"/>
      <c r="G585" s="2"/>
      <c r="H585" s="2"/>
      <c r="I585" s="2"/>
      <c r="J585" s="4">
        <f t="shared" si="1252"/>
        <v>0</v>
      </c>
      <c r="K585" s="86"/>
      <c r="L585" s="2"/>
      <c r="M585" s="2"/>
      <c r="N585" s="2"/>
      <c r="O585" s="4">
        <f t="shared" si="1253"/>
        <v>0</v>
      </c>
      <c r="P585" s="86"/>
      <c r="Q585" s="2"/>
      <c r="R585" s="2"/>
      <c r="S585" s="2"/>
      <c r="T585" s="4">
        <f t="shared" si="1254"/>
        <v>0</v>
      </c>
      <c r="U585" s="86"/>
      <c r="V585" s="2"/>
      <c r="W585" s="2"/>
      <c r="X585" s="2"/>
      <c r="Y585" s="2">
        <f t="shared" si="1255"/>
        <v>0</v>
      </c>
      <c r="Z585" s="86"/>
      <c r="AA585" s="2"/>
      <c r="AB585" s="2"/>
      <c r="AC585" s="2"/>
      <c r="AD585" s="2">
        <f t="shared" si="1256"/>
        <v>0</v>
      </c>
      <c r="AE585" s="86"/>
      <c r="AF585" s="2"/>
      <c r="AG585" s="2"/>
      <c r="AH585" s="2"/>
      <c r="AI585" s="2">
        <f t="shared" si="1257"/>
        <v>0</v>
      </c>
      <c r="AJ585" s="86"/>
      <c r="AK585" s="2"/>
      <c r="AL585" s="2"/>
      <c r="AM585" s="2"/>
      <c r="AN585" s="2">
        <f t="shared" si="1235"/>
        <v>0</v>
      </c>
      <c r="AO585" s="86"/>
      <c r="AP585" s="2"/>
      <c r="AQ585" s="2"/>
      <c r="AR585" s="2"/>
      <c r="AS585" s="2">
        <f t="shared" si="1236"/>
        <v>0</v>
      </c>
      <c r="AT585" s="86"/>
      <c r="AU585" s="2"/>
      <c r="AV585" s="2"/>
      <c r="AW585" s="2"/>
      <c r="AX585" s="2">
        <f t="shared" si="1237"/>
        <v>0</v>
      </c>
      <c r="AY585" s="86"/>
      <c r="AZ585" s="2"/>
      <c r="BA585" s="2"/>
      <c r="BB585" s="2"/>
      <c r="BC585" s="2">
        <f t="shared" si="1238"/>
        <v>0</v>
      </c>
      <c r="BD585" s="86"/>
      <c r="BE585" s="2"/>
      <c r="BF585" s="2"/>
      <c r="BG585" s="2"/>
      <c r="BH585" s="2">
        <f t="shared" si="1239"/>
        <v>0</v>
      </c>
      <c r="BI585" s="90"/>
      <c r="BJ585" s="2"/>
      <c r="BK585" s="2"/>
      <c r="BL585" s="2"/>
      <c r="BM585" s="2"/>
      <c r="BN585" s="86"/>
      <c r="BO585" s="2"/>
      <c r="BP585" s="2"/>
      <c r="BQ585" s="2"/>
      <c r="BR585" s="2"/>
      <c r="BS585" s="86"/>
      <c r="BT585" s="86"/>
      <c r="BU585" s="86"/>
      <c r="BV585" s="86"/>
      <c r="BW585" s="4"/>
    </row>
    <row r="586" spans="1:75" ht="15.75" customHeight="1" outlineLevel="1" x14ac:dyDescent="0.2">
      <c r="A586" s="84" t="s">
        <v>427</v>
      </c>
      <c r="B586" s="85"/>
      <c r="C586" s="87">
        <v>7.4210000000000003</v>
      </c>
      <c r="D586" s="87">
        <v>7.3760000000000003</v>
      </c>
      <c r="E586" s="86"/>
      <c r="F586" s="86"/>
      <c r="G586" s="2"/>
      <c r="H586" s="2"/>
      <c r="I586" s="2"/>
      <c r="J586" s="4">
        <f t="shared" si="1252"/>
        <v>0</v>
      </c>
      <c r="K586" s="86"/>
      <c r="L586" s="2"/>
      <c r="M586" s="2"/>
      <c r="N586" s="2"/>
      <c r="O586" s="4">
        <f t="shared" si="1253"/>
        <v>0</v>
      </c>
      <c r="P586" s="86"/>
      <c r="Q586" s="2"/>
      <c r="R586" s="2"/>
      <c r="S586" s="2"/>
      <c r="T586" s="4">
        <f t="shared" si="1254"/>
        <v>0</v>
      </c>
      <c r="U586" s="86"/>
      <c r="V586" s="2"/>
      <c r="W586" s="2"/>
      <c r="X586" s="2"/>
      <c r="Y586" s="2">
        <f t="shared" si="1255"/>
        <v>0</v>
      </c>
      <c r="Z586" s="86"/>
      <c r="AA586" s="2"/>
      <c r="AB586" s="2"/>
      <c r="AC586" s="2"/>
      <c r="AD586" s="2">
        <f t="shared" si="1256"/>
        <v>0</v>
      </c>
      <c r="AE586" s="86"/>
      <c r="AF586" s="2"/>
      <c r="AG586" s="2"/>
      <c r="AH586" s="2"/>
      <c r="AI586" s="2">
        <f t="shared" si="1257"/>
        <v>0</v>
      </c>
      <c r="AJ586" s="86"/>
      <c r="AK586" s="2"/>
      <c r="AL586" s="2"/>
      <c r="AM586" s="2"/>
      <c r="AN586" s="2">
        <f t="shared" si="1235"/>
        <v>0</v>
      </c>
      <c r="AO586" s="86"/>
      <c r="AP586" s="2"/>
      <c r="AQ586" s="2"/>
      <c r="AR586" s="2"/>
      <c r="AS586" s="2">
        <f t="shared" si="1236"/>
        <v>0</v>
      </c>
      <c r="AT586" s="86"/>
      <c r="AU586" s="2"/>
      <c r="AV586" s="2"/>
      <c r="AW586" s="2"/>
      <c r="AX586" s="2">
        <f t="shared" si="1237"/>
        <v>0</v>
      </c>
      <c r="AY586" s="86"/>
      <c r="AZ586" s="2"/>
      <c r="BA586" s="2"/>
      <c r="BB586" s="2"/>
      <c r="BC586" s="2">
        <f t="shared" si="1238"/>
        <v>0</v>
      </c>
      <c r="BD586" s="86"/>
      <c r="BE586" s="2"/>
      <c r="BF586" s="2"/>
      <c r="BG586" s="2"/>
      <c r="BH586" s="2">
        <f t="shared" si="1239"/>
        <v>0</v>
      </c>
      <c r="BI586" s="90"/>
      <c r="BJ586" s="2"/>
      <c r="BK586" s="2"/>
      <c r="BL586" s="2"/>
      <c r="BM586" s="2"/>
      <c r="BN586" s="86"/>
      <c r="BO586" s="2"/>
      <c r="BP586" s="2"/>
      <c r="BQ586" s="2"/>
      <c r="BR586" s="2"/>
      <c r="BS586" s="86"/>
      <c r="BT586" s="86"/>
      <c r="BU586" s="86"/>
      <c r="BV586" s="86"/>
      <c r="BW586" s="4"/>
    </row>
    <row r="587" spans="1:75" ht="15.75" customHeight="1" outlineLevel="1" x14ac:dyDescent="0.2">
      <c r="A587" s="101" t="s">
        <v>825</v>
      </c>
      <c r="B587" s="102"/>
      <c r="C587" s="104">
        <f t="shared" ref="C587:BI587" si="1258">SUM(C573:C586)</f>
        <v>198.84700000000001</v>
      </c>
      <c r="D587" s="104">
        <f t="shared" si="1258"/>
        <v>167.05700000000007</v>
      </c>
      <c r="E587" s="104">
        <f t="shared" si="1258"/>
        <v>196.06399999999996</v>
      </c>
      <c r="F587" s="104">
        <f t="shared" si="1258"/>
        <v>195.37099999999998</v>
      </c>
      <c r="G587" s="105">
        <f t="shared" si="1258"/>
        <v>45.132000000000005</v>
      </c>
      <c r="H587" s="105">
        <f t="shared" si="1258"/>
        <v>88.646000000000015</v>
      </c>
      <c r="I587" s="105">
        <f t="shared" si="1258"/>
        <v>150.31700000000001</v>
      </c>
      <c r="J587" s="105">
        <f t="shared" si="1258"/>
        <v>204.78500000000003</v>
      </c>
      <c r="K587" s="104">
        <f t="shared" si="1258"/>
        <v>204.78500000000003</v>
      </c>
      <c r="L587" s="105">
        <f t="shared" si="1258"/>
        <v>77.115999999999985</v>
      </c>
      <c r="M587" s="105">
        <f t="shared" si="1258"/>
        <v>122.10800000000002</v>
      </c>
      <c r="N587" s="105">
        <f t="shared" si="1258"/>
        <v>160.97800000000007</v>
      </c>
      <c r="O587" s="105">
        <f t="shared" si="1258"/>
        <v>239.64900000000006</v>
      </c>
      <c r="P587" s="104">
        <f t="shared" si="1258"/>
        <v>239.64900000000006</v>
      </c>
      <c r="Q587" s="105">
        <f t="shared" si="1258"/>
        <v>65.347999999999985</v>
      </c>
      <c r="R587" s="105">
        <f t="shared" si="1258"/>
        <v>120.96599999999999</v>
      </c>
      <c r="S587" s="105">
        <f t="shared" si="1258"/>
        <v>161.08600000000001</v>
      </c>
      <c r="T587" s="105">
        <f t="shared" si="1258"/>
        <v>235.42300000000003</v>
      </c>
      <c r="U587" s="104">
        <f t="shared" si="1258"/>
        <v>235.42300000000003</v>
      </c>
      <c r="V587" s="105">
        <f t="shared" si="1258"/>
        <v>76.307999999999993</v>
      </c>
      <c r="W587" s="105">
        <f t="shared" si="1258"/>
        <v>151.786</v>
      </c>
      <c r="X587" s="105">
        <f t="shared" si="1258"/>
        <v>216.52999999999997</v>
      </c>
      <c r="Y587" s="106">
        <f t="shared" si="1258"/>
        <v>302.52000000000004</v>
      </c>
      <c r="Z587" s="103">
        <f t="shared" si="1258"/>
        <v>302.52000000000004</v>
      </c>
      <c r="AA587" s="105">
        <f t="shared" si="1258"/>
        <v>48.103999999999992</v>
      </c>
      <c r="AB587" s="105">
        <f t="shared" si="1258"/>
        <v>113.93899999999996</v>
      </c>
      <c r="AC587" s="105">
        <f t="shared" si="1258"/>
        <v>154.21000000000006</v>
      </c>
      <c r="AD587" s="106">
        <f t="shared" si="1258"/>
        <v>238.79599999999996</v>
      </c>
      <c r="AE587" s="103">
        <f t="shared" si="1258"/>
        <v>238.79599999999996</v>
      </c>
      <c r="AF587" s="105">
        <f t="shared" si="1258"/>
        <v>74.942999999999984</v>
      </c>
      <c r="AG587" s="105">
        <f t="shared" si="1258"/>
        <v>140.548</v>
      </c>
      <c r="AH587" s="105">
        <f t="shared" si="1258"/>
        <v>182.10599999999997</v>
      </c>
      <c r="AI587" s="106">
        <f t="shared" si="1258"/>
        <v>291.31499999999994</v>
      </c>
      <c r="AJ587" s="103">
        <f t="shared" si="1258"/>
        <v>291.31499999999994</v>
      </c>
      <c r="AK587" s="106">
        <f t="shared" si="1258"/>
        <v>33.51600000000002</v>
      </c>
      <c r="AL587" s="106">
        <f t="shared" si="1258"/>
        <v>83.768999999999977</v>
      </c>
      <c r="AM587" s="106">
        <f t="shared" si="1258"/>
        <v>116.20699999999997</v>
      </c>
      <c r="AN587" s="106">
        <f t="shared" si="1258"/>
        <v>218.76099999999997</v>
      </c>
      <c r="AO587" s="103">
        <f t="shared" si="1258"/>
        <v>218.76099999999997</v>
      </c>
      <c r="AP587" s="106">
        <f t="shared" si="1258"/>
        <v>-32.980000000000018</v>
      </c>
      <c r="AQ587" s="106">
        <f t="shared" si="1258"/>
        <v>-35.683999999999997</v>
      </c>
      <c r="AR587" s="106">
        <f t="shared" si="1258"/>
        <v>-32.736000000000004</v>
      </c>
      <c r="AS587" s="106">
        <f t="shared" si="1258"/>
        <v>2.9080000000000226</v>
      </c>
      <c r="AT587" s="103">
        <f t="shared" si="1258"/>
        <v>2.9080000000000226</v>
      </c>
      <c r="AU587" s="106">
        <f t="shared" si="1258"/>
        <v>21.641999999999999</v>
      </c>
      <c r="AV587" s="106">
        <f t="shared" si="1258"/>
        <v>130.43800000000002</v>
      </c>
      <c r="AW587" s="106">
        <f t="shared" si="1258"/>
        <v>119.16000000000005</v>
      </c>
      <c r="AX587" s="106">
        <f t="shared" si="1258"/>
        <v>213.00600000000003</v>
      </c>
      <c r="AY587" s="103">
        <f t="shared" si="1258"/>
        <v>213.00600000000003</v>
      </c>
      <c r="AZ587" s="106">
        <f t="shared" si="1258"/>
        <v>33.512</v>
      </c>
      <c r="BA587" s="106">
        <f t="shared" si="1258"/>
        <v>87.516999999999996</v>
      </c>
      <c r="BB587" s="106">
        <f t="shared" si="1258"/>
        <v>98.896999999999963</v>
      </c>
      <c r="BC587" s="106">
        <f t="shared" si="1258"/>
        <v>161.92600000000002</v>
      </c>
      <c r="BD587" s="103">
        <f t="shared" si="1258"/>
        <v>161.92600000000002</v>
      </c>
      <c r="BE587" s="106">
        <f t="shared" si="1258"/>
        <v>65.034999999999982</v>
      </c>
      <c r="BF587" s="106">
        <f t="shared" si="1258"/>
        <v>101.51599999999999</v>
      </c>
      <c r="BG587" s="106">
        <f t="shared" si="1258"/>
        <v>150.54599999999996</v>
      </c>
      <c r="BH587" s="106">
        <f t="shared" si="1258"/>
        <v>218.40100000000001</v>
      </c>
      <c r="BI587" s="115">
        <f t="shared" si="1258"/>
        <v>218.40100000000001</v>
      </c>
      <c r="BJ587" s="106"/>
      <c r="BK587" s="106"/>
      <c r="BL587" s="106"/>
      <c r="BM587" s="106"/>
      <c r="BN587" s="103"/>
      <c r="BO587" s="106"/>
      <c r="BP587" s="106"/>
      <c r="BQ587" s="106"/>
      <c r="BR587" s="106"/>
      <c r="BS587" s="103"/>
      <c r="BT587" s="103"/>
      <c r="BU587" s="103"/>
      <c r="BV587" s="103"/>
      <c r="BW587" s="83"/>
    </row>
    <row r="588" spans="1:75" ht="15.75" customHeight="1" outlineLevel="1" x14ac:dyDescent="0.2">
      <c r="A588" s="108"/>
      <c r="B588" s="108"/>
      <c r="C588" s="109"/>
      <c r="D588" s="109"/>
      <c r="E588" s="109"/>
      <c r="F588" s="109"/>
      <c r="G588" s="110"/>
      <c r="H588" s="110"/>
      <c r="I588" s="110"/>
      <c r="J588" s="110"/>
      <c r="K588" s="109"/>
      <c r="L588" s="110"/>
      <c r="M588" s="110"/>
      <c r="N588" s="110"/>
      <c r="O588" s="110"/>
      <c r="P588" s="109"/>
      <c r="Q588" s="110"/>
      <c r="R588" s="110"/>
      <c r="S588" s="110"/>
      <c r="T588" s="110"/>
      <c r="U588" s="109"/>
      <c r="V588" s="110"/>
      <c r="W588" s="110"/>
      <c r="X588" s="110"/>
      <c r="Y588" s="110"/>
      <c r="Z588" s="109"/>
      <c r="AA588" s="110"/>
      <c r="AB588" s="110"/>
      <c r="AC588" s="110"/>
      <c r="AD588" s="110"/>
      <c r="AE588" s="109"/>
      <c r="AF588" s="110"/>
      <c r="AG588" s="110"/>
      <c r="AH588" s="110"/>
      <c r="AI588" s="110"/>
      <c r="AJ588" s="109"/>
      <c r="AK588" s="110"/>
      <c r="AL588" s="110"/>
      <c r="AM588" s="110"/>
      <c r="AN588" s="110"/>
      <c r="AO588" s="109"/>
      <c r="AP588" s="110"/>
      <c r="AQ588" s="110"/>
      <c r="AR588" s="110"/>
      <c r="AS588" s="110"/>
      <c r="AT588" s="109"/>
      <c r="AU588" s="110"/>
      <c r="AV588" s="110"/>
      <c r="AW588" s="110"/>
      <c r="AX588" s="110"/>
      <c r="AY588" s="109"/>
      <c r="AZ588" s="110"/>
      <c r="BA588" s="110"/>
      <c r="BB588" s="110"/>
      <c r="BC588" s="110"/>
      <c r="BD588" s="109"/>
      <c r="BE588" s="110"/>
      <c r="BF588" s="110"/>
      <c r="BG588" s="110"/>
      <c r="BH588" s="110"/>
      <c r="BI588" s="107"/>
      <c r="BJ588" s="110"/>
      <c r="BK588" s="110"/>
      <c r="BL588" s="110"/>
      <c r="BM588" s="110"/>
      <c r="BN588" s="109"/>
      <c r="BO588" s="110"/>
      <c r="BP588" s="110"/>
      <c r="BQ588" s="110"/>
      <c r="BR588" s="110"/>
      <c r="BS588" s="109"/>
      <c r="BT588" s="109"/>
      <c r="BU588" s="109"/>
      <c r="BV588" s="109"/>
      <c r="BW588" s="83"/>
    </row>
    <row r="589" spans="1:75" ht="15.75" customHeight="1" outlineLevel="1" x14ac:dyDescent="0.2">
      <c r="A589" s="229" t="s">
        <v>826</v>
      </c>
      <c r="B589" s="108"/>
      <c r="C589" s="109"/>
      <c r="D589" s="109"/>
      <c r="E589" s="109"/>
      <c r="F589" s="109"/>
      <c r="G589" s="110"/>
      <c r="H589" s="110"/>
      <c r="I589" s="110"/>
      <c r="J589" s="110"/>
      <c r="K589" s="109"/>
      <c r="L589" s="110"/>
      <c r="M589" s="110"/>
      <c r="N589" s="110"/>
      <c r="O589" s="110"/>
      <c r="P589" s="109"/>
      <c r="Q589" s="110"/>
      <c r="R589" s="110"/>
      <c r="S589" s="110"/>
      <c r="T589" s="110"/>
      <c r="U589" s="109"/>
      <c r="V589" s="110"/>
      <c r="W589" s="110"/>
      <c r="X589" s="110"/>
      <c r="Y589" s="110"/>
      <c r="Z589" s="109"/>
      <c r="AA589" s="110"/>
      <c r="AB589" s="110"/>
      <c r="AC589" s="110"/>
      <c r="AD589" s="110"/>
      <c r="AE589" s="109"/>
      <c r="AF589" s="110"/>
      <c r="AG589" s="110"/>
      <c r="AH589" s="110"/>
      <c r="AI589" s="110"/>
      <c r="AJ589" s="109"/>
      <c r="AK589" s="110"/>
      <c r="AL589" s="110"/>
      <c r="AM589" s="110"/>
      <c r="AN589" s="110"/>
      <c r="AO589" s="109"/>
      <c r="AP589" s="110"/>
      <c r="AQ589" s="110"/>
      <c r="AR589" s="110"/>
      <c r="AS589" s="110"/>
      <c r="AT589" s="109"/>
      <c r="AU589" s="110"/>
      <c r="AV589" s="110"/>
      <c r="AW589" s="110"/>
      <c r="AX589" s="110"/>
      <c r="AY589" s="109"/>
      <c r="AZ589" s="110"/>
      <c r="BA589" s="110"/>
      <c r="BB589" s="110"/>
      <c r="BC589" s="110"/>
      <c r="BD589" s="109"/>
      <c r="BE589" s="110"/>
      <c r="BF589" s="110"/>
      <c r="BG589" s="110"/>
      <c r="BH589" s="110"/>
      <c r="BI589" s="107"/>
      <c r="BJ589" s="110"/>
      <c r="BK589" s="110"/>
      <c r="BL589" s="110"/>
      <c r="BM589" s="110"/>
      <c r="BN589" s="109"/>
      <c r="BO589" s="110"/>
      <c r="BP589" s="110"/>
      <c r="BQ589" s="110"/>
      <c r="BR589" s="110"/>
      <c r="BS589" s="109"/>
      <c r="BT589" s="109"/>
      <c r="BU589" s="109"/>
      <c r="BV589" s="109"/>
      <c r="BW589" s="83"/>
    </row>
    <row r="590" spans="1:75" ht="15.75" customHeight="1" outlineLevel="1" x14ac:dyDescent="0.2">
      <c r="A590" s="84" t="s">
        <v>429</v>
      </c>
      <c r="B590" s="85"/>
      <c r="C590" s="87">
        <v>-37.243000000000002</v>
      </c>
      <c r="D590" s="87">
        <v>-41.847000000000001</v>
      </c>
      <c r="E590" s="87">
        <v>-76.745999999999995</v>
      </c>
      <c r="F590" s="87">
        <v>-86.441999999999993</v>
      </c>
      <c r="G590" s="88">
        <v>-14.581</v>
      </c>
      <c r="H590" s="88">
        <v>-37.517000000000003</v>
      </c>
      <c r="I590" s="88">
        <v>-67.097999999999999</v>
      </c>
      <c r="J590" s="4">
        <f t="shared" ref="J590:J591" si="1259">K590</f>
        <v>-106.289</v>
      </c>
      <c r="K590" s="87">
        <v>-106.289</v>
      </c>
      <c r="L590" s="88">
        <v>-30.1</v>
      </c>
      <c r="M590" s="88">
        <v>-57.81</v>
      </c>
      <c r="N590" s="88">
        <v>-87.873000000000005</v>
      </c>
      <c r="O590" s="4">
        <f t="shared" ref="O590:O591" si="1260">P590</f>
        <v>-113.982</v>
      </c>
      <c r="P590" s="87">
        <v>-113.982</v>
      </c>
      <c r="Q590" s="88">
        <v>-24.151</v>
      </c>
      <c r="R590" s="88">
        <v>-59.472999999999999</v>
      </c>
      <c r="S590" s="88">
        <v>-108.593</v>
      </c>
      <c r="T590" s="4">
        <f t="shared" ref="T590:T592" si="1261">U590</f>
        <v>-153.941</v>
      </c>
      <c r="U590" s="87">
        <v>-153.941</v>
      </c>
      <c r="V590" s="88">
        <v>-22.440999999999999</v>
      </c>
      <c r="W590" s="88">
        <v>-40.207999999999998</v>
      </c>
      <c r="X590" s="88">
        <v>-70.606999999999999</v>
      </c>
      <c r="Y590" s="2">
        <f t="shared" ref="Y590:Y592" si="1262">Z590</f>
        <v>-115.821</v>
      </c>
      <c r="Z590" s="87">
        <v>-115.821</v>
      </c>
      <c r="AA590" s="88">
        <v>-19.222999999999999</v>
      </c>
      <c r="AB590" s="88">
        <v>-43.698999999999998</v>
      </c>
      <c r="AC590" s="88">
        <v>-73.417000000000002</v>
      </c>
      <c r="AD590" s="2">
        <f t="shared" ref="AD590:AD592" si="1263">AE590</f>
        <v>-120.779</v>
      </c>
      <c r="AE590" s="87">
        <v>-120.779</v>
      </c>
      <c r="AF590" s="88">
        <v>-30.687999999999999</v>
      </c>
      <c r="AG590" s="88">
        <v>-51.87</v>
      </c>
      <c r="AH590" s="88">
        <v>-78.715999999999994</v>
      </c>
      <c r="AI590" s="2">
        <f t="shared" ref="AI590:AI592" si="1264">AJ590</f>
        <v>-102.90900000000001</v>
      </c>
      <c r="AJ590" s="87">
        <v>-102.90900000000001</v>
      </c>
      <c r="AK590" s="88">
        <v>-13.351000000000001</v>
      </c>
      <c r="AL590" s="88">
        <v>-29.370999999999999</v>
      </c>
      <c r="AM590" s="88">
        <v>-46.701999999999998</v>
      </c>
      <c r="AN590" s="2">
        <f t="shared" ref="AN590:AN591" si="1265">AO590</f>
        <v>-73.765000000000001</v>
      </c>
      <c r="AO590" s="87">
        <v>-73.765000000000001</v>
      </c>
      <c r="AP590" s="88">
        <v>-15.775</v>
      </c>
      <c r="AQ590" s="88">
        <v>-29.423999999999999</v>
      </c>
      <c r="AR590" s="88">
        <v>-38.270000000000003</v>
      </c>
      <c r="AS590" s="2">
        <f t="shared" ref="AS590:AS597" si="1266">AT590</f>
        <v>-50.329000000000001</v>
      </c>
      <c r="AT590" s="87">
        <v>-50.329000000000001</v>
      </c>
      <c r="AU590" s="88">
        <v>-7.2270000000000003</v>
      </c>
      <c r="AV590" s="88">
        <v>-30.902000000000001</v>
      </c>
      <c r="AW590" s="88">
        <v>-49.158000000000001</v>
      </c>
      <c r="AX590" s="2">
        <f t="shared" ref="AX590:AX598" si="1267">AY590</f>
        <v>-66.942999999999998</v>
      </c>
      <c r="AY590" s="87">
        <v>-66.942999999999998</v>
      </c>
      <c r="AZ590" s="88">
        <v>-29.093</v>
      </c>
      <c r="BA590" s="88">
        <v>-46.381999999999998</v>
      </c>
      <c r="BB590" s="88">
        <v>-78.052999999999997</v>
      </c>
      <c r="BC590" s="2">
        <f t="shared" ref="BC590:BC598" si="1268">BD590</f>
        <v>-112.464</v>
      </c>
      <c r="BD590" s="87">
        <v>-112.464</v>
      </c>
      <c r="BE590" s="88">
        <v>-37.962000000000003</v>
      </c>
      <c r="BF590" s="88">
        <v>-62.66</v>
      </c>
      <c r="BG590" s="88">
        <v>-99.923000000000002</v>
      </c>
      <c r="BH590" s="2">
        <f t="shared" ref="BH590:BH598" si="1269">BI590</f>
        <v>-151.565</v>
      </c>
      <c r="BI590" s="89">
        <v>-151.565</v>
      </c>
      <c r="BJ590" s="2"/>
      <c r="BK590" s="2"/>
      <c r="BL590" s="2"/>
      <c r="BM590" s="2"/>
      <c r="BN590" s="86"/>
      <c r="BO590" s="2"/>
      <c r="BP590" s="2"/>
      <c r="BQ590" s="2"/>
      <c r="BR590" s="2"/>
      <c r="BS590" s="86"/>
      <c r="BT590" s="86"/>
      <c r="BU590" s="86"/>
      <c r="BV590" s="86"/>
      <c r="BW590" s="4"/>
    </row>
    <row r="591" spans="1:75" ht="15.75" customHeight="1" outlineLevel="1" x14ac:dyDescent="0.2">
      <c r="A591" s="84" t="s">
        <v>430</v>
      </c>
      <c r="B591" s="85"/>
      <c r="C591" s="87">
        <v>-1.712</v>
      </c>
      <c r="D591" s="87">
        <v>-1.821</v>
      </c>
      <c r="E591" s="87">
        <v>-0.87</v>
      </c>
      <c r="F591" s="87">
        <v>-1.712</v>
      </c>
      <c r="G591" s="88">
        <v>-0.439</v>
      </c>
      <c r="H591" s="88">
        <v>-0.81100000000000005</v>
      </c>
      <c r="I591" s="88">
        <v>-1.2250000000000001</v>
      </c>
      <c r="J591" s="4">
        <f t="shared" si="1259"/>
        <v>-1.6539999999999999</v>
      </c>
      <c r="K591" s="87">
        <v>-1.6539999999999999</v>
      </c>
      <c r="L591" s="88">
        <v>-0.33900000000000002</v>
      </c>
      <c r="M591" s="88">
        <v>-0.64600000000000002</v>
      </c>
      <c r="N591" s="88">
        <v>-1.4690000000000001</v>
      </c>
      <c r="O591" s="4">
        <f t="shared" si="1260"/>
        <v>-1.879</v>
      </c>
      <c r="P591" s="87">
        <v>-1.879</v>
      </c>
      <c r="Q591" s="88">
        <v>-0.54700000000000004</v>
      </c>
      <c r="R591" s="88">
        <v>-0.94799999999999995</v>
      </c>
      <c r="S591" s="88">
        <v>-1.276</v>
      </c>
      <c r="T591" s="4">
        <f t="shared" si="1261"/>
        <v>-1.76</v>
      </c>
      <c r="U591" s="87">
        <v>-1.76</v>
      </c>
      <c r="V591" s="88">
        <v>-0.62</v>
      </c>
      <c r="W591" s="88">
        <v>-0.92400000000000004</v>
      </c>
      <c r="X591" s="88">
        <v>-1.294</v>
      </c>
      <c r="Y591" s="2">
        <f t="shared" si="1262"/>
        <v>-1.6400000000000001</v>
      </c>
      <c r="Z591" s="87">
        <v>-1.6400000000000001</v>
      </c>
      <c r="AA591" s="88">
        <v>-0.30199999999999999</v>
      </c>
      <c r="AB591" s="88">
        <v>-0.61899999999999999</v>
      </c>
      <c r="AC591" s="88">
        <v>-0.90300000000000002</v>
      </c>
      <c r="AD591" s="2">
        <f t="shared" si="1263"/>
        <v>-1.6539999999999999</v>
      </c>
      <c r="AE591" s="87">
        <v>-1.6539999999999999</v>
      </c>
      <c r="AF591" s="88">
        <v>-0.307</v>
      </c>
      <c r="AG591" s="88">
        <v>-0.73499999999999999</v>
      </c>
      <c r="AH591" s="88">
        <v>-2.677</v>
      </c>
      <c r="AI591" s="2">
        <f t="shared" si="1264"/>
        <v>-3.02</v>
      </c>
      <c r="AJ591" s="87">
        <v>-3.02</v>
      </c>
      <c r="AK591" s="88">
        <v>-9.6000000000000002E-2</v>
      </c>
      <c r="AL591" s="88">
        <v>-0.19800000000000001</v>
      </c>
      <c r="AM591" s="88">
        <v>-0.35299999999999998</v>
      </c>
      <c r="AN591" s="2">
        <f t="shared" si="1265"/>
        <v>-2.1</v>
      </c>
      <c r="AO591" s="87">
        <v>-2.1</v>
      </c>
      <c r="AP591" s="88">
        <v>-0.128</v>
      </c>
      <c r="AQ591" s="88">
        <v>-0.22700000000000001</v>
      </c>
      <c r="AR591" s="88">
        <v>-0.36499999999999999</v>
      </c>
      <c r="AS591" s="2">
        <f t="shared" si="1266"/>
        <v>-0.58499999999999996</v>
      </c>
      <c r="AT591" s="87">
        <v>-0.58499999999999996</v>
      </c>
      <c r="AU591" s="88">
        <v>-0.48</v>
      </c>
      <c r="AV591" s="88">
        <v>-0.312</v>
      </c>
      <c r="AW591" s="88">
        <v>-0.48199999999999998</v>
      </c>
      <c r="AX591" s="2">
        <f t="shared" si="1267"/>
        <v>-0.60599999999999998</v>
      </c>
      <c r="AY591" s="87">
        <v>-0.60599999999999998</v>
      </c>
      <c r="AZ591" s="88">
        <v>-0.13900000000000001</v>
      </c>
      <c r="BA591" s="88">
        <v>-0.28199999999999997</v>
      </c>
      <c r="BB591" s="88">
        <v>-0.48899999999999999</v>
      </c>
      <c r="BC591" s="2">
        <f t="shared" si="1268"/>
        <v>-0.68</v>
      </c>
      <c r="BD591" s="87">
        <v>-0.68</v>
      </c>
      <c r="BE591" s="88">
        <v>-0.182</v>
      </c>
      <c r="BF591" s="88">
        <v>-0.39200000000000002</v>
      </c>
      <c r="BG591" s="88">
        <v>-0.56699999999999995</v>
      </c>
      <c r="BH591" s="2">
        <f t="shared" si="1269"/>
        <v>-1.6579999999999999</v>
      </c>
      <c r="BI591" s="89">
        <v>-1.6579999999999999</v>
      </c>
      <c r="BJ591" s="2"/>
      <c r="BK591" s="2"/>
      <c r="BL591" s="2"/>
      <c r="BM591" s="2"/>
      <c r="BN591" s="86"/>
      <c r="BO591" s="2"/>
      <c r="BP591" s="2"/>
      <c r="BQ591" s="2"/>
      <c r="BR591" s="2"/>
      <c r="BS591" s="86"/>
      <c r="BT591" s="86"/>
      <c r="BU591" s="86"/>
      <c r="BV591" s="86"/>
      <c r="BW591" s="4"/>
    </row>
    <row r="592" spans="1:75" ht="15.75" customHeight="1" outlineLevel="1" x14ac:dyDescent="0.2">
      <c r="A592" s="84" t="s">
        <v>386</v>
      </c>
      <c r="B592" s="85"/>
      <c r="C592" s="86"/>
      <c r="D592" s="86"/>
      <c r="E592" s="86"/>
      <c r="F592" s="86"/>
      <c r="G592" s="2"/>
      <c r="H592" s="2"/>
      <c r="I592" s="2"/>
      <c r="J592" s="2"/>
      <c r="K592" s="86"/>
      <c r="L592" s="2"/>
      <c r="M592" s="2"/>
      <c r="N592" s="2"/>
      <c r="O592" s="2"/>
      <c r="P592" s="86"/>
      <c r="Q592" s="2"/>
      <c r="R592" s="2"/>
      <c r="S592" s="2"/>
      <c r="T592" s="4">
        <f t="shared" si="1261"/>
        <v>0</v>
      </c>
      <c r="U592" s="86"/>
      <c r="V592" s="2"/>
      <c r="W592" s="2"/>
      <c r="X592" s="2"/>
      <c r="Y592" s="2">
        <f t="shared" si="1262"/>
        <v>-42</v>
      </c>
      <c r="Z592" s="87">
        <v>-42</v>
      </c>
      <c r="AA592" s="88">
        <v>-8.7999999999999995E-2</v>
      </c>
      <c r="AB592" s="88">
        <v>-9</v>
      </c>
      <c r="AC592" s="88">
        <v>-9</v>
      </c>
      <c r="AD592" s="2">
        <f t="shared" si="1263"/>
        <v>-18</v>
      </c>
      <c r="AE592" s="87">
        <v>-18</v>
      </c>
      <c r="AF592" s="88">
        <v>0</v>
      </c>
      <c r="AG592" s="88">
        <v>-14</v>
      </c>
      <c r="AH592" s="88">
        <v>-25</v>
      </c>
      <c r="AI592" s="2">
        <f t="shared" si="1264"/>
        <v>-25</v>
      </c>
      <c r="AJ592" s="87">
        <v>-25</v>
      </c>
      <c r="AK592" s="88">
        <v>-3</v>
      </c>
      <c r="AL592" s="88">
        <v>-3</v>
      </c>
      <c r="AM592" s="88">
        <v>-3</v>
      </c>
      <c r="AN592" s="2">
        <f t="shared" ref="AN592:AN593" si="1270">0+(AO592)</f>
        <v>-3</v>
      </c>
      <c r="AO592" s="87">
        <v>-3</v>
      </c>
      <c r="AP592" s="2"/>
      <c r="AQ592" s="2"/>
      <c r="AR592" s="2"/>
      <c r="AS592" s="2">
        <f t="shared" si="1266"/>
        <v>0</v>
      </c>
      <c r="AT592" s="86"/>
      <c r="AU592" s="2"/>
      <c r="AV592" s="2"/>
      <c r="AW592" s="2"/>
      <c r="AX592" s="2">
        <f t="shared" si="1267"/>
        <v>0</v>
      </c>
      <c r="AY592" s="86"/>
      <c r="AZ592" s="2"/>
      <c r="BA592" s="2"/>
      <c r="BB592" s="2"/>
      <c r="BC592" s="2">
        <f t="shared" si="1268"/>
        <v>0</v>
      </c>
      <c r="BD592" s="86"/>
      <c r="BE592" s="2"/>
      <c r="BF592" s="2"/>
      <c r="BG592" s="2"/>
      <c r="BH592" s="2">
        <f t="shared" si="1269"/>
        <v>0</v>
      </c>
      <c r="BI592" s="90"/>
      <c r="BJ592" s="2"/>
      <c r="BK592" s="2"/>
      <c r="BL592" s="2"/>
      <c r="BM592" s="2"/>
      <c r="BN592" s="86"/>
      <c r="BO592" s="2"/>
      <c r="BP592" s="2"/>
      <c r="BQ592" s="2"/>
      <c r="BR592" s="2"/>
      <c r="BS592" s="86"/>
      <c r="BT592" s="86"/>
      <c r="BU592" s="86"/>
      <c r="BV592" s="86"/>
      <c r="BW592" s="4"/>
    </row>
    <row r="593" spans="1:75" ht="15.75" customHeight="1" outlineLevel="1" x14ac:dyDescent="0.2">
      <c r="A593" s="84" t="s">
        <v>431</v>
      </c>
      <c r="B593" s="85"/>
      <c r="C593" s="86"/>
      <c r="D593" s="86"/>
      <c r="E593" s="86"/>
      <c r="F593" s="86"/>
      <c r="G593" s="2"/>
      <c r="H593" s="2"/>
      <c r="I593" s="2"/>
      <c r="J593" s="2"/>
      <c r="K593" s="86"/>
      <c r="L593" s="2"/>
      <c r="M593" s="2"/>
      <c r="N593" s="2"/>
      <c r="O593" s="2"/>
      <c r="P593" s="86"/>
      <c r="Q593" s="2"/>
      <c r="R593" s="2"/>
      <c r="S593" s="2"/>
      <c r="T593" s="2"/>
      <c r="U593" s="86"/>
      <c r="V593" s="2"/>
      <c r="W593" s="2"/>
      <c r="X593" s="2"/>
      <c r="Y593" s="2"/>
      <c r="Z593" s="86"/>
      <c r="AA593" s="2"/>
      <c r="AB593" s="2"/>
      <c r="AC593" s="2"/>
      <c r="AD593" s="2"/>
      <c r="AE593" s="86"/>
      <c r="AF593" s="2"/>
      <c r="AG593" s="2"/>
      <c r="AH593" s="2"/>
      <c r="AI593" s="2"/>
      <c r="AJ593" s="86"/>
      <c r="AK593" s="88">
        <v>-11</v>
      </c>
      <c r="AL593" s="88">
        <v>-18</v>
      </c>
      <c r="AM593" s="88">
        <v>-22.5</v>
      </c>
      <c r="AN593" s="2">
        <f t="shared" si="1270"/>
        <v>-22.5</v>
      </c>
      <c r="AO593" s="87">
        <v>-22.5</v>
      </c>
      <c r="AP593" s="2"/>
      <c r="AQ593" s="2"/>
      <c r="AR593" s="2"/>
      <c r="AS593" s="2">
        <f t="shared" si="1266"/>
        <v>0</v>
      </c>
      <c r="AT593" s="86"/>
      <c r="AU593" s="2"/>
      <c r="AV593" s="2"/>
      <c r="AW593" s="2"/>
      <c r="AX593" s="2">
        <f t="shared" si="1267"/>
        <v>0</v>
      </c>
      <c r="AY593" s="86"/>
      <c r="AZ593" s="2"/>
      <c r="BA593" s="2"/>
      <c r="BB593" s="2"/>
      <c r="BC593" s="2">
        <f t="shared" si="1268"/>
        <v>0</v>
      </c>
      <c r="BD593" s="86"/>
      <c r="BE593" s="2"/>
      <c r="BF593" s="2"/>
      <c r="BG593" s="2"/>
      <c r="BH593" s="2">
        <f t="shared" si="1269"/>
        <v>0</v>
      </c>
      <c r="BI593" s="90"/>
      <c r="BJ593" s="2"/>
      <c r="BK593" s="2"/>
      <c r="BL593" s="2"/>
      <c r="BM593" s="2"/>
      <c r="BN593" s="86"/>
      <c r="BO593" s="2"/>
      <c r="BP593" s="2"/>
      <c r="BQ593" s="2"/>
      <c r="BR593" s="2"/>
      <c r="BS593" s="86"/>
      <c r="BT593" s="86"/>
      <c r="BU593" s="86"/>
      <c r="BV593" s="86"/>
      <c r="BW593" s="4"/>
    </row>
    <row r="594" spans="1:75" ht="15.75" customHeight="1" outlineLevel="1" x14ac:dyDescent="0.2">
      <c r="A594" s="84" t="s">
        <v>432</v>
      </c>
      <c r="B594" s="85"/>
      <c r="C594" s="87">
        <v>1</v>
      </c>
      <c r="D594" s="86"/>
      <c r="E594" s="86"/>
      <c r="F594" s="86"/>
      <c r="G594" s="2"/>
      <c r="H594" s="2"/>
      <c r="I594" s="2"/>
      <c r="J594" s="4">
        <f>K594</f>
        <v>0</v>
      </c>
      <c r="K594" s="86"/>
      <c r="L594" s="2"/>
      <c r="M594" s="2"/>
      <c r="N594" s="2"/>
      <c r="O594" s="4">
        <f>P594</f>
        <v>0</v>
      </c>
      <c r="P594" s="86"/>
      <c r="Q594" s="2"/>
      <c r="R594" s="2"/>
      <c r="S594" s="2"/>
      <c r="T594" s="4">
        <f>U594</f>
        <v>0</v>
      </c>
      <c r="U594" s="86"/>
      <c r="V594" s="2"/>
      <c r="W594" s="2"/>
      <c r="X594" s="2"/>
      <c r="Y594" s="2">
        <f>Z594</f>
        <v>0</v>
      </c>
      <c r="Z594" s="86"/>
      <c r="AA594" s="2"/>
      <c r="AB594" s="2"/>
      <c r="AC594" s="2"/>
      <c r="AD594" s="2">
        <f>AE594</f>
        <v>0</v>
      </c>
      <c r="AE594" s="86"/>
      <c r="AF594" s="2"/>
      <c r="AG594" s="2"/>
      <c r="AH594" s="2"/>
      <c r="AI594" s="2">
        <f t="shared" ref="AI594:AI597" si="1271">AJ594</f>
        <v>0</v>
      </c>
      <c r="AJ594" s="86"/>
      <c r="AK594" s="2"/>
      <c r="AL594" s="2"/>
      <c r="AM594" s="2"/>
      <c r="AN594" s="2">
        <f>AO594</f>
        <v>0</v>
      </c>
      <c r="AO594" s="86"/>
      <c r="AP594" s="2"/>
      <c r="AQ594" s="2"/>
      <c r="AR594" s="2"/>
      <c r="AS594" s="2">
        <f t="shared" si="1266"/>
        <v>0</v>
      </c>
      <c r="AT594" s="86"/>
      <c r="AU594" s="2"/>
      <c r="AV594" s="2"/>
      <c r="AW594" s="2"/>
      <c r="AX594" s="2">
        <f t="shared" si="1267"/>
        <v>0</v>
      </c>
      <c r="AY594" s="86"/>
      <c r="AZ594" s="2"/>
      <c r="BA594" s="2"/>
      <c r="BB594" s="2"/>
      <c r="BC594" s="2">
        <f t="shared" si="1268"/>
        <v>0</v>
      </c>
      <c r="BD594" s="86"/>
      <c r="BE594" s="2"/>
      <c r="BF594" s="2"/>
      <c r="BG594" s="2"/>
      <c r="BH594" s="2">
        <f t="shared" si="1269"/>
        <v>0</v>
      </c>
      <c r="BI594" s="90"/>
      <c r="BJ594" s="2"/>
      <c r="BK594" s="2"/>
      <c r="BL594" s="2"/>
      <c r="BM594" s="2"/>
      <c r="BN594" s="86"/>
      <c r="BO594" s="2"/>
      <c r="BP594" s="2"/>
      <c r="BQ594" s="2"/>
      <c r="BR594" s="2"/>
      <c r="BS594" s="86"/>
      <c r="BT594" s="86"/>
      <c r="BU594" s="86"/>
      <c r="BV594" s="86"/>
      <c r="BW594" s="4"/>
    </row>
    <row r="595" spans="1:75" ht="15.75" customHeight="1" outlineLevel="1" x14ac:dyDescent="0.2">
      <c r="A595" s="84" t="s">
        <v>433</v>
      </c>
      <c r="B595" s="85"/>
      <c r="C595" s="86"/>
      <c r="D595" s="86"/>
      <c r="E595" s="86"/>
      <c r="F595" s="86"/>
      <c r="G595" s="2"/>
      <c r="H595" s="2"/>
      <c r="I595" s="2"/>
      <c r="J595" s="2"/>
      <c r="K595" s="86"/>
      <c r="L595" s="2"/>
      <c r="M595" s="2"/>
      <c r="N595" s="2"/>
      <c r="O595" s="2"/>
      <c r="P595" s="86"/>
      <c r="Q595" s="2"/>
      <c r="R595" s="2"/>
      <c r="S595" s="2"/>
      <c r="T595" s="2"/>
      <c r="U595" s="86"/>
      <c r="V595" s="2"/>
      <c r="W595" s="2"/>
      <c r="X595" s="2"/>
      <c r="Y595" s="2"/>
      <c r="Z595" s="86"/>
      <c r="AA595" s="2"/>
      <c r="AB595" s="2"/>
      <c r="AC595" s="2"/>
      <c r="AD595" s="2"/>
      <c r="AE595" s="86"/>
      <c r="AF595" s="2"/>
      <c r="AG595" s="88">
        <v>0.54</v>
      </c>
      <c r="AH595" s="88">
        <v>0.54</v>
      </c>
      <c r="AI595" s="2">
        <f t="shared" si="1271"/>
        <v>0.54</v>
      </c>
      <c r="AJ595" s="87">
        <v>0.54</v>
      </c>
      <c r="AK595" s="2"/>
      <c r="AL595" s="2"/>
      <c r="AM595" s="2"/>
      <c r="AN595" s="2"/>
      <c r="AO595" s="86"/>
      <c r="AP595" s="2"/>
      <c r="AQ595" s="2"/>
      <c r="AR595" s="2"/>
      <c r="AS595" s="2">
        <f t="shared" si="1266"/>
        <v>0</v>
      </c>
      <c r="AT595" s="86"/>
      <c r="AU595" s="2"/>
      <c r="AV595" s="2"/>
      <c r="AW595" s="2"/>
      <c r="AX595" s="2">
        <f t="shared" si="1267"/>
        <v>0</v>
      </c>
      <c r="AY595" s="86"/>
      <c r="AZ595" s="2"/>
      <c r="BA595" s="2"/>
      <c r="BB595" s="2"/>
      <c r="BC595" s="2">
        <f t="shared" si="1268"/>
        <v>0</v>
      </c>
      <c r="BD595" s="86"/>
      <c r="BE595" s="2"/>
      <c r="BF595" s="2"/>
      <c r="BG595" s="2"/>
      <c r="BH595" s="2">
        <f t="shared" si="1269"/>
        <v>0</v>
      </c>
      <c r="BI595" s="90"/>
      <c r="BJ595" s="2"/>
      <c r="BK595" s="2"/>
      <c r="BL595" s="2"/>
      <c r="BM595" s="2"/>
      <c r="BN595" s="86"/>
      <c r="BO595" s="2"/>
      <c r="BP595" s="2"/>
      <c r="BQ595" s="2"/>
      <c r="BR595" s="2"/>
      <c r="BS595" s="86"/>
      <c r="BT595" s="86"/>
      <c r="BU595" s="86"/>
      <c r="BV595" s="86"/>
      <c r="BW595" s="4"/>
    </row>
    <row r="596" spans="1:75" ht="15.75" customHeight="1" outlineLevel="1" x14ac:dyDescent="0.2">
      <c r="A596" s="84" t="s">
        <v>434</v>
      </c>
      <c r="B596" s="85"/>
      <c r="C596" s="86"/>
      <c r="D596" s="86"/>
      <c r="E596" s="86"/>
      <c r="F596" s="86"/>
      <c r="G596" s="2"/>
      <c r="H596" s="2"/>
      <c r="I596" s="2"/>
      <c r="J596" s="4">
        <f t="shared" ref="J596:J597" si="1272">K596</f>
        <v>0</v>
      </c>
      <c r="K596" s="86"/>
      <c r="L596" s="2"/>
      <c r="M596" s="2"/>
      <c r="N596" s="2"/>
      <c r="O596" s="4">
        <f t="shared" ref="O596:O597" si="1273">P596</f>
        <v>0</v>
      </c>
      <c r="P596" s="86"/>
      <c r="Q596" s="2"/>
      <c r="R596" s="2"/>
      <c r="S596" s="2"/>
      <c r="T596" s="4">
        <f t="shared" ref="T596:T597" si="1274">U596</f>
        <v>0</v>
      </c>
      <c r="U596" s="86"/>
      <c r="V596" s="2"/>
      <c r="W596" s="2"/>
      <c r="X596" s="2"/>
      <c r="Y596" s="2">
        <f t="shared" ref="Y596:Y597" si="1275">Z596</f>
        <v>0</v>
      </c>
      <c r="Z596" s="86"/>
      <c r="AA596" s="2"/>
      <c r="AB596" s="2"/>
      <c r="AC596" s="2"/>
      <c r="AD596" s="2">
        <f t="shared" ref="AD596:AD597" si="1276">AE596</f>
        <v>0</v>
      </c>
      <c r="AE596" s="86"/>
      <c r="AF596" s="2"/>
      <c r="AG596" s="2"/>
      <c r="AH596" s="2"/>
      <c r="AI596" s="2">
        <f t="shared" si="1271"/>
        <v>0</v>
      </c>
      <c r="AJ596" s="86"/>
      <c r="AK596" s="2"/>
      <c r="AL596" s="2"/>
      <c r="AM596" s="2"/>
      <c r="AN596" s="2">
        <f t="shared" ref="AN596:AN597" si="1277">AO596</f>
        <v>-261.69499999999999</v>
      </c>
      <c r="AO596" s="87">
        <v>-261.69499999999999</v>
      </c>
      <c r="AP596" s="2"/>
      <c r="AQ596" s="2"/>
      <c r="AR596" s="2"/>
      <c r="AS596" s="2">
        <f t="shared" si="1266"/>
        <v>0</v>
      </c>
      <c r="AT596" s="86"/>
      <c r="AU596" s="2"/>
      <c r="AV596" s="2"/>
      <c r="AW596" s="2"/>
      <c r="AX596" s="2">
        <f t="shared" si="1267"/>
        <v>0</v>
      </c>
      <c r="AY596" s="86"/>
      <c r="AZ596" s="2"/>
      <c r="BA596" s="2"/>
      <c r="BB596" s="2"/>
      <c r="BC596" s="2">
        <f t="shared" si="1268"/>
        <v>0</v>
      </c>
      <c r="BD596" s="86"/>
      <c r="BE596" s="2"/>
      <c r="BF596" s="2"/>
      <c r="BG596" s="2"/>
      <c r="BH596" s="2">
        <f t="shared" si="1269"/>
        <v>0</v>
      </c>
      <c r="BI596" s="90"/>
      <c r="BJ596" s="2"/>
      <c r="BK596" s="2"/>
      <c r="BL596" s="2"/>
      <c r="BM596" s="2"/>
      <c r="BN596" s="86"/>
      <c r="BO596" s="2"/>
      <c r="BP596" s="2"/>
      <c r="BQ596" s="2"/>
      <c r="BR596" s="2"/>
      <c r="BS596" s="86"/>
      <c r="BT596" s="86"/>
      <c r="BU596" s="86"/>
      <c r="BV596" s="86"/>
      <c r="BW596" s="4"/>
    </row>
    <row r="597" spans="1:75" ht="15.75" customHeight="1" outlineLevel="1" x14ac:dyDescent="0.2">
      <c r="A597" s="84" t="s">
        <v>435</v>
      </c>
      <c r="B597" s="85"/>
      <c r="C597" s="86"/>
      <c r="D597" s="86"/>
      <c r="E597" s="86"/>
      <c r="F597" s="86"/>
      <c r="G597" s="2"/>
      <c r="H597" s="2"/>
      <c r="I597" s="2"/>
      <c r="J597" s="4">
        <f t="shared" si="1272"/>
        <v>0</v>
      </c>
      <c r="K597" s="86"/>
      <c r="L597" s="2"/>
      <c r="M597" s="2"/>
      <c r="N597" s="2"/>
      <c r="O597" s="4">
        <f t="shared" si="1273"/>
        <v>0</v>
      </c>
      <c r="P597" s="86"/>
      <c r="Q597" s="2"/>
      <c r="R597" s="2"/>
      <c r="S597" s="2"/>
      <c r="T597" s="4">
        <f t="shared" si="1274"/>
        <v>0</v>
      </c>
      <c r="U597" s="86"/>
      <c r="V597" s="2"/>
      <c r="W597" s="2"/>
      <c r="X597" s="2"/>
      <c r="Y597" s="2">
        <f t="shared" si="1275"/>
        <v>0</v>
      </c>
      <c r="Z597" s="86"/>
      <c r="AA597" s="2"/>
      <c r="AB597" s="2"/>
      <c r="AC597" s="2"/>
      <c r="AD597" s="2">
        <f t="shared" si="1276"/>
        <v>0</v>
      </c>
      <c r="AE597" s="86"/>
      <c r="AF597" s="2"/>
      <c r="AG597" s="2"/>
      <c r="AH597" s="2"/>
      <c r="AI597" s="2">
        <f t="shared" si="1271"/>
        <v>0</v>
      </c>
      <c r="AJ597" s="86"/>
      <c r="AK597" s="2"/>
      <c r="AL597" s="2"/>
      <c r="AM597" s="2"/>
      <c r="AN597" s="2">
        <f t="shared" si="1277"/>
        <v>0</v>
      </c>
      <c r="AO597" s="86"/>
      <c r="AP597" s="2"/>
      <c r="AQ597" s="2"/>
      <c r="AR597" s="2"/>
      <c r="AS597" s="2">
        <f t="shared" si="1266"/>
        <v>0</v>
      </c>
      <c r="AT597" s="86"/>
      <c r="AU597" s="2"/>
      <c r="AV597" s="2"/>
      <c r="AW597" s="2"/>
      <c r="AX597" s="2">
        <f t="shared" si="1267"/>
        <v>0</v>
      </c>
      <c r="AY597" s="86"/>
      <c r="AZ597" s="2"/>
      <c r="BA597" s="2"/>
      <c r="BB597" s="2"/>
      <c r="BC597" s="2">
        <f t="shared" si="1268"/>
        <v>0</v>
      </c>
      <c r="BD597" s="86"/>
      <c r="BE597" s="2"/>
      <c r="BF597" s="2"/>
      <c r="BG597" s="2"/>
      <c r="BH597" s="2">
        <f t="shared" si="1269"/>
        <v>0</v>
      </c>
      <c r="BI597" s="90"/>
      <c r="BJ597" s="2"/>
      <c r="BK597" s="2"/>
      <c r="BL597" s="2"/>
      <c r="BM597" s="2"/>
      <c r="BN597" s="86"/>
      <c r="BO597" s="2"/>
      <c r="BP597" s="2"/>
      <c r="BQ597" s="2"/>
      <c r="BR597" s="2"/>
      <c r="BS597" s="86"/>
      <c r="BT597" s="86"/>
      <c r="BU597" s="86"/>
      <c r="BV597" s="86"/>
      <c r="BW597" s="4"/>
    </row>
    <row r="598" spans="1:75" ht="15.75" customHeight="1" outlineLevel="1" x14ac:dyDescent="0.2">
      <c r="A598" s="84" t="s">
        <v>387</v>
      </c>
      <c r="B598" s="85"/>
      <c r="C598" s="86"/>
      <c r="D598" s="86"/>
      <c r="E598" s="86"/>
      <c r="F598" s="86"/>
      <c r="G598" s="2"/>
      <c r="H598" s="2"/>
      <c r="I598" s="2"/>
      <c r="J598" s="2"/>
      <c r="K598" s="86"/>
      <c r="L598" s="2"/>
      <c r="M598" s="2"/>
      <c r="N598" s="2"/>
      <c r="O598" s="2"/>
      <c r="P598" s="86"/>
      <c r="Q598" s="2"/>
      <c r="R598" s="2"/>
      <c r="S598" s="2"/>
      <c r="T598" s="2"/>
      <c r="U598" s="86"/>
      <c r="V598" s="2"/>
      <c r="W598" s="2"/>
      <c r="X598" s="2"/>
      <c r="Y598" s="2"/>
      <c r="Z598" s="86"/>
      <c r="AA598" s="2"/>
      <c r="AB598" s="2"/>
      <c r="AC598" s="2"/>
      <c r="AD598" s="2"/>
      <c r="AE598" s="86"/>
      <c r="AF598" s="2"/>
      <c r="AG598" s="2"/>
      <c r="AH598" s="2"/>
      <c r="AI598" s="2"/>
      <c r="AJ598" s="86"/>
      <c r="AK598" s="2"/>
      <c r="AL598" s="2"/>
      <c r="AM598" s="2"/>
      <c r="AN598" s="2"/>
      <c r="AO598" s="86"/>
      <c r="AP598" s="2"/>
      <c r="AQ598" s="2"/>
      <c r="AR598" s="2"/>
      <c r="AS598" s="2"/>
      <c r="AT598" s="86"/>
      <c r="AU598" s="88">
        <v>-1</v>
      </c>
      <c r="AV598" s="88">
        <v>-1</v>
      </c>
      <c r="AW598" s="88">
        <v>-1.2829999999999999</v>
      </c>
      <c r="AX598" s="2">
        <f t="shared" si="1267"/>
        <v>-1.0609999999999999</v>
      </c>
      <c r="AY598" s="87">
        <v>-1.0609999999999999</v>
      </c>
      <c r="AZ598" s="88">
        <v>0.6</v>
      </c>
      <c r="BA598" s="88">
        <v>0.64600000000000002</v>
      </c>
      <c r="BB598" s="88">
        <v>0.48499999999999999</v>
      </c>
      <c r="BC598" s="2">
        <f t="shared" si="1268"/>
        <v>0.32900000000000001</v>
      </c>
      <c r="BD598" s="87">
        <v>0.32900000000000001</v>
      </c>
      <c r="BE598" s="88">
        <v>-1.7999999999999999E-2</v>
      </c>
      <c r="BF598" s="88">
        <v>-0.156</v>
      </c>
      <c r="BG598" s="88">
        <v>-0.158</v>
      </c>
      <c r="BH598" s="2">
        <f t="shared" si="1269"/>
        <v>-0.27400000000000002</v>
      </c>
      <c r="BI598" s="89">
        <v>-0.27400000000000002</v>
      </c>
      <c r="BJ598" s="2"/>
      <c r="BK598" s="2"/>
      <c r="BL598" s="2"/>
      <c r="BM598" s="2"/>
      <c r="BN598" s="86"/>
      <c r="BO598" s="2"/>
      <c r="BP598" s="2"/>
      <c r="BQ598" s="2"/>
      <c r="BR598" s="2"/>
      <c r="BS598" s="86"/>
      <c r="BT598" s="86"/>
      <c r="BU598" s="86"/>
      <c r="BV598" s="86"/>
      <c r="BW598" s="4"/>
    </row>
    <row r="599" spans="1:75" ht="15.75" customHeight="1" outlineLevel="1" x14ac:dyDescent="0.2">
      <c r="A599" s="101" t="s">
        <v>827</v>
      </c>
      <c r="B599" s="102"/>
      <c r="C599" s="104">
        <f t="shared" ref="C599:BI599" si="1278">SUM(C590:C598)</f>
        <v>-37.955000000000005</v>
      </c>
      <c r="D599" s="104">
        <f t="shared" si="1278"/>
        <v>-43.667999999999999</v>
      </c>
      <c r="E599" s="104">
        <f t="shared" si="1278"/>
        <v>-77.616</v>
      </c>
      <c r="F599" s="104">
        <f t="shared" si="1278"/>
        <v>-88.153999999999996</v>
      </c>
      <c r="G599" s="105">
        <f t="shared" si="1278"/>
        <v>-15.02</v>
      </c>
      <c r="H599" s="105">
        <f t="shared" si="1278"/>
        <v>-38.328000000000003</v>
      </c>
      <c r="I599" s="105">
        <f t="shared" si="1278"/>
        <v>-68.322999999999993</v>
      </c>
      <c r="J599" s="105">
        <f t="shared" si="1278"/>
        <v>-107.943</v>
      </c>
      <c r="K599" s="104">
        <f t="shared" si="1278"/>
        <v>-107.943</v>
      </c>
      <c r="L599" s="105">
        <f t="shared" si="1278"/>
        <v>-30.439</v>
      </c>
      <c r="M599" s="105">
        <f t="shared" si="1278"/>
        <v>-58.456000000000003</v>
      </c>
      <c r="N599" s="105">
        <f t="shared" si="1278"/>
        <v>-89.341999999999999</v>
      </c>
      <c r="O599" s="105">
        <f t="shared" si="1278"/>
        <v>-115.861</v>
      </c>
      <c r="P599" s="104">
        <f t="shared" si="1278"/>
        <v>-115.861</v>
      </c>
      <c r="Q599" s="105">
        <f t="shared" si="1278"/>
        <v>-24.698</v>
      </c>
      <c r="R599" s="105">
        <f t="shared" si="1278"/>
        <v>-60.420999999999999</v>
      </c>
      <c r="S599" s="105">
        <f t="shared" si="1278"/>
        <v>-109.869</v>
      </c>
      <c r="T599" s="105">
        <f t="shared" si="1278"/>
        <v>-155.70099999999999</v>
      </c>
      <c r="U599" s="104">
        <f t="shared" si="1278"/>
        <v>-155.70099999999999</v>
      </c>
      <c r="V599" s="105">
        <f t="shared" si="1278"/>
        <v>-23.061</v>
      </c>
      <c r="W599" s="105">
        <f t="shared" si="1278"/>
        <v>-41.131999999999998</v>
      </c>
      <c r="X599" s="105">
        <f t="shared" si="1278"/>
        <v>-71.900999999999996</v>
      </c>
      <c r="Y599" s="106">
        <f t="shared" si="1278"/>
        <v>-159.46100000000001</v>
      </c>
      <c r="Z599" s="103">
        <f t="shared" si="1278"/>
        <v>-159.46100000000001</v>
      </c>
      <c r="AA599" s="105">
        <f t="shared" si="1278"/>
        <v>-19.613</v>
      </c>
      <c r="AB599" s="105">
        <f t="shared" si="1278"/>
        <v>-53.317999999999998</v>
      </c>
      <c r="AC599" s="105">
        <f t="shared" si="1278"/>
        <v>-83.320000000000007</v>
      </c>
      <c r="AD599" s="106">
        <f t="shared" si="1278"/>
        <v>-140.43299999999999</v>
      </c>
      <c r="AE599" s="103">
        <f t="shared" si="1278"/>
        <v>-140.43299999999999</v>
      </c>
      <c r="AF599" s="105">
        <f t="shared" si="1278"/>
        <v>-30.994999999999997</v>
      </c>
      <c r="AG599" s="105">
        <f t="shared" si="1278"/>
        <v>-66.064999999999984</v>
      </c>
      <c r="AH599" s="105">
        <f t="shared" si="1278"/>
        <v>-105.85299999999999</v>
      </c>
      <c r="AI599" s="106">
        <f t="shared" si="1278"/>
        <v>-130.38900000000001</v>
      </c>
      <c r="AJ599" s="103">
        <f t="shared" si="1278"/>
        <v>-130.38900000000001</v>
      </c>
      <c r="AK599" s="106">
        <f t="shared" si="1278"/>
        <v>-27.447000000000003</v>
      </c>
      <c r="AL599" s="106">
        <f t="shared" si="1278"/>
        <v>-50.569000000000003</v>
      </c>
      <c r="AM599" s="106">
        <f t="shared" si="1278"/>
        <v>-72.555000000000007</v>
      </c>
      <c r="AN599" s="106">
        <f t="shared" si="1278"/>
        <v>-363.06</v>
      </c>
      <c r="AO599" s="103">
        <f t="shared" si="1278"/>
        <v>-363.06</v>
      </c>
      <c r="AP599" s="106">
        <f t="shared" si="1278"/>
        <v>-15.903</v>
      </c>
      <c r="AQ599" s="106">
        <f t="shared" si="1278"/>
        <v>-29.651</v>
      </c>
      <c r="AR599" s="106">
        <f t="shared" si="1278"/>
        <v>-38.635000000000005</v>
      </c>
      <c r="AS599" s="106">
        <f t="shared" si="1278"/>
        <v>-50.914000000000001</v>
      </c>
      <c r="AT599" s="103">
        <f t="shared" si="1278"/>
        <v>-50.914000000000001</v>
      </c>
      <c r="AU599" s="106">
        <f t="shared" si="1278"/>
        <v>-8.7070000000000007</v>
      </c>
      <c r="AV599" s="106">
        <f t="shared" si="1278"/>
        <v>-32.213999999999999</v>
      </c>
      <c r="AW599" s="106">
        <f t="shared" si="1278"/>
        <v>-50.923000000000002</v>
      </c>
      <c r="AX599" s="106">
        <f t="shared" si="1278"/>
        <v>-68.609999999999985</v>
      </c>
      <c r="AY599" s="103">
        <f t="shared" si="1278"/>
        <v>-68.609999999999985</v>
      </c>
      <c r="AZ599" s="106">
        <f t="shared" si="1278"/>
        <v>-28.631999999999998</v>
      </c>
      <c r="BA599" s="106">
        <f t="shared" si="1278"/>
        <v>-46.017999999999994</v>
      </c>
      <c r="BB599" s="106">
        <f t="shared" si="1278"/>
        <v>-78.057000000000002</v>
      </c>
      <c r="BC599" s="106">
        <f t="shared" si="1278"/>
        <v>-112.81500000000001</v>
      </c>
      <c r="BD599" s="103">
        <f t="shared" si="1278"/>
        <v>-112.81500000000001</v>
      </c>
      <c r="BE599" s="106">
        <f t="shared" si="1278"/>
        <v>-38.162000000000006</v>
      </c>
      <c r="BF599" s="106">
        <f t="shared" si="1278"/>
        <v>-63.207999999999998</v>
      </c>
      <c r="BG599" s="106">
        <f t="shared" si="1278"/>
        <v>-100.648</v>
      </c>
      <c r="BH599" s="106">
        <f t="shared" si="1278"/>
        <v>-153.49699999999999</v>
      </c>
      <c r="BI599" s="115">
        <f t="shared" si="1278"/>
        <v>-153.49699999999999</v>
      </c>
      <c r="BJ599" s="106"/>
      <c r="BK599" s="106"/>
      <c r="BL599" s="106"/>
      <c r="BM599" s="106"/>
      <c r="BN599" s="103"/>
      <c r="BO599" s="106"/>
      <c r="BP599" s="106"/>
      <c r="BQ599" s="106"/>
      <c r="BR599" s="106"/>
      <c r="BS599" s="103"/>
      <c r="BT599" s="103"/>
      <c r="BU599" s="103"/>
      <c r="BV599" s="103"/>
      <c r="BW599" s="83"/>
    </row>
    <row r="600" spans="1:75" ht="15.75" customHeight="1" outlineLevel="1" x14ac:dyDescent="0.2">
      <c r="A600" s="108"/>
      <c r="B600" s="108"/>
      <c r="C600" s="109"/>
      <c r="D600" s="109"/>
      <c r="E600" s="109"/>
      <c r="F600" s="109"/>
      <c r="G600" s="110"/>
      <c r="H600" s="110"/>
      <c r="I600" s="110"/>
      <c r="J600" s="110"/>
      <c r="K600" s="109"/>
      <c r="L600" s="110"/>
      <c r="M600" s="110"/>
      <c r="N600" s="110"/>
      <c r="O600" s="110"/>
      <c r="P600" s="109"/>
      <c r="Q600" s="110"/>
      <c r="R600" s="110"/>
      <c r="S600" s="110"/>
      <c r="T600" s="110"/>
      <c r="U600" s="109"/>
      <c r="V600" s="110"/>
      <c r="W600" s="110"/>
      <c r="X600" s="110"/>
      <c r="Y600" s="110"/>
      <c r="Z600" s="109"/>
      <c r="AA600" s="110"/>
      <c r="AB600" s="110"/>
      <c r="AC600" s="110"/>
      <c r="AD600" s="110"/>
      <c r="AE600" s="109"/>
      <c r="AF600" s="110"/>
      <c r="AG600" s="110"/>
      <c r="AH600" s="110"/>
      <c r="AI600" s="110"/>
      <c r="AJ600" s="109"/>
      <c r="AK600" s="110"/>
      <c r="AL600" s="110"/>
      <c r="AM600" s="110"/>
      <c r="AN600" s="110"/>
      <c r="AO600" s="109"/>
      <c r="AP600" s="110"/>
      <c r="AQ600" s="110"/>
      <c r="AR600" s="110"/>
      <c r="AS600" s="110"/>
      <c r="AT600" s="109"/>
      <c r="AU600" s="110"/>
      <c r="AV600" s="110"/>
      <c r="AW600" s="110"/>
      <c r="AX600" s="110"/>
      <c r="AY600" s="109"/>
      <c r="AZ600" s="110"/>
      <c r="BA600" s="110"/>
      <c r="BB600" s="110"/>
      <c r="BC600" s="110"/>
      <c r="BD600" s="109"/>
      <c r="BE600" s="110"/>
      <c r="BF600" s="110"/>
      <c r="BG600" s="110"/>
      <c r="BH600" s="110"/>
      <c r="BI600" s="107"/>
      <c r="BJ600" s="110"/>
      <c r="BK600" s="110"/>
      <c r="BL600" s="110"/>
      <c r="BM600" s="110"/>
      <c r="BN600" s="109"/>
      <c r="BO600" s="110"/>
      <c r="BP600" s="110"/>
      <c r="BQ600" s="110"/>
      <c r="BR600" s="110"/>
      <c r="BS600" s="109"/>
      <c r="BT600" s="109"/>
      <c r="BU600" s="109"/>
      <c r="BV600" s="109"/>
      <c r="BW600" s="83"/>
    </row>
    <row r="601" spans="1:75" ht="15.75" customHeight="1" outlineLevel="1" x14ac:dyDescent="0.2">
      <c r="A601" s="229" t="s">
        <v>828</v>
      </c>
      <c r="B601" s="108"/>
      <c r="C601" s="109"/>
      <c r="D601" s="109"/>
      <c r="E601" s="109"/>
      <c r="F601" s="109"/>
      <c r="G601" s="110"/>
      <c r="H601" s="110"/>
      <c r="I601" s="110"/>
      <c r="J601" s="110"/>
      <c r="K601" s="109"/>
      <c r="L601" s="110"/>
      <c r="M601" s="110"/>
      <c r="N601" s="110"/>
      <c r="O601" s="110"/>
      <c r="P601" s="109"/>
      <c r="Q601" s="110"/>
      <c r="R601" s="110"/>
      <c r="S601" s="110"/>
      <c r="T601" s="110"/>
      <c r="U601" s="109"/>
      <c r="V601" s="110"/>
      <c r="W601" s="110"/>
      <c r="X601" s="110"/>
      <c r="Y601" s="110"/>
      <c r="Z601" s="109"/>
      <c r="AA601" s="110"/>
      <c r="AB601" s="110"/>
      <c r="AC601" s="110"/>
      <c r="AD601" s="110"/>
      <c r="AE601" s="109"/>
      <c r="AF601" s="110"/>
      <c r="AG601" s="110"/>
      <c r="AH601" s="110"/>
      <c r="AI601" s="110"/>
      <c r="AJ601" s="109"/>
      <c r="AK601" s="110"/>
      <c r="AL601" s="110"/>
      <c r="AM601" s="110"/>
      <c r="AN601" s="110"/>
      <c r="AO601" s="109"/>
      <c r="AP601" s="110"/>
      <c r="AQ601" s="110"/>
      <c r="AR601" s="110"/>
      <c r="AS601" s="110"/>
      <c r="AT601" s="109"/>
      <c r="AU601" s="110"/>
      <c r="AV601" s="110"/>
      <c r="AW601" s="110"/>
      <c r="AX601" s="110"/>
      <c r="AY601" s="109"/>
      <c r="AZ601" s="110"/>
      <c r="BA601" s="110"/>
      <c r="BB601" s="110"/>
      <c r="BC601" s="110"/>
      <c r="BD601" s="109"/>
      <c r="BE601" s="110"/>
      <c r="BF601" s="110"/>
      <c r="BG601" s="110"/>
      <c r="BH601" s="110"/>
      <c r="BI601" s="107"/>
      <c r="BJ601" s="110"/>
      <c r="BK601" s="110"/>
      <c r="BL601" s="110"/>
      <c r="BM601" s="110"/>
      <c r="BN601" s="109"/>
      <c r="BO601" s="110"/>
      <c r="BP601" s="110"/>
      <c r="BQ601" s="110"/>
      <c r="BR601" s="110"/>
      <c r="BS601" s="109"/>
      <c r="BT601" s="109"/>
      <c r="BU601" s="109"/>
      <c r="BV601" s="109"/>
      <c r="BW601" s="83"/>
    </row>
    <row r="602" spans="1:75" ht="15.75" customHeight="1" outlineLevel="1" x14ac:dyDescent="0.2">
      <c r="A602" s="84" t="s">
        <v>437</v>
      </c>
      <c r="B602" s="85"/>
      <c r="C602" s="86"/>
      <c r="D602" s="86"/>
      <c r="E602" s="86"/>
      <c r="F602" s="86"/>
      <c r="G602" s="2"/>
      <c r="H602" s="2"/>
      <c r="I602" s="2"/>
      <c r="J602" s="2"/>
      <c r="K602" s="86"/>
      <c r="L602" s="2"/>
      <c r="M602" s="2"/>
      <c r="N602" s="2"/>
      <c r="O602" s="2"/>
      <c r="P602" s="86"/>
      <c r="Q602" s="2"/>
      <c r="R602" s="2"/>
      <c r="S602" s="2"/>
      <c r="T602" s="2"/>
      <c r="U602" s="86"/>
      <c r="V602" s="2"/>
      <c r="W602" s="2"/>
      <c r="X602" s="2"/>
      <c r="Y602" s="2"/>
      <c r="Z602" s="86"/>
      <c r="AA602" s="2"/>
      <c r="AB602" s="2"/>
      <c r="AC602" s="2"/>
      <c r="AD602" s="2"/>
      <c r="AE602" s="86"/>
      <c r="AF602" s="2"/>
      <c r="AG602" s="2"/>
      <c r="AH602" s="2"/>
      <c r="AI602" s="2"/>
      <c r="AJ602" s="86"/>
      <c r="AK602" s="2"/>
      <c r="AL602" s="2"/>
      <c r="AM602" s="2"/>
      <c r="AN602" s="2"/>
      <c r="AO602" s="86"/>
      <c r="AP602" s="2"/>
      <c r="AQ602" s="2"/>
      <c r="AR602" s="2"/>
      <c r="AS602" s="2">
        <f t="shared" ref="AS602:AS606" si="1279">AT602</f>
        <v>-17.25</v>
      </c>
      <c r="AT602" s="87">
        <v>-17.25</v>
      </c>
      <c r="AU602" s="2"/>
      <c r="AV602" s="2"/>
      <c r="AW602" s="2"/>
      <c r="AX602" s="2">
        <f t="shared" ref="AX602:AX621" si="1280">AY602</f>
        <v>-17</v>
      </c>
      <c r="AY602" s="87">
        <v>-17</v>
      </c>
      <c r="AZ602" s="88">
        <v>-7.1870000000000003</v>
      </c>
      <c r="BA602" s="88">
        <v>-7.1870000000000003</v>
      </c>
      <c r="BB602" s="88">
        <v>-7.1870000000000003</v>
      </c>
      <c r="BC602" s="2">
        <f t="shared" ref="BC602:BC621" si="1281">BD602</f>
        <v>-18.315999999999999</v>
      </c>
      <c r="BD602" s="87">
        <v>-18.315999999999999</v>
      </c>
      <c r="BE602" s="2"/>
      <c r="BF602" s="88">
        <v>-12.994</v>
      </c>
      <c r="BG602" s="88">
        <v>-24.242999999999999</v>
      </c>
      <c r="BH602" s="2">
        <f t="shared" ref="BH602:BH621" si="1282">BI602</f>
        <v>-24.242999999999999</v>
      </c>
      <c r="BI602" s="89">
        <v>-24.242999999999999</v>
      </c>
      <c r="BJ602" s="2"/>
      <c r="BK602" s="2"/>
      <c r="BL602" s="2"/>
      <c r="BM602" s="2"/>
      <c r="BN602" s="86"/>
      <c r="BO602" s="2"/>
      <c r="BP602" s="2"/>
      <c r="BQ602" s="2"/>
      <c r="BR602" s="2"/>
      <c r="BS602" s="86"/>
      <c r="BT602" s="86"/>
      <c r="BU602" s="86"/>
      <c r="BV602" s="86"/>
      <c r="BW602" s="4"/>
    </row>
    <row r="603" spans="1:75" ht="15.75" customHeight="1" outlineLevel="1" x14ac:dyDescent="0.2">
      <c r="A603" s="84" t="s">
        <v>438</v>
      </c>
      <c r="B603" s="85"/>
      <c r="C603" s="87">
        <v>6.3540000000000001</v>
      </c>
      <c r="D603" s="87">
        <v>4.1980000000000004</v>
      </c>
      <c r="E603" s="87">
        <v>5.07</v>
      </c>
      <c r="F603" s="87">
        <v>2.0979999999999999</v>
      </c>
      <c r="G603" s="2"/>
      <c r="H603" s="88">
        <v>2.9470000000000001</v>
      </c>
      <c r="I603" s="88">
        <v>5.9589999999999996</v>
      </c>
      <c r="J603" s="4">
        <f t="shared" ref="J603:J606" si="1283">K603</f>
        <v>13.672000000000001</v>
      </c>
      <c r="K603" s="87">
        <v>13.672000000000001</v>
      </c>
      <c r="L603" s="2"/>
      <c r="M603" s="88">
        <v>5.1050000000000004</v>
      </c>
      <c r="N603" s="88">
        <v>9.2569999999999997</v>
      </c>
      <c r="O603" s="4">
        <f t="shared" ref="O603:O606" si="1284">P603</f>
        <v>14.143000000000001</v>
      </c>
      <c r="P603" s="87">
        <v>14.143000000000001</v>
      </c>
      <c r="Q603" s="2"/>
      <c r="R603" s="2"/>
      <c r="S603" s="88">
        <v>3.774</v>
      </c>
      <c r="T603" s="4">
        <f t="shared" ref="T603:T606" si="1285">U603</f>
        <v>14.266</v>
      </c>
      <c r="U603" s="87">
        <v>14.266</v>
      </c>
      <c r="V603" s="2"/>
      <c r="W603" s="88">
        <v>2.673</v>
      </c>
      <c r="X603" s="88">
        <v>2.673</v>
      </c>
      <c r="Y603" s="2">
        <f t="shared" ref="Y603:Y606" si="1286">Z603</f>
        <v>17.245999999999999</v>
      </c>
      <c r="Z603" s="87">
        <v>17.245999999999999</v>
      </c>
      <c r="AA603" s="2"/>
      <c r="AB603" s="2"/>
      <c r="AC603" s="88">
        <v>3.2160000000000002</v>
      </c>
      <c r="AD603" s="2">
        <f t="shared" ref="AD603:AD606" si="1287">AE603</f>
        <v>12.128</v>
      </c>
      <c r="AE603" s="87">
        <v>12.128</v>
      </c>
      <c r="AF603" s="88">
        <v>3.61</v>
      </c>
      <c r="AG603" s="88">
        <v>3.6309999999999998</v>
      </c>
      <c r="AH603" s="88">
        <v>19.155999999999999</v>
      </c>
      <c r="AI603" s="2">
        <f t="shared" ref="AI603:AI606" si="1288">AJ603</f>
        <v>21.788</v>
      </c>
      <c r="AJ603" s="87">
        <v>21.788</v>
      </c>
      <c r="AK603" s="2"/>
      <c r="AL603" s="2"/>
      <c r="AM603" s="2"/>
      <c r="AN603" s="2">
        <f t="shared" ref="AN603:AN606" si="1289">AO603</f>
        <v>0</v>
      </c>
      <c r="AO603" s="86"/>
      <c r="AP603" s="2"/>
      <c r="AQ603" s="2"/>
      <c r="AR603" s="2"/>
      <c r="AS603" s="2">
        <f t="shared" si="1279"/>
        <v>0</v>
      </c>
      <c r="AT603" s="86"/>
      <c r="AU603" s="2"/>
      <c r="AV603" s="2"/>
      <c r="AW603" s="2"/>
      <c r="AX603" s="2">
        <f t="shared" si="1280"/>
        <v>0</v>
      </c>
      <c r="AY603" s="86"/>
      <c r="AZ603" s="2"/>
      <c r="BA603" s="2"/>
      <c r="BB603" s="2"/>
      <c r="BC603" s="2">
        <f t="shared" si="1281"/>
        <v>0</v>
      </c>
      <c r="BD603" s="86"/>
      <c r="BE603" s="2"/>
      <c r="BF603" s="2"/>
      <c r="BG603" s="2"/>
      <c r="BH603" s="2">
        <f t="shared" si="1282"/>
        <v>0</v>
      </c>
      <c r="BI603" s="90"/>
      <c r="BJ603" s="2"/>
      <c r="BK603" s="2"/>
      <c r="BL603" s="2"/>
      <c r="BM603" s="2"/>
      <c r="BN603" s="86"/>
      <c r="BO603" s="2"/>
      <c r="BP603" s="2"/>
      <c r="BQ603" s="2"/>
      <c r="BR603" s="2"/>
      <c r="BS603" s="86"/>
      <c r="BT603" s="86"/>
      <c r="BU603" s="86"/>
      <c r="BV603" s="86"/>
      <c r="BW603" s="4"/>
    </row>
    <row r="604" spans="1:75" ht="15.75" customHeight="1" outlineLevel="1" x14ac:dyDescent="0.2">
      <c r="A604" s="84" t="s">
        <v>439</v>
      </c>
      <c r="B604" s="85"/>
      <c r="C604" s="87">
        <v>-1.4359999999999999</v>
      </c>
      <c r="D604" s="87">
        <v>-1.5289999999999999</v>
      </c>
      <c r="E604" s="87">
        <v>-1.6870000000000001</v>
      </c>
      <c r="F604" s="87">
        <v>-1.887</v>
      </c>
      <c r="G604" s="88">
        <v>-0.501</v>
      </c>
      <c r="H604" s="88">
        <v>-1.0089999999999999</v>
      </c>
      <c r="I604" s="88">
        <v>-1.5569999999999999</v>
      </c>
      <c r="J604" s="4">
        <f t="shared" si="1283"/>
        <v>-2.1429999999999998</v>
      </c>
      <c r="K604" s="87">
        <v>-2.1429999999999998</v>
      </c>
      <c r="L604" s="88">
        <v>-0.61399999999999999</v>
      </c>
      <c r="M604" s="88">
        <v>-1.246</v>
      </c>
      <c r="N604" s="88">
        <v>-1.9339999999999999</v>
      </c>
      <c r="O604" s="4">
        <f t="shared" si="1284"/>
        <v>-2.65</v>
      </c>
      <c r="P604" s="87">
        <v>-2.65</v>
      </c>
      <c r="Q604" s="88">
        <v>-0.74299999999999999</v>
      </c>
      <c r="R604" s="88">
        <v>-1.4970000000000001</v>
      </c>
      <c r="S604" s="88">
        <v>-2.278</v>
      </c>
      <c r="T604" s="4">
        <f t="shared" si="1285"/>
        <v>-3.1179999999999999</v>
      </c>
      <c r="U604" s="87">
        <v>-3.1179999999999999</v>
      </c>
      <c r="V604" s="88">
        <v>-0.873</v>
      </c>
      <c r="W604" s="88">
        <v>-1.78</v>
      </c>
      <c r="X604" s="88">
        <v>-2.7050000000000001</v>
      </c>
      <c r="Y604" s="2">
        <f t="shared" si="1286"/>
        <v>-3.7210000000000001</v>
      </c>
      <c r="Z604" s="87">
        <v>-3.7210000000000001</v>
      </c>
      <c r="AA604" s="88">
        <v>-1.056</v>
      </c>
      <c r="AB604" s="88">
        <v>-2.1240000000000001</v>
      </c>
      <c r="AC604" s="88">
        <v>-3.214</v>
      </c>
      <c r="AD604" s="2">
        <f t="shared" si="1287"/>
        <v>-4.391</v>
      </c>
      <c r="AE604" s="87">
        <v>-4.391</v>
      </c>
      <c r="AF604" s="88">
        <v>-1.2509999999999999</v>
      </c>
      <c r="AG604" s="88">
        <v>-2.5089999999999999</v>
      </c>
      <c r="AH604" s="88">
        <v>-3.7989999999999999</v>
      </c>
      <c r="AI604" s="2">
        <f t="shared" si="1288"/>
        <v>-5.1280000000000001</v>
      </c>
      <c r="AJ604" s="87">
        <v>-5.1280000000000001</v>
      </c>
      <c r="AK604" s="2"/>
      <c r="AL604" s="2"/>
      <c r="AM604" s="2"/>
      <c r="AN604" s="2">
        <f t="shared" si="1289"/>
        <v>0</v>
      </c>
      <c r="AO604" s="86"/>
      <c r="AP604" s="2"/>
      <c r="AQ604" s="2"/>
      <c r="AR604" s="2"/>
      <c r="AS604" s="2">
        <f t="shared" si="1279"/>
        <v>0</v>
      </c>
      <c r="AT604" s="86"/>
      <c r="AU604" s="2"/>
      <c r="AV604" s="2"/>
      <c r="AW604" s="2"/>
      <c r="AX604" s="2">
        <f t="shared" si="1280"/>
        <v>0</v>
      </c>
      <c r="AY604" s="86"/>
      <c r="AZ604" s="2"/>
      <c r="BA604" s="2"/>
      <c r="BB604" s="2"/>
      <c r="BC604" s="2">
        <f t="shared" si="1281"/>
        <v>0</v>
      </c>
      <c r="BD604" s="86"/>
      <c r="BE604" s="2"/>
      <c r="BF604" s="2"/>
      <c r="BG604" s="2"/>
      <c r="BH604" s="2">
        <f t="shared" si="1282"/>
        <v>0</v>
      </c>
      <c r="BI604" s="90"/>
      <c r="BJ604" s="2"/>
      <c r="BK604" s="2"/>
      <c r="BL604" s="2"/>
      <c r="BM604" s="2"/>
      <c r="BN604" s="86"/>
      <c r="BO604" s="2"/>
      <c r="BP604" s="2"/>
      <c r="BQ604" s="2"/>
      <c r="BR604" s="2"/>
      <c r="BS604" s="86"/>
      <c r="BT604" s="86"/>
      <c r="BU604" s="86"/>
      <c r="BV604" s="86"/>
      <c r="BW604" s="4"/>
    </row>
    <row r="605" spans="1:75" ht="15.75" customHeight="1" outlineLevel="1" x14ac:dyDescent="0.2">
      <c r="A605" s="84" t="s">
        <v>440</v>
      </c>
      <c r="B605" s="85"/>
      <c r="C605" s="86"/>
      <c r="D605" s="86"/>
      <c r="E605" s="86"/>
      <c r="F605" s="86"/>
      <c r="G605" s="2"/>
      <c r="H605" s="2"/>
      <c r="I605" s="2"/>
      <c r="J605" s="4">
        <f t="shared" si="1283"/>
        <v>0</v>
      </c>
      <c r="K605" s="86"/>
      <c r="L605" s="88">
        <v>25</v>
      </c>
      <c r="M605" s="88">
        <v>25</v>
      </c>
      <c r="N605" s="88">
        <v>25</v>
      </c>
      <c r="O605" s="4">
        <f t="shared" si="1284"/>
        <v>25</v>
      </c>
      <c r="P605" s="87">
        <v>25</v>
      </c>
      <c r="Q605" s="88">
        <v>25</v>
      </c>
      <c r="R605" s="88">
        <v>25</v>
      </c>
      <c r="S605" s="88">
        <v>25</v>
      </c>
      <c r="T605" s="4">
        <f t="shared" si="1285"/>
        <v>60</v>
      </c>
      <c r="U605" s="87">
        <v>60</v>
      </c>
      <c r="V605" s="2"/>
      <c r="W605" s="2"/>
      <c r="X605" s="2"/>
      <c r="Y605" s="2">
        <f t="shared" si="1286"/>
        <v>35</v>
      </c>
      <c r="Z605" s="87">
        <v>35</v>
      </c>
      <c r="AA605" s="2"/>
      <c r="AB605" s="2"/>
      <c r="AC605" s="88">
        <v>30</v>
      </c>
      <c r="AD605" s="2">
        <f t="shared" si="1287"/>
        <v>85</v>
      </c>
      <c r="AE605" s="87">
        <v>85</v>
      </c>
      <c r="AF605" s="88">
        <v>30</v>
      </c>
      <c r="AG605" s="88">
        <v>30</v>
      </c>
      <c r="AH605" s="88">
        <v>45</v>
      </c>
      <c r="AI605" s="2">
        <f t="shared" si="1288"/>
        <v>70</v>
      </c>
      <c r="AJ605" s="87">
        <v>70</v>
      </c>
      <c r="AK605" s="88">
        <v>20</v>
      </c>
      <c r="AL605" s="88">
        <v>35</v>
      </c>
      <c r="AM605" s="88">
        <v>335</v>
      </c>
      <c r="AN605" s="2">
        <f t="shared" si="1289"/>
        <v>335</v>
      </c>
      <c r="AO605" s="87">
        <v>335</v>
      </c>
      <c r="AP605" s="88">
        <v>90</v>
      </c>
      <c r="AQ605" s="88">
        <v>90</v>
      </c>
      <c r="AR605" s="88">
        <v>90</v>
      </c>
      <c r="AS605" s="2">
        <f t="shared" si="1279"/>
        <v>90</v>
      </c>
      <c r="AT605" s="87">
        <v>90</v>
      </c>
      <c r="AU605" s="2"/>
      <c r="AV605" s="2"/>
      <c r="AW605" s="2"/>
      <c r="AX605" s="2">
        <f t="shared" si="1280"/>
        <v>0</v>
      </c>
      <c r="AY605" s="86"/>
      <c r="AZ605" s="2"/>
      <c r="BA605" s="2"/>
      <c r="BB605" s="2"/>
      <c r="BC605" s="2">
        <f t="shared" si="1281"/>
        <v>130</v>
      </c>
      <c r="BD605" s="87">
        <v>130</v>
      </c>
      <c r="BE605" s="2"/>
      <c r="BF605" s="2"/>
      <c r="BG605" s="2"/>
      <c r="BH605" s="2">
        <f t="shared" si="1282"/>
        <v>15</v>
      </c>
      <c r="BI605" s="89">
        <v>15</v>
      </c>
      <c r="BJ605" s="2"/>
      <c r="BK605" s="2"/>
      <c r="BL605" s="2"/>
      <c r="BM605" s="2"/>
      <c r="BN605" s="86"/>
      <c r="BO605" s="2"/>
      <c r="BP605" s="2"/>
      <c r="BQ605" s="2"/>
      <c r="BR605" s="2"/>
      <c r="BS605" s="86"/>
      <c r="BT605" s="86"/>
      <c r="BU605" s="86"/>
      <c r="BV605" s="86"/>
      <c r="BW605" s="4"/>
    </row>
    <row r="606" spans="1:75" ht="15.75" customHeight="1" outlineLevel="1" x14ac:dyDescent="0.2">
      <c r="A606" s="84" t="s">
        <v>441</v>
      </c>
      <c r="B606" s="85"/>
      <c r="C606" s="86"/>
      <c r="D606" s="87">
        <v>-100</v>
      </c>
      <c r="E606" s="86"/>
      <c r="F606" s="86"/>
      <c r="G606" s="2"/>
      <c r="H606" s="2"/>
      <c r="I606" s="2"/>
      <c r="J606" s="4">
        <f t="shared" si="1283"/>
        <v>0</v>
      </c>
      <c r="K606" s="86"/>
      <c r="L606" s="2"/>
      <c r="M606" s="2"/>
      <c r="N606" s="2"/>
      <c r="O606" s="4">
        <f t="shared" si="1284"/>
        <v>-25</v>
      </c>
      <c r="P606" s="87">
        <v>-25</v>
      </c>
      <c r="Q606" s="2"/>
      <c r="R606" s="2"/>
      <c r="S606" s="88">
        <v>-25</v>
      </c>
      <c r="T606" s="4">
        <f t="shared" si="1285"/>
        <v>-60</v>
      </c>
      <c r="U606" s="87">
        <v>-60</v>
      </c>
      <c r="V606" s="2"/>
      <c r="W606" s="2"/>
      <c r="X606" s="2"/>
      <c r="Y606" s="2">
        <f t="shared" si="1286"/>
        <v>-35</v>
      </c>
      <c r="Z606" s="87">
        <v>-35</v>
      </c>
      <c r="AA606" s="2"/>
      <c r="AB606" s="2"/>
      <c r="AC606" s="2"/>
      <c r="AD606" s="2">
        <f t="shared" si="1287"/>
        <v>-75</v>
      </c>
      <c r="AE606" s="87">
        <v>-75</v>
      </c>
      <c r="AF606" s="88">
        <v>-10</v>
      </c>
      <c r="AG606" s="88">
        <v>-20</v>
      </c>
      <c r="AH606" s="88">
        <v>-35</v>
      </c>
      <c r="AI606" s="2">
        <f t="shared" si="1288"/>
        <v>-70</v>
      </c>
      <c r="AJ606" s="87">
        <v>-70</v>
      </c>
      <c r="AK606" s="88">
        <v>-10</v>
      </c>
      <c r="AL606" s="88">
        <v>-10</v>
      </c>
      <c r="AM606" s="88">
        <v>-10</v>
      </c>
      <c r="AN606" s="2">
        <f t="shared" si="1289"/>
        <v>-55</v>
      </c>
      <c r="AO606" s="87">
        <v>-55</v>
      </c>
      <c r="AP606" s="2"/>
      <c r="AQ606" s="88">
        <v>-4</v>
      </c>
      <c r="AR606" s="88">
        <v>-4</v>
      </c>
      <c r="AS606" s="2">
        <f t="shared" si="1279"/>
        <v>-100</v>
      </c>
      <c r="AT606" s="87">
        <v>-100</v>
      </c>
      <c r="AU606" s="2"/>
      <c r="AV606" s="88">
        <v>-150</v>
      </c>
      <c r="AW606" s="88">
        <v>-150</v>
      </c>
      <c r="AX606" s="2">
        <f t="shared" si="1280"/>
        <v>-150</v>
      </c>
      <c r="AY606" s="87">
        <v>-150</v>
      </c>
      <c r="AZ606" s="2"/>
      <c r="BA606" s="2"/>
      <c r="BB606" s="2"/>
      <c r="BC606" s="2">
        <f t="shared" si="1281"/>
        <v>-130</v>
      </c>
      <c r="BD606" s="87">
        <v>-130</v>
      </c>
      <c r="BE606" s="2"/>
      <c r="BF606" s="2"/>
      <c r="BG606" s="2"/>
      <c r="BH606" s="2">
        <f t="shared" si="1282"/>
        <v>-15</v>
      </c>
      <c r="BI606" s="89">
        <v>-15</v>
      </c>
      <c r="BJ606" s="2"/>
      <c r="BK606" s="2"/>
      <c r="BL606" s="2"/>
      <c r="BM606" s="2"/>
      <c r="BN606" s="86"/>
      <c r="BO606" s="2"/>
      <c r="BP606" s="2"/>
      <c r="BQ606" s="2"/>
      <c r="BR606" s="2"/>
      <c r="BS606" s="86"/>
      <c r="BT606" s="86"/>
      <c r="BU606" s="86"/>
      <c r="BV606" s="86"/>
      <c r="BW606" s="4"/>
    </row>
    <row r="607" spans="1:75" ht="15.75" customHeight="1" outlineLevel="1" x14ac:dyDescent="0.2">
      <c r="A607" s="84" t="s">
        <v>442</v>
      </c>
      <c r="B607" s="85"/>
      <c r="C607" s="86"/>
      <c r="D607" s="86"/>
      <c r="E607" s="86"/>
      <c r="F607" s="86"/>
      <c r="G607" s="2"/>
      <c r="H607" s="2"/>
      <c r="I607" s="2"/>
      <c r="J607" s="2"/>
      <c r="K607" s="86"/>
      <c r="L607" s="2"/>
      <c r="M607" s="2"/>
      <c r="N607" s="2"/>
      <c r="O607" s="2"/>
      <c r="P607" s="86"/>
      <c r="Q607" s="2"/>
      <c r="R607" s="2"/>
      <c r="S607" s="2"/>
      <c r="T607" s="2"/>
      <c r="U607" s="86"/>
      <c r="V607" s="2"/>
      <c r="W607" s="2"/>
      <c r="X607" s="2"/>
      <c r="Y607" s="2"/>
      <c r="Z607" s="86"/>
      <c r="AA607" s="2"/>
      <c r="AB607" s="2"/>
      <c r="AC607" s="2"/>
      <c r="AD607" s="2"/>
      <c r="AE607" s="86"/>
      <c r="AF607" s="2"/>
      <c r="AG607" s="2"/>
      <c r="AH607" s="2"/>
      <c r="AI607" s="2"/>
      <c r="AJ607" s="86"/>
      <c r="AK607" s="2"/>
      <c r="AL607" s="2"/>
      <c r="AM607" s="2"/>
      <c r="AN607" s="2"/>
      <c r="AO607" s="86"/>
      <c r="AP607" s="2"/>
      <c r="AQ607" s="2"/>
      <c r="AR607" s="2"/>
      <c r="AS607" s="2"/>
      <c r="AT607" s="86"/>
      <c r="AU607" s="2"/>
      <c r="AV607" s="88">
        <v>345</v>
      </c>
      <c r="AW607" s="88">
        <v>345</v>
      </c>
      <c r="AX607" s="2">
        <f t="shared" si="1280"/>
        <v>345</v>
      </c>
      <c r="AY607" s="87">
        <v>345</v>
      </c>
      <c r="AZ607" s="2"/>
      <c r="BA607" s="2"/>
      <c r="BB607" s="2"/>
      <c r="BC607" s="2">
        <f t="shared" si="1281"/>
        <v>0</v>
      </c>
      <c r="BD607" s="86"/>
      <c r="BE607" s="2"/>
      <c r="BF607" s="2"/>
      <c r="BG607" s="2"/>
      <c r="BH607" s="2">
        <f t="shared" si="1282"/>
        <v>0</v>
      </c>
      <c r="BI607" s="90"/>
      <c r="BJ607" s="2"/>
      <c r="BK607" s="2"/>
      <c r="BL607" s="2"/>
      <c r="BM607" s="2"/>
      <c r="BN607" s="86"/>
      <c r="BO607" s="2"/>
      <c r="BP607" s="2"/>
      <c r="BQ607" s="2"/>
      <c r="BR607" s="2"/>
      <c r="BS607" s="86"/>
      <c r="BT607" s="86"/>
      <c r="BU607" s="86"/>
      <c r="BV607" s="86"/>
      <c r="BW607" s="4"/>
    </row>
    <row r="608" spans="1:75" ht="15.75" customHeight="1" outlineLevel="1" x14ac:dyDescent="0.2">
      <c r="A608" s="84" t="s">
        <v>443</v>
      </c>
      <c r="B608" s="85"/>
      <c r="C608" s="86"/>
      <c r="D608" s="86"/>
      <c r="E608" s="86"/>
      <c r="F608" s="86"/>
      <c r="G608" s="2"/>
      <c r="H608" s="2"/>
      <c r="I608" s="2"/>
      <c r="J608" s="2"/>
      <c r="K608" s="86"/>
      <c r="L608" s="2"/>
      <c r="M608" s="2"/>
      <c r="N608" s="2"/>
      <c r="O608" s="2"/>
      <c r="P608" s="86"/>
      <c r="Q608" s="2"/>
      <c r="R608" s="2"/>
      <c r="S608" s="2"/>
      <c r="T608" s="2"/>
      <c r="U608" s="86"/>
      <c r="V608" s="2"/>
      <c r="W608" s="2"/>
      <c r="X608" s="2"/>
      <c r="Y608" s="2"/>
      <c r="Z608" s="86"/>
      <c r="AA608" s="2"/>
      <c r="AB608" s="2"/>
      <c r="AC608" s="2"/>
      <c r="AD608" s="2"/>
      <c r="AE608" s="86"/>
      <c r="AF608" s="2"/>
      <c r="AG608" s="2"/>
      <c r="AH608" s="2"/>
      <c r="AI608" s="2"/>
      <c r="AJ608" s="86"/>
      <c r="AK608" s="2"/>
      <c r="AL608" s="2"/>
      <c r="AM608" s="2"/>
      <c r="AN608" s="2"/>
      <c r="AO608" s="86"/>
      <c r="AP608" s="2"/>
      <c r="AQ608" s="2"/>
      <c r="AR608" s="2"/>
      <c r="AS608" s="2"/>
      <c r="AT608" s="86"/>
      <c r="AU608" s="2"/>
      <c r="AV608" s="88">
        <v>-10.074</v>
      </c>
      <c r="AW608" s="88">
        <v>-10.074</v>
      </c>
      <c r="AX608" s="2">
        <f t="shared" si="1280"/>
        <v>-10.074</v>
      </c>
      <c r="AY608" s="87">
        <v>-10.074</v>
      </c>
      <c r="AZ608" s="2"/>
      <c r="BA608" s="2"/>
      <c r="BB608" s="2"/>
      <c r="BC608" s="2">
        <f t="shared" si="1281"/>
        <v>0</v>
      </c>
      <c r="BD608" s="86"/>
      <c r="BE608" s="2"/>
      <c r="BF608" s="2"/>
      <c r="BG608" s="2"/>
      <c r="BH608" s="2">
        <f t="shared" si="1282"/>
        <v>0</v>
      </c>
      <c r="BI608" s="90"/>
      <c r="BJ608" s="2"/>
      <c r="BK608" s="2"/>
      <c r="BL608" s="2"/>
      <c r="BM608" s="2"/>
      <c r="BN608" s="86"/>
      <c r="BO608" s="2"/>
      <c r="BP608" s="2"/>
      <c r="BQ608" s="2"/>
      <c r="BR608" s="2"/>
      <c r="BS608" s="86"/>
      <c r="BT608" s="86"/>
      <c r="BU608" s="86"/>
      <c r="BV608" s="86"/>
      <c r="BW608" s="4"/>
    </row>
    <row r="609" spans="1:75" ht="15.75" customHeight="1" outlineLevel="1" x14ac:dyDescent="0.2">
      <c r="A609" s="84" t="s">
        <v>444</v>
      </c>
      <c r="B609" s="85"/>
      <c r="C609" s="87">
        <v>1.6830000000000001</v>
      </c>
      <c r="D609" s="87">
        <v>30.577000000000002</v>
      </c>
      <c r="E609" s="87">
        <v>16.146000000000001</v>
      </c>
      <c r="F609" s="87">
        <v>39.283000000000001</v>
      </c>
      <c r="G609" s="88">
        <v>20.027999999999999</v>
      </c>
      <c r="H609" s="88">
        <v>49.420999999999999</v>
      </c>
      <c r="I609" s="88">
        <v>63.012</v>
      </c>
      <c r="J609" s="4">
        <f t="shared" ref="J609:J612" si="1290">K609</f>
        <v>72.896000000000001</v>
      </c>
      <c r="K609" s="87">
        <v>72.896000000000001</v>
      </c>
      <c r="L609" s="88">
        <v>5.899</v>
      </c>
      <c r="M609" s="88">
        <v>8.6199999999999992</v>
      </c>
      <c r="N609" s="88">
        <v>12.772</v>
      </c>
      <c r="O609" s="4">
        <f t="shared" ref="O609:O612" si="1291">P609</f>
        <v>22.94</v>
      </c>
      <c r="P609" s="87">
        <v>22.94</v>
      </c>
      <c r="Q609" s="88">
        <v>5.6689999999999996</v>
      </c>
      <c r="R609" s="88">
        <v>16.891999999999999</v>
      </c>
      <c r="S609" s="88">
        <v>25.448</v>
      </c>
      <c r="T609" s="4">
        <f t="shared" ref="T609:T612" si="1292">U609</f>
        <v>27.997</v>
      </c>
      <c r="U609" s="87">
        <v>27.997</v>
      </c>
      <c r="V609" s="88">
        <v>11.645</v>
      </c>
      <c r="W609" s="88">
        <v>13.795</v>
      </c>
      <c r="X609" s="88">
        <v>18.922999999999998</v>
      </c>
      <c r="Y609" s="2">
        <f t="shared" ref="Y609:Y612" si="1293">Z609</f>
        <v>28.378</v>
      </c>
      <c r="Z609" s="87">
        <v>28.378</v>
      </c>
      <c r="AA609" s="88">
        <v>5.3680000000000003</v>
      </c>
      <c r="AB609" s="88">
        <v>7.7089999999999996</v>
      </c>
      <c r="AC609" s="88">
        <v>8.1</v>
      </c>
      <c r="AD609" s="2">
        <f t="shared" ref="AD609:AD612" si="1294">AE609</f>
        <v>9.0359999999999996</v>
      </c>
      <c r="AE609" s="87">
        <v>9.0359999999999996</v>
      </c>
      <c r="AF609" s="88">
        <v>0.54</v>
      </c>
      <c r="AG609" s="88">
        <v>6.3170000000000002</v>
      </c>
      <c r="AH609" s="88">
        <v>7.3369999999999997</v>
      </c>
      <c r="AI609" s="2">
        <f t="shared" ref="AI609:AI612" si="1295">AJ609</f>
        <v>8.5760000000000005</v>
      </c>
      <c r="AJ609" s="87">
        <v>8.5760000000000005</v>
      </c>
      <c r="AK609" s="88">
        <v>5.5410000000000004</v>
      </c>
      <c r="AL609" s="88">
        <v>6.1909999999999998</v>
      </c>
      <c r="AM609" s="88">
        <v>6.516</v>
      </c>
      <c r="AN609" s="2">
        <f t="shared" ref="AN609:AN612" si="1296">AO609</f>
        <v>7.7240000000000002</v>
      </c>
      <c r="AO609" s="87">
        <v>7.7240000000000002</v>
      </c>
      <c r="AP609" s="88">
        <v>0.113</v>
      </c>
      <c r="AQ609" s="88">
        <v>0.113</v>
      </c>
      <c r="AR609" s="88">
        <v>0.113</v>
      </c>
      <c r="AS609" s="2">
        <f t="shared" ref="AS609:AS614" si="1297">AT609</f>
        <v>0.61099999999999999</v>
      </c>
      <c r="AT609" s="87">
        <v>0.61099999999999999</v>
      </c>
      <c r="AU609" s="88">
        <v>20.422999999999998</v>
      </c>
      <c r="AV609" s="88">
        <v>24.785</v>
      </c>
      <c r="AW609" s="88">
        <v>24.785</v>
      </c>
      <c r="AX609" s="2">
        <f t="shared" si="1280"/>
        <v>24.786000000000001</v>
      </c>
      <c r="AY609" s="87">
        <v>24.786000000000001</v>
      </c>
      <c r="AZ609" s="88">
        <v>8.3000000000000004E-2</v>
      </c>
      <c r="BA609" s="88">
        <v>8.3000000000000004E-2</v>
      </c>
      <c r="BB609" s="88">
        <v>8.4000000000000005E-2</v>
      </c>
      <c r="BC609" s="2">
        <f t="shared" si="1281"/>
        <v>8.4000000000000005E-2</v>
      </c>
      <c r="BD609" s="87">
        <v>8.4000000000000005E-2</v>
      </c>
      <c r="BE609" s="2"/>
      <c r="BF609" s="2"/>
      <c r="BG609" s="2"/>
      <c r="BH609" s="2">
        <f t="shared" si="1282"/>
        <v>0</v>
      </c>
      <c r="BI609" s="90"/>
      <c r="BJ609" s="2"/>
      <c r="BK609" s="2"/>
      <c r="BL609" s="2"/>
      <c r="BM609" s="2"/>
      <c r="BN609" s="86"/>
      <c r="BO609" s="2"/>
      <c r="BP609" s="2"/>
      <c r="BQ609" s="2"/>
      <c r="BR609" s="2"/>
      <c r="BS609" s="86"/>
      <c r="BT609" s="86"/>
      <c r="BU609" s="86"/>
      <c r="BV609" s="86"/>
      <c r="BW609" s="4"/>
    </row>
    <row r="610" spans="1:75" ht="15.75" customHeight="1" outlineLevel="1" x14ac:dyDescent="0.2">
      <c r="A610" s="84" t="s">
        <v>420</v>
      </c>
      <c r="B610" s="85"/>
      <c r="C610" s="87">
        <v>0.85699999999999998</v>
      </c>
      <c r="D610" s="87">
        <v>3.3570000000000002</v>
      </c>
      <c r="E610" s="87">
        <v>0.74099999999999999</v>
      </c>
      <c r="F610" s="87">
        <v>2.8010000000000002</v>
      </c>
      <c r="G610" s="88">
        <v>2.181</v>
      </c>
      <c r="H610" s="88">
        <v>3.2650000000000001</v>
      </c>
      <c r="I610" s="88">
        <v>5.15</v>
      </c>
      <c r="J610" s="4">
        <f t="shared" si="1290"/>
        <v>7.7649999999999997</v>
      </c>
      <c r="K610" s="87">
        <v>7.7649999999999997</v>
      </c>
      <c r="L610" s="88">
        <v>3.851</v>
      </c>
      <c r="M610" s="88">
        <v>4.923</v>
      </c>
      <c r="N610" s="88">
        <v>6.2119999999999997</v>
      </c>
      <c r="O610" s="4">
        <f t="shared" si="1291"/>
        <v>8.8610000000000007</v>
      </c>
      <c r="P610" s="87">
        <v>8.8610000000000007</v>
      </c>
      <c r="Q610" s="88">
        <v>4.3170000000000002</v>
      </c>
      <c r="R610" s="88">
        <v>7.8259999999999996</v>
      </c>
      <c r="S610" s="88">
        <v>11.66</v>
      </c>
      <c r="T610" s="4">
        <f t="shared" si="1292"/>
        <v>12.308999999999999</v>
      </c>
      <c r="U610" s="87">
        <v>12.308999999999999</v>
      </c>
      <c r="V610" s="88">
        <v>6.0339999999999998</v>
      </c>
      <c r="W610" s="88">
        <v>6.6349999999999998</v>
      </c>
      <c r="X610" s="88">
        <v>8.5210000000000008</v>
      </c>
      <c r="Y610" s="2">
        <f t="shared" si="1293"/>
        <v>13.861000000000001</v>
      </c>
      <c r="Z610" s="87">
        <v>13.861000000000001</v>
      </c>
      <c r="AA610" s="2"/>
      <c r="AB610" s="2"/>
      <c r="AC610" s="2"/>
      <c r="AD610" s="2">
        <f t="shared" si="1294"/>
        <v>0</v>
      </c>
      <c r="AE610" s="87">
        <v>0</v>
      </c>
      <c r="AF610" s="2"/>
      <c r="AG610" s="2"/>
      <c r="AH610" s="2"/>
      <c r="AI610" s="2">
        <f t="shared" si="1295"/>
        <v>0</v>
      </c>
      <c r="AJ610" s="86"/>
      <c r="AK610" s="2"/>
      <c r="AL610" s="2"/>
      <c r="AM610" s="2"/>
      <c r="AN610" s="2">
        <f t="shared" si="1296"/>
        <v>0</v>
      </c>
      <c r="AO610" s="86"/>
      <c r="AP610" s="2"/>
      <c r="AQ610" s="2"/>
      <c r="AR610" s="2"/>
      <c r="AS610" s="2">
        <f t="shared" si="1297"/>
        <v>0</v>
      </c>
      <c r="AT610" s="86"/>
      <c r="AU610" s="2"/>
      <c r="AV610" s="2"/>
      <c r="AW610" s="2"/>
      <c r="AX610" s="2">
        <f t="shared" si="1280"/>
        <v>0</v>
      </c>
      <c r="AY610" s="86"/>
      <c r="AZ610" s="2"/>
      <c r="BA610" s="2"/>
      <c r="BB610" s="2"/>
      <c r="BC610" s="2">
        <f t="shared" si="1281"/>
        <v>0</v>
      </c>
      <c r="BD610" s="86"/>
      <c r="BE610" s="2"/>
      <c r="BF610" s="2"/>
      <c r="BG610" s="2"/>
      <c r="BH610" s="2">
        <f t="shared" si="1282"/>
        <v>0</v>
      </c>
      <c r="BI610" s="90"/>
      <c r="BJ610" s="2"/>
      <c r="BK610" s="2"/>
      <c r="BL610" s="2"/>
      <c r="BM610" s="2"/>
      <c r="BN610" s="86"/>
      <c r="BO610" s="2"/>
      <c r="BP610" s="2"/>
      <c r="BQ610" s="2"/>
      <c r="BR610" s="2"/>
      <c r="BS610" s="86"/>
      <c r="BT610" s="86"/>
      <c r="BU610" s="86"/>
      <c r="BV610" s="86"/>
      <c r="BW610" s="4"/>
    </row>
    <row r="611" spans="1:75" ht="15.75" customHeight="1" outlineLevel="1" x14ac:dyDescent="0.2">
      <c r="A611" s="84" t="s">
        <v>445</v>
      </c>
      <c r="B611" s="85"/>
      <c r="C611" s="87">
        <v>-175</v>
      </c>
      <c r="D611" s="86"/>
      <c r="E611" s="86"/>
      <c r="F611" s="86"/>
      <c r="G611" s="2"/>
      <c r="H611" s="2"/>
      <c r="I611" s="2"/>
      <c r="J611" s="4">
        <f t="shared" si="1290"/>
        <v>0</v>
      </c>
      <c r="K611" s="86"/>
      <c r="L611" s="2"/>
      <c r="M611" s="2"/>
      <c r="N611" s="2"/>
      <c r="O611" s="4">
        <f t="shared" si="1291"/>
        <v>0</v>
      </c>
      <c r="P611" s="86"/>
      <c r="Q611" s="2"/>
      <c r="R611" s="2"/>
      <c r="S611" s="2"/>
      <c r="T611" s="4">
        <f t="shared" si="1292"/>
        <v>0</v>
      </c>
      <c r="U611" s="86"/>
      <c r="V611" s="2"/>
      <c r="W611" s="2"/>
      <c r="X611" s="2"/>
      <c r="Y611" s="2">
        <f t="shared" si="1293"/>
        <v>0</v>
      </c>
      <c r="Z611" s="86"/>
      <c r="AA611" s="2"/>
      <c r="AB611" s="2"/>
      <c r="AC611" s="2"/>
      <c r="AD611" s="2">
        <f t="shared" si="1294"/>
        <v>0</v>
      </c>
      <c r="AE611" s="86"/>
      <c r="AF611" s="2"/>
      <c r="AG611" s="2"/>
      <c r="AH611" s="2"/>
      <c r="AI611" s="2">
        <f t="shared" si="1295"/>
        <v>0</v>
      </c>
      <c r="AJ611" s="86"/>
      <c r="AK611" s="2"/>
      <c r="AL611" s="2"/>
      <c r="AM611" s="2"/>
      <c r="AN611" s="2">
        <f t="shared" si="1296"/>
        <v>0</v>
      </c>
      <c r="AO611" s="86"/>
      <c r="AP611" s="2"/>
      <c r="AQ611" s="2"/>
      <c r="AR611" s="2"/>
      <c r="AS611" s="2">
        <f t="shared" si="1297"/>
        <v>0</v>
      </c>
      <c r="AT611" s="86"/>
      <c r="AU611" s="2"/>
      <c r="AV611" s="2"/>
      <c r="AW611" s="2"/>
      <c r="AX611" s="2">
        <f t="shared" si="1280"/>
        <v>0</v>
      </c>
      <c r="AY611" s="86"/>
      <c r="AZ611" s="2"/>
      <c r="BA611" s="2"/>
      <c r="BB611" s="2"/>
      <c r="BC611" s="2">
        <f t="shared" si="1281"/>
        <v>0</v>
      </c>
      <c r="BD611" s="86"/>
      <c r="BE611" s="2"/>
      <c r="BF611" s="2"/>
      <c r="BG611" s="2"/>
      <c r="BH611" s="2">
        <f t="shared" si="1282"/>
        <v>0</v>
      </c>
      <c r="BI611" s="90"/>
      <c r="BJ611" s="2"/>
      <c r="BK611" s="2"/>
      <c r="BL611" s="2"/>
      <c r="BM611" s="2"/>
      <c r="BN611" s="86"/>
      <c r="BO611" s="2"/>
      <c r="BP611" s="2"/>
      <c r="BQ611" s="2"/>
      <c r="BR611" s="2"/>
      <c r="BS611" s="86"/>
      <c r="BT611" s="86"/>
      <c r="BU611" s="86"/>
      <c r="BV611" s="86"/>
      <c r="BW611" s="4"/>
    </row>
    <row r="612" spans="1:75" ht="15.75" customHeight="1" outlineLevel="1" x14ac:dyDescent="0.2">
      <c r="A612" s="84" t="s">
        <v>446</v>
      </c>
      <c r="B612" s="85"/>
      <c r="C612" s="86"/>
      <c r="D612" s="86"/>
      <c r="E612" s="86"/>
      <c r="F612" s="87">
        <v>-12.762</v>
      </c>
      <c r="G612" s="88">
        <v>-6.2549999999999999</v>
      </c>
      <c r="H612" s="88">
        <v>-12.605</v>
      </c>
      <c r="I612" s="88">
        <v>-19.97</v>
      </c>
      <c r="J612" s="4">
        <f t="shared" si="1290"/>
        <v>-27.190999999999999</v>
      </c>
      <c r="K612" s="87">
        <v>-27.190999999999999</v>
      </c>
      <c r="L612" s="88">
        <v>-7.2140000000000004</v>
      </c>
      <c r="M612" s="88">
        <v>-14.137</v>
      </c>
      <c r="N612" s="88">
        <v>-22.225999999999999</v>
      </c>
      <c r="O612" s="4">
        <f t="shared" si="1291"/>
        <v>-30.332000000000001</v>
      </c>
      <c r="P612" s="87">
        <v>-30.332000000000001</v>
      </c>
      <c r="Q612" s="88">
        <v>-8.4429999999999996</v>
      </c>
      <c r="R612" s="88">
        <v>-16.437999999999999</v>
      </c>
      <c r="S612" s="88">
        <v>-26.207000000000001</v>
      </c>
      <c r="T612" s="4">
        <f t="shared" si="1292"/>
        <v>-35.969000000000001</v>
      </c>
      <c r="U612" s="87">
        <v>-35.969000000000001</v>
      </c>
      <c r="V612" s="88">
        <v>-9.9390000000000001</v>
      </c>
      <c r="W612" s="88">
        <v>-19.582999999999998</v>
      </c>
      <c r="X612" s="88">
        <v>-31.048999999999999</v>
      </c>
      <c r="Y612" s="2">
        <f t="shared" si="1293"/>
        <v>-42.371000000000002</v>
      </c>
      <c r="Z612" s="87">
        <v>-42.371000000000002</v>
      </c>
      <c r="AA612" s="88">
        <v>-11.685</v>
      </c>
      <c r="AB612" s="88">
        <v>-23.177</v>
      </c>
      <c r="AC612" s="88">
        <v>-36.631999999999998</v>
      </c>
      <c r="AD612" s="2">
        <f t="shared" si="1294"/>
        <v>-49.889000000000003</v>
      </c>
      <c r="AE612" s="87">
        <v>-49.889000000000003</v>
      </c>
      <c r="AF612" s="88">
        <v>-13.167999999999999</v>
      </c>
      <c r="AG612" s="88">
        <v>-26.521000000000001</v>
      </c>
      <c r="AH612" s="88">
        <v>-41.448999999999998</v>
      </c>
      <c r="AI612" s="2">
        <f t="shared" si="1295"/>
        <v>-56.250999999999998</v>
      </c>
      <c r="AJ612" s="87">
        <v>-56.250999999999998</v>
      </c>
      <c r="AK612" s="88">
        <v>-14.628</v>
      </c>
      <c r="AL612" s="88">
        <v>-29.286999999999999</v>
      </c>
      <c r="AM612" s="88">
        <v>-44.99</v>
      </c>
      <c r="AN612" s="2">
        <f t="shared" si="1296"/>
        <v>-60.722000000000001</v>
      </c>
      <c r="AO612" s="87">
        <v>-60.722000000000001</v>
      </c>
      <c r="AP612" s="88">
        <v>-15.791</v>
      </c>
      <c r="AQ612" s="88">
        <v>-15.791</v>
      </c>
      <c r="AR612" s="88">
        <v>-15.791</v>
      </c>
      <c r="AS612" s="2">
        <f t="shared" si="1297"/>
        <v>-15.791</v>
      </c>
      <c r="AT612" s="87">
        <v>-15.791</v>
      </c>
      <c r="AU612" s="88">
        <v>-2.1789999999999998</v>
      </c>
      <c r="AV612" s="88">
        <v>-0.33700000000000002</v>
      </c>
      <c r="AW612" s="88">
        <v>-0.33700000000000002</v>
      </c>
      <c r="AX612" s="2">
        <f t="shared" si="1280"/>
        <v>-0.33700000000000002</v>
      </c>
      <c r="AY612" s="87">
        <v>-0.33700000000000002</v>
      </c>
      <c r="AZ612" s="2"/>
      <c r="BA612" s="88">
        <v>-14.288</v>
      </c>
      <c r="BB612" s="88">
        <v>-28.35</v>
      </c>
      <c r="BC612" s="2">
        <f t="shared" si="1281"/>
        <v>-42.271999999999998</v>
      </c>
      <c r="BD612" s="87">
        <v>-42.271999999999998</v>
      </c>
      <c r="BE612" s="88">
        <v>-13.182</v>
      </c>
      <c r="BF612" s="88">
        <v>-26.998000000000001</v>
      </c>
      <c r="BG612" s="88">
        <v>-40.125999999999998</v>
      </c>
      <c r="BH612" s="2">
        <f t="shared" si="1282"/>
        <v>-53.207000000000001</v>
      </c>
      <c r="BI612" s="89">
        <v>-53.207000000000001</v>
      </c>
      <c r="BJ612" s="2"/>
      <c r="BK612" s="2"/>
      <c r="BL612" s="2"/>
      <c r="BM612" s="2"/>
      <c r="BN612" s="86"/>
      <c r="BO612" s="2"/>
      <c r="BP612" s="2"/>
      <c r="BQ612" s="2"/>
      <c r="BR612" s="2"/>
      <c r="BS612" s="86"/>
      <c r="BT612" s="86"/>
      <c r="BU612" s="86"/>
      <c r="BV612" s="86"/>
      <c r="BW612" s="4"/>
    </row>
    <row r="613" spans="1:75" ht="15.75" customHeight="1" outlineLevel="1" x14ac:dyDescent="0.2">
      <c r="A613" s="84" t="s">
        <v>447</v>
      </c>
      <c r="B613" s="85"/>
      <c r="C613" s="86"/>
      <c r="D613" s="86"/>
      <c r="E613" s="86"/>
      <c r="F613" s="86"/>
      <c r="G613" s="2"/>
      <c r="H613" s="2"/>
      <c r="I613" s="2"/>
      <c r="J613" s="2"/>
      <c r="K613" s="86"/>
      <c r="L613" s="2"/>
      <c r="M613" s="2"/>
      <c r="N613" s="2"/>
      <c r="O613" s="2"/>
      <c r="P613" s="86"/>
      <c r="Q613" s="2"/>
      <c r="R613" s="2"/>
      <c r="S613" s="2"/>
      <c r="T613" s="2"/>
      <c r="U613" s="86"/>
      <c r="V613" s="2"/>
      <c r="W613" s="2"/>
      <c r="X613" s="2"/>
      <c r="Y613" s="2"/>
      <c r="Z613" s="86"/>
      <c r="AA613" s="2"/>
      <c r="AB613" s="2"/>
      <c r="AC613" s="2"/>
      <c r="AD613" s="2"/>
      <c r="AE613" s="86"/>
      <c r="AF613" s="2"/>
      <c r="AG613" s="2"/>
      <c r="AH613" s="2"/>
      <c r="AI613" s="2"/>
      <c r="AJ613" s="86"/>
      <c r="AK613" s="2"/>
      <c r="AL613" s="2"/>
      <c r="AM613" s="2"/>
      <c r="AN613" s="2"/>
      <c r="AO613" s="86"/>
      <c r="AP613" s="2"/>
      <c r="AQ613" s="88">
        <v>200</v>
      </c>
      <c r="AR613" s="88">
        <v>200</v>
      </c>
      <c r="AS613" s="2">
        <f t="shared" si="1297"/>
        <v>200</v>
      </c>
      <c r="AT613" s="87">
        <v>200</v>
      </c>
      <c r="AU613" s="2"/>
      <c r="AV613" s="2"/>
      <c r="AW613" s="2"/>
      <c r="AX613" s="2">
        <f t="shared" si="1280"/>
        <v>0</v>
      </c>
      <c r="AY613" s="86"/>
      <c r="AZ613" s="2"/>
      <c r="BA613" s="2"/>
      <c r="BB613" s="2"/>
      <c r="BC613" s="2">
        <f t="shared" si="1281"/>
        <v>0</v>
      </c>
      <c r="BD613" s="86"/>
      <c r="BE613" s="2"/>
      <c r="BF613" s="2"/>
      <c r="BG613" s="2"/>
      <c r="BH613" s="2">
        <f t="shared" si="1282"/>
        <v>0</v>
      </c>
      <c r="BI613" s="90"/>
      <c r="BJ613" s="2"/>
      <c r="BK613" s="2"/>
      <c r="BL613" s="2"/>
      <c r="BM613" s="2"/>
      <c r="BN613" s="86"/>
      <c r="BO613" s="2"/>
      <c r="BP613" s="2"/>
      <c r="BQ613" s="2"/>
      <c r="BR613" s="2"/>
      <c r="BS613" s="86"/>
      <c r="BT613" s="86"/>
      <c r="BU613" s="86"/>
      <c r="BV613" s="86"/>
      <c r="BW613" s="4"/>
    </row>
    <row r="614" spans="1:75" ht="15.75" customHeight="1" outlineLevel="1" x14ac:dyDescent="0.2">
      <c r="A614" s="84" t="s">
        <v>448</v>
      </c>
      <c r="B614" s="85"/>
      <c r="C614" s="86"/>
      <c r="D614" s="86"/>
      <c r="E614" s="86"/>
      <c r="F614" s="86"/>
      <c r="G614" s="2"/>
      <c r="H614" s="2"/>
      <c r="I614" s="2"/>
      <c r="J614" s="2"/>
      <c r="K614" s="86"/>
      <c r="L614" s="2"/>
      <c r="M614" s="2"/>
      <c r="N614" s="2"/>
      <c r="O614" s="2"/>
      <c r="P614" s="86"/>
      <c r="Q614" s="2"/>
      <c r="R614" s="2"/>
      <c r="S614" s="2"/>
      <c r="T614" s="2"/>
      <c r="U614" s="86"/>
      <c r="V614" s="2"/>
      <c r="W614" s="2"/>
      <c r="X614" s="2"/>
      <c r="Y614" s="2"/>
      <c r="Z614" s="86"/>
      <c r="AA614" s="2"/>
      <c r="AB614" s="2"/>
      <c r="AC614" s="2"/>
      <c r="AD614" s="2"/>
      <c r="AE614" s="86"/>
      <c r="AF614" s="2"/>
      <c r="AG614" s="2"/>
      <c r="AH614" s="2"/>
      <c r="AI614" s="2"/>
      <c r="AJ614" s="86"/>
      <c r="AK614" s="2"/>
      <c r="AL614" s="2"/>
      <c r="AM614" s="2"/>
      <c r="AN614" s="2"/>
      <c r="AO614" s="86"/>
      <c r="AP614" s="2"/>
      <c r="AQ614" s="88">
        <v>-10.257</v>
      </c>
      <c r="AR614" s="88">
        <v>-10.257</v>
      </c>
      <c r="AS614" s="2">
        <f t="shared" si="1297"/>
        <v>-10.257</v>
      </c>
      <c r="AT614" s="87">
        <v>-10.257</v>
      </c>
      <c r="AU614" s="2"/>
      <c r="AV614" s="2"/>
      <c r="AW614" s="2"/>
      <c r="AX614" s="2">
        <f t="shared" si="1280"/>
        <v>0</v>
      </c>
      <c r="AY614" s="86"/>
      <c r="AZ614" s="2"/>
      <c r="BA614" s="2"/>
      <c r="BB614" s="2"/>
      <c r="BC614" s="2">
        <f t="shared" si="1281"/>
        <v>0</v>
      </c>
      <c r="BD614" s="86"/>
      <c r="BE614" s="2"/>
      <c r="BF614" s="2"/>
      <c r="BG614" s="2"/>
      <c r="BH614" s="2">
        <f t="shared" si="1282"/>
        <v>0</v>
      </c>
      <c r="BI614" s="90"/>
      <c r="BJ614" s="2"/>
      <c r="BK614" s="2"/>
      <c r="BL614" s="2"/>
      <c r="BM614" s="2"/>
      <c r="BN614" s="86"/>
      <c r="BO614" s="2"/>
      <c r="BP614" s="2"/>
      <c r="BQ614" s="2"/>
      <c r="BR614" s="2"/>
      <c r="BS614" s="86"/>
      <c r="BT614" s="86"/>
      <c r="BU614" s="86"/>
      <c r="BV614" s="86"/>
      <c r="BW614" s="4"/>
    </row>
    <row r="615" spans="1:75" ht="15.75" customHeight="1" outlineLevel="1" x14ac:dyDescent="0.2">
      <c r="A615" s="84" t="s">
        <v>449</v>
      </c>
      <c r="B615" s="85"/>
      <c r="C615" s="86"/>
      <c r="D615" s="86"/>
      <c r="E615" s="86"/>
      <c r="F615" s="86"/>
      <c r="G615" s="2"/>
      <c r="H615" s="2"/>
      <c r="I615" s="2"/>
      <c r="J615" s="2"/>
      <c r="K615" s="86"/>
      <c r="L615" s="2"/>
      <c r="M615" s="2"/>
      <c r="N615" s="2"/>
      <c r="O615" s="2"/>
      <c r="P615" s="86"/>
      <c r="Q615" s="2"/>
      <c r="R615" s="2"/>
      <c r="S615" s="2"/>
      <c r="T615" s="2"/>
      <c r="U615" s="86"/>
      <c r="V615" s="2"/>
      <c r="W615" s="2"/>
      <c r="X615" s="2"/>
      <c r="Y615" s="2"/>
      <c r="Z615" s="86"/>
      <c r="AA615" s="2"/>
      <c r="AB615" s="2"/>
      <c r="AC615" s="2"/>
      <c r="AD615" s="2"/>
      <c r="AE615" s="86"/>
      <c r="AF615" s="2"/>
      <c r="AG615" s="2"/>
      <c r="AH615" s="2"/>
      <c r="AI615" s="2"/>
      <c r="AJ615" s="86"/>
      <c r="AK615" s="2"/>
      <c r="AL615" s="2"/>
      <c r="AM615" s="2"/>
      <c r="AN615" s="2"/>
      <c r="AO615" s="86"/>
      <c r="AP615" s="2"/>
      <c r="AQ615" s="2"/>
      <c r="AR615" s="2"/>
      <c r="AS615" s="2"/>
      <c r="AT615" s="86"/>
      <c r="AU615" s="2"/>
      <c r="AV615" s="88">
        <v>-443.75099999999998</v>
      </c>
      <c r="AW615" s="88">
        <v>-443.75099999999998</v>
      </c>
      <c r="AX615" s="2">
        <f t="shared" si="1280"/>
        <v>-443.75099999999998</v>
      </c>
      <c r="AY615" s="87">
        <v>-443.75099999999998</v>
      </c>
      <c r="AZ615" s="2"/>
      <c r="BA615" s="2"/>
      <c r="BB615" s="2"/>
      <c r="BC615" s="2">
        <f t="shared" si="1281"/>
        <v>0</v>
      </c>
      <c r="BD615" s="86"/>
      <c r="BE615" s="2"/>
      <c r="BF615" s="2"/>
      <c r="BG615" s="2"/>
      <c r="BH615" s="2">
        <f t="shared" si="1282"/>
        <v>0</v>
      </c>
      <c r="BI615" s="90"/>
      <c r="BJ615" s="2"/>
      <c r="BK615" s="2"/>
      <c r="BL615" s="2"/>
      <c r="BM615" s="2"/>
      <c r="BN615" s="86"/>
      <c r="BO615" s="2"/>
      <c r="BP615" s="2"/>
      <c r="BQ615" s="2"/>
      <c r="BR615" s="2"/>
      <c r="BS615" s="86"/>
      <c r="BT615" s="86"/>
      <c r="BU615" s="86"/>
      <c r="BV615" s="86"/>
      <c r="BW615" s="4"/>
    </row>
    <row r="616" spans="1:75" ht="15.75" customHeight="1" outlineLevel="1" x14ac:dyDescent="0.2">
      <c r="A616" s="84" t="s">
        <v>450</v>
      </c>
      <c r="B616" s="85"/>
      <c r="C616" s="86"/>
      <c r="D616" s="86"/>
      <c r="E616" s="86"/>
      <c r="F616" s="86"/>
      <c r="G616" s="2"/>
      <c r="H616" s="2"/>
      <c r="I616" s="2"/>
      <c r="J616" s="2"/>
      <c r="K616" s="86"/>
      <c r="L616" s="2"/>
      <c r="M616" s="2"/>
      <c r="N616" s="2"/>
      <c r="O616" s="2"/>
      <c r="P616" s="86"/>
      <c r="Q616" s="2"/>
      <c r="R616" s="2"/>
      <c r="S616" s="2"/>
      <c r="T616" s="2"/>
      <c r="U616" s="86"/>
      <c r="V616" s="2"/>
      <c r="W616" s="2"/>
      <c r="X616" s="2"/>
      <c r="Y616" s="2"/>
      <c r="Z616" s="86"/>
      <c r="AA616" s="2"/>
      <c r="AB616" s="2"/>
      <c r="AC616" s="2"/>
      <c r="AD616" s="2"/>
      <c r="AE616" s="86"/>
      <c r="AF616" s="2"/>
      <c r="AG616" s="2"/>
      <c r="AH616" s="2"/>
      <c r="AI616" s="2"/>
      <c r="AJ616" s="86"/>
      <c r="AK616" s="2"/>
      <c r="AL616" s="2"/>
      <c r="AM616" s="2"/>
      <c r="AN616" s="2"/>
      <c r="AO616" s="86"/>
      <c r="AP616" s="2"/>
      <c r="AQ616" s="2"/>
      <c r="AR616" s="2"/>
      <c r="AS616" s="2"/>
      <c r="AT616" s="86"/>
      <c r="AU616" s="2"/>
      <c r="AV616" s="88">
        <v>-7.3999999999999996E-2</v>
      </c>
      <c r="AW616" s="88">
        <v>-7.3999999999999996E-2</v>
      </c>
      <c r="AX616" s="2">
        <f t="shared" si="1280"/>
        <v>-7.3999999999999996E-2</v>
      </c>
      <c r="AY616" s="87">
        <v>-7.3999999999999996E-2</v>
      </c>
      <c r="AZ616" s="2"/>
      <c r="BA616" s="2"/>
      <c r="BB616" s="2"/>
      <c r="BC616" s="2">
        <f t="shared" si="1281"/>
        <v>0</v>
      </c>
      <c r="BD616" s="86"/>
      <c r="BE616" s="2"/>
      <c r="BF616" s="2"/>
      <c r="BG616" s="2"/>
      <c r="BH616" s="2">
        <f t="shared" si="1282"/>
        <v>0</v>
      </c>
      <c r="BI616" s="90"/>
      <c r="BJ616" s="2"/>
      <c r="BK616" s="2"/>
      <c r="BL616" s="2"/>
      <c r="BM616" s="2"/>
      <c r="BN616" s="86"/>
      <c r="BO616" s="2"/>
      <c r="BP616" s="2"/>
      <c r="BQ616" s="2"/>
      <c r="BR616" s="2"/>
      <c r="BS616" s="86"/>
      <c r="BT616" s="86"/>
      <c r="BU616" s="86"/>
      <c r="BV616" s="86"/>
      <c r="BW616" s="4"/>
    </row>
    <row r="617" spans="1:75" ht="15.75" customHeight="1" outlineLevel="1" x14ac:dyDescent="0.2">
      <c r="A617" s="84" t="s">
        <v>451</v>
      </c>
      <c r="B617" s="85"/>
      <c r="C617" s="86"/>
      <c r="D617" s="86"/>
      <c r="E617" s="86"/>
      <c r="F617" s="86"/>
      <c r="G617" s="2"/>
      <c r="H617" s="2"/>
      <c r="I617" s="2"/>
      <c r="J617" s="2"/>
      <c r="K617" s="86"/>
      <c r="L617" s="2"/>
      <c r="M617" s="2"/>
      <c r="N617" s="2"/>
      <c r="O617" s="2"/>
      <c r="P617" s="86"/>
      <c r="Q617" s="2"/>
      <c r="R617" s="2"/>
      <c r="S617" s="2"/>
      <c r="T617" s="2"/>
      <c r="U617" s="86"/>
      <c r="V617" s="2"/>
      <c r="W617" s="2"/>
      <c r="X617" s="2"/>
      <c r="Y617" s="2"/>
      <c r="Z617" s="86"/>
      <c r="AA617" s="2"/>
      <c r="AB617" s="2"/>
      <c r="AC617" s="2"/>
      <c r="AD617" s="2"/>
      <c r="AE617" s="86"/>
      <c r="AF617" s="2"/>
      <c r="AG617" s="2"/>
      <c r="AH617" s="2"/>
      <c r="AI617" s="2"/>
      <c r="AJ617" s="86"/>
      <c r="AK617" s="2"/>
      <c r="AL617" s="2"/>
      <c r="AM617" s="2"/>
      <c r="AN617" s="2"/>
      <c r="AO617" s="86"/>
      <c r="AP617" s="2"/>
      <c r="AQ617" s="2"/>
      <c r="AR617" s="2"/>
      <c r="AS617" s="2"/>
      <c r="AT617" s="86"/>
      <c r="AU617" s="2"/>
      <c r="AV617" s="88">
        <v>-18.661000000000001</v>
      </c>
      <c r="AW617" s="88">
        <v>-18.661000000000001</v>
      </c>
      <c r="AX617" s="2">
        <f t="shared" si="1280"/>
        <v>-18.661000000000001</v>
      </c>
      <c r="AY617" s="87">
        <v>-18.661000000000001</v>
      </c>
      <c r="AZ617" s="2"/>
      <c r="BA617" s="2"/>
      <c r="BB617" s="2"/>
      <c r="BC617" s="2">
        <f t="shared" si="1281"/>
        <v>0</v>
      </c>
      <c r="BD617" s="86"/>
      <c r="BE617" s="2"/>
      <c r="BF617" s="2"/>
      <c r="BG617" s="2"/>
      <c r="BH617" s="2">
        <f t="shared" si="1282"/>
        <v>0</v>
      </c>
      <c r="BI617" s="90"/>
      <c r="BJ617" s="2"/>
      <c r="BK617" s="2"/>
      <c r="BL617" s="2"/>
      <c r="BM617" s="2"/>
      <c r="BN617" s="86"/>
      <c r="BO617" s="2"/>
      <c r="BP617" s="2"/>
      <c r="BQ617" s="2"/>
      <c r="BR617" s="2"/>
      <c r="BS617" s="86"/>
      <c r="BT617" s="86"/>
      <c r="BU617" s="86"/>
      <c r="BV617" s="86"/>
      <c r="BW617" s="4"/>
    </row>
    <row r="618" spans="1:75" ht="15.75" customHeight="1" outlineLevel="1" x14ac:dyDescent="0.2">
      <c r="A618" s="84" t="s">
        <v>452</v>
      </c>
      <c r="B618" s="85"/>
      <c r="C618" s="86"/>
      <c r="D618" s="86"/>
      <c r="E618" s="86"/>
      <c r="F618" s="86"/>
      <c r="G618" s="2"/>
      <c r="H618" s="2"/>
      <c r="I618" s="2"/>
      <c r="J618" s="2"/>
      <c r="K618" s="86"/>
      <c r="L618" s="2"/>
      <c r="M618" s="2"/>
      <c r="N618" s="2"/>
      <c r="O618" s="2"/>
      <c r="P618" s="86"/>
      <c r="Q618" s="2"/>
      <c r="R618" s="2"/>
      <c r="S618" s="2"/>
      <c r="T618" s="2"/>
      <c r="U618" s="86"/>
      <c r="V618" s="2"/>
      <c r="W618" s="2"/>
      <c r="X618" s="2"/>
      <c r="Y618" s="2"/>
      <c r="Z618" s="86"/>
      <c r="AA618" s="2"/>
      <c r="AB618" s="2"/>
      <c r="AC618" s="2"/>
      <c r="AD618" s="2"/>
      <c r="AE618" s="86"/>
      <c r="AF618" s="2"/>
      <c r="AG618" s="2"/>
      <c r="AH618" s="2"/>
      <c r="AI618" s="2"/>
      <c r="AJ618" s="86"/>
      <c r="AK618" s="2"/>
      <c r="AL618" s="2"/>
      <c r="AM618" s="2"/>
      <c r="AN618" s="2"/>
      <c r="AO618" s="86"/>
      <c r="AP618" s="2"/>
      <c r="AQ618" s="2"/>
      <c r="AR618" s="2"/>
      <c r="AS618" s="2"/>
      <c r="AT618" s="86"/>
      <c r="AU618" s="2"/>
      <c r="AV618" s="88">
        <v>175</v>
      </c>
      <c r="AW618" s="88">
        <v>175</v>
      </c>
      <c r="AX618" s="2">
        <f t="shared" si="1280"/>
        <v>175</v>
      </c>
      <c r="AY618" s="87">
        <v>175</v>
      </c>
      <c r="AZ618" s="2"/>
      <c r="BA618" s="2"/>
      <c r="BB618" s="2"/>
      <c r="BC618" s="2">
        <f t="shared" si="1281"/>
        <v>0</v>
      </c>
      <c r="BD618" s="86"/>
      <c r="BE618" s="2"/>
      <c r="BF618" s="2"/>
      <c r="BG618" s="2"/>
      <c r="BH618" s="2">
        <f t="shared" si="1282"/>
        <v>0</v>
      </c>
      <c r="BI618" s="90"/>
      <c r="BJ618" s="2"/>
      <c r="BK618" s="2"/>
      <c r="BL618" s="2"/>
      <c r="BM618" s="2"/>
      <c r="BN618" s="86"/>
      <c r="BO618" s="2"/>
      <c r="BP618" s="2"/>
      <c r="BQ618" s="2"/>
      <c r="BR618" s="2"/>
      <c r="BS618" s="86"/>
      <c r="BT618" s="86"/>
      <c r="BU618" s="86"/>
      <c r="BV618" s="86"/>
      <c r="BW618" s="4"/>
    </row>
    <row r="619" spans="1:75" ht="15.75" customHeight="1" outlineLevel="1" x14ac:dyDescent="0.2">
      <c r="A619" s="84" t="s">
        <v>453</v>
      </c>
      <c r="B619" s="85"/>
      <c r="C619" s="86"/>
      <c r="D619" s="86"/>
      <c r="E619" s="86"/>
      <c r="F619" s="86"/>
      <c r="G619" s="2"/>
      <c r="H619" s="2"/>
      <c r="I619" s="2"/>
      <c r="J619" s="2"/>
      <c r="K619" s="86"/>
      <c r="L619" s="2"/>
      <c r="M619" s="2"/>
      <c r="N619" s="2"/>
      <c r="O619" s="2"/>
      <c r="P619" s="86"/>
      <c r="Q619" s="2"/>
      <c r="R619" s="2"/>
      <c r="S619" s="2"/>
      <c r="T619" s="2"/>
      <c r="U619" s="86"/>
      <c r="V619" s="2"/>
      <c r="W619" s="2"/>
      <c r="X619" s="2"/>
      <c r="Y619" s="2"/>
      <c r="Z619" s="86"/>
      <c r="AA619" s="2"/>
      <c r="AB619" s="2"/>
      <c r="AC619" s="2"/>
      <c r="AD619" s="2"/>
      <c r="AE619" s="86"/>
      <c r="AF619" s="2"/>
      <c r="AG619" s="2"/>
      <c r="AH619" s="2"/>
      <c r="AI619" s="2"/>
      <c r="AJ619" s="86"/>
      <c r="AK619" s="2"/>
      <c r="AL619" s="2"/>
      <c r="AM619" s="2"/>
      <c r="AN619" s="2"/>
      <c r="AO619" s="86"/>
      <c r="AP619" s="2"/>
      <c r="AQ619" s="2"/>
      <c r="AR619" s="2"/>
      <c r="AS619" s="2"/>
      <c r="AT619" s="86"/>
      <c r="AU619" s="2"/>
      <c r="AV619" s="88">
        <v>-7.95</v>
      </c>
      <c r="AW619" s="88">
        <v>-7.95</v>
      </c>
      <c r="AX619" s="2">
        <f t="shared" si="1280"/>
        <v>-7.95</v>
      </c>
      <c r="AY619" s="87">
        <v>-7.95</v>
      </c>
      <c r="AZ619" s="2"/>
      <c r="BA619" s="2"/>
      <c r="BB619" s="2"/>
      <c r="BC619" s="2">
        <f t="shared" si="1281"/>
        <v>0</v>
      </c>
      <c r="BD619" s="86"/>
      <c r="BE619" s="2"/>
      <c r="BF619" s="2"/>
      <c r="BG619" s="2"/>
      <c r="BH619" s="2">
        <f t="shared" si="1282"/>
        <v>0</v>
      </c>
      <c r="BI619" s="90"/>
      <c r="BJ619" s="2"/>
      <c r="BK619" s="2"/>
      <c r="BL619" s="2"/>
      <c r="BM619" s="2"/>
      <c r="BN619" s="86"/>
      <c r="BO619" s="2"/>
      <c r="BP619" s="2"/>
      <c r="BQ619" s="2"/>
      <c r="BR619" s="2"/>
      <c r="BS619" s="86"/>
      <c r="BT619" s="86"/>
      <c r="BU619" s="86"/>
      <c r="BV619" s="86"/>
      <c r="BW619" s="4"/>
    </row>
    <row r="620" spans="1:75" ht="15.75" customHeight="1" outlineLevel="1" x14ac:dyDescent="0.2">
      <c r="A620" s="84" t="s">
        <v>454</v>
      </c>
      <c r="B620" s="85"/>
      <c r="C620" s="86"/>
      <c r="D620" s="87">
        <v>-52.088000000000001</v>
      </c>
      <c r="E620" s="87">
        <v>-172.126</v>
      </c>
      <c r="F620" s="87">
        <v>-101.392</v>
      </c>
      <c r="G620" s="88">
        <v>-41.994</v>
      </c>
      <c r="H620" s="88">
        <v>-45.283000000000001</v>
      </c>
      <c r="I620" s="88">
        <v>-135.53200000000001</v>
      </c>
      <c r="J620" s="4">
        <f t="shared" ref="J620:J621" si="1298">K620</f>
        <v>-183.65899999999999</v>
      </c>
      <c r="K620" s="87">
        <v>-183.65899999999999</v>
      </c>
      <c r="L620" s="88">
        <v>-98.980999999999995</v>
      </c>
      <c r="M620" s="88">
        <v>-123.187</v>
      </c>
      <c r="N620" s="88">
        <v>-140.327</v>
      </c>
      <c r="O620" s="4">
        <f t="shared" ref="O620:O621" si="1299">P620</f>
        <v>-140.483</v>
      </c>
      <c r="P620" s="87">
        <v>-140.483</v>
      </c>
      <c r="Q620" s="88">
        <v>-80.388999999999996</v>
      </c>
      <c r="R620" s="88">
        <v>-84.197000000000003</v>
      </c>
      <c r="S620" s="88">
        <v>-92.025000000000006</v>
      </c>
      <c r="T620" s="4">
        <f t="shared" ref="T620:T621" si="1300">U620</f>
        <v>-109.371</v>
      </c>
      <c r="U620" s="87">
        <v>-109.371</v>
      </c>
      <c r="V620" s="88">
        <v>-50.045999999999999</v>
      </c>
      <c r="W620" s="88">
        <v>-76.63</v>
      </c>
      <c r="X620" s="88">
        <v>-119.001</v>
      </c>
      <c r="Y620" s="2">
        <f t="shared" ref="Y620:Y621" si="1301">Z620</f>
        <v>-146.46700000000001</v>
      </c>
      <c r="Z620" s="87">
        <v>-146.46700000000001</v>
      </c>
      <c r="AA620" s="88">
        <v>-9.2910000000000004</v>
      </c>
      <c r="AB620" s="88">
        <v>-30.553999999999998</v>
      </c>
      <c r="AC620" s="88">
        <v>-106.38</v>
      </c>
      <c r="AD620" s="2">
        <f t="shared" ref="AD620:AD621" si="1302">AE620</f>
        <v>-122.97499999999999</v>
      </c>
      <c r="AE620" s="87">
        <v>-122.97499999999999</v>
      </c>
      <c r="AF620" s="88">
        <v>-34.902999999999999</v>
      </c>
      <c r="AG620" s="88">
        <v>-42.029000000000003</v>
      </c>
      <c r="AH620" s="88">
        <v>-60.893000000000001</v>
      </c>
      <c r="AI620" s="2">
        <f t="shared" ref="AI620:AI621" si="1303">AJ620</f>
        <v>-109.276</v>
      </c>
      <c r="AJ620" s="87">
        <v>-109.276</v>
      </c>
      <c r="AK620" s="88">
        <v>-11.071</v>
      </c>
      <c r="AL620" s="88">
        <v>-39.164000000000001</v>
      </c>
      <c r="AM620" s="88">
        <v>-50.561</v>
      </c>
      <c r="AN620" s="2">
        <f t="shared" ref="AN620:AN621" si="1304">AO620</f>
        <v>-50.981999999999999</v>
      </c>
      <c r="AO620" s="87">
        <v>-50.981999999999999</v>
      </c>
      <c r="AP620" s="88">
        <v>-2.5859999999999999</v>
      </c>
      <c r="AQ620" s="88">
        <v>-2.8519999999999999</v>
      </c>
      <c r="AR620" s="88">
        <v>-3.242</v>
      </c>
      <c r="AS620" s="2">
        <f t="shared" ref="AS620:AS621" si="1305">AT620</f>
        <v>-3.621</v>
      </c>
      <c r="AT620" s="87">
        <v>-3.621</v>
      </c>
      <c r="AU620" s="88">
        <v>-3.9569999999999999</v>
      </c>
      <c r="AV620" s="88">
        <v>-4.5599999999999996</v>
      </c>
      <c r="AW620" s="88">
        <v>-5.2409999999999997</v>
      </c>
      <c r="AX620" s="2">
        <f t="shared" si="1280"/>
        <v>-5.766</v>
      </c>
      <c r="AY620" s="87">
        <v>-5.766</v>
      </c>
      <c r="AZ620" s="88">
        <v>-3.9380000000000002</v>
      </c>
      <c r="BA620" s="88">
        <v>-14.817</v>
      </c>
      <c r="BB620" s="88">
        <v>-41.496000000000002</v>
      </c>
      <c r="BC620" s="2">
        <f t="shared" si="1281"/>
        <v>-63.131999999999998</v>
      </c>
      <c r="BD620" s="87">
        <v>-63.131999999999998</v>
      </c>
      <c r="BE620" s="88">
        <v>-12.375999999999999</v>
      </c>
      <c r="BF620" s="88">
        <v>-21.695</v>
      </c>
      <c r="BG620" s="88">
        <v>-36.26</v>
      </c>
      <c r="BH620" s="2">
        <f t="shared" si="1282"/>
        <v>-46.085000000000001</v>
      </c>
      <c r="BI620" s="89">
        <v>-46.085000000000001</v>
      </c>
      <c r="BJ620" s="2"/>
      <c r="BK620" s="2"/>
      <c r="BL620" s="2"/>
      <c r="BM620" s="2"/>
      <c r="BN620" s="86"/>
      <c r="BO620" s="2"/>
      <c r="BP620" s="2"/>
      <c r="BQ620" s="2"/>
      <c r="BR620" s="2"/>
      <c r="BS620" s="86"/>
      <c r="BT620" s="86"/>
      <c r="BU620" s="86"/>
      <c r="BV620" s="86"/>
      <c r="BW620" s="4"/>
    </row>
    <row r="621" spans="1:75" ht="15.75" customHeight="1" outlineLevel="1" x14ac:dyDescent="0.2">
      <c r="A621" s="84" t="s">
        <v>455</v>
      </c>
      <c r="B621" s="85"/>
      <c r="C621" s="86"/>
      <c r="D621" s="86"/>
      <c r="E621" s="86"/>
      <c r="F621" s="86"/>
      <c r="G621" s="2"/>
      <c r="H621" s="2"/>
      <c r="I621" s="2"/>
      <c r="J621" s="4">
        <f t="shared" si="1298"/>
        <v>0</v>
      </c>
      <c r="K621" s="86"/>
      <c r="L621" s="88">
        <v>-4.9039999999999999</v>
      </c>
      <c r="M621" s="88">
        <v>-4.9039999999999999</v>
      </c>
      <c r="N621" s="2"/>
      <c r="O621" s="4">
        <f t="shared" si="1299"/>
        <v>0</v>
      </c>
      <c r="P621" s="86"/>
      <c r="Q621" s="88">
        <v>-4.601</v>
      </c>
      <c r="R621" s="88">
        <v>-4.601</v>
      </c>
      <c r="S621" s="2"/>
      <c r="T621" s="4">
        <f t="shared" si="1300"/>
        <v>0</v>
      </c>
      <c r="U621" s="86"/>
      <c r="V621" s="2"/>
      <c r="W621" s="2"/>
      <c r="X621" s="2"/>
      <c r="Y621" s="2">
        <f t="shared" si="1301"/>
        <v>0</v>
      </c>
      <c r="Z621" s="86"/>
      <c r="AA621" s="2"/>
      <c r="AB621" s="2"/>
      <c r="AC621" s="2"/>
      <c r="AD621" s="2">
        <f t="shared" si="1302"/>
        <v>0</v>
      </c>
      <c r="AE621" s="86"/>
      <c r="AF621" s="2"/>
      <c r="AG621" s="2"/>
      <c r="AH621" s="2"/>
      <c r="AI621" s="2">
        <f t="shared" si="1303"/>
        <v>0</v>
      </c>
      <c r="AJ621" s="86"/>
      <c r="AK621" s="2"/>
      <c r="AL621" s="2"/>
      <c r="AM621" s="2"/>
      <c r="AN621" s="2">
        <f t="shared" si="1304"/>
        <v>0</v>
      </c>
      <c r="AO621" s="86"/>
      <c r="AP621" s="2"/>
      <c r="AQ621" s="2"/>
      <c r="AR621" s="2"/>
      <c r="AS621" s="2">
        <f t="shared" si="1305"/>
        <v>0</v>
      </c>
      <c r="AT621" s="86"/>
      <c r="AU621" s="2"/>
      <c r="AV621" s="2"/>
      <c r="AW621" s="2"/>
      <c r="AX621" s="2">
        <f t="shared" si="1280"/>
        <v>0</v>
      </c>
      <c r="AY621" s="86"/>
      <c r="AZ621" s="2"/>
      <c r="BA621" s="2"/>
      <c r="BB621" s="2"/>
      <c r="BC621" s="2">
        <f t="shared" si="1281"/>
        <v>0</v>
      </c>
      <c r="BD621" s="86"/>
      <c r="BE621" s="2"/>
      <c r="BF621" s="2"/>
      <c r="BG621" s="2"/>
      <c r="BH621" s="2">
        <f t="shared" si="1282"/>
        <v>0</v>
      </c>
      <c r="BI621" s="90"/>
      <c r="BJ621" s="2"/>
      <c r="BK621" s="2"/>
      <c r="BL621" s="2"/>
      <c r="BM621" s="2"/>
      <c r="BN621" s="86"/>
      <c r="BO621" s="2"/>
      <c r="BP621" s="2"/>
      <c r="BQ621" s="2"/>
      <c r="BR621" s="2"/>
      <c r="BS621" s="86"/>
      <c r="BT621" s="86"/>
      <c r="BU621" s="86"/>
      <c r="BV621" s="86"/>
      <c r="BW621" s="4"/>
    </row>
    <row r="622" spans="1:75" ht="15.75" customHeight="1" outlineLevel="1" x14ac:dyDescent="0.2">
      <c r="A622" s="101" t="s">
        <v>829</v>
      </c>
      <c r="B622" s="102"/>
      <c r="C622" s="104">
        <f t="shared" ref="C622:BI622" si="1306">SUM(C602:C621)</f>
        <v>-167.542</v>
      </c>
      <c r="D622" s="104">
        <f t="shared" si="1306"/>
        <v>-115.48500000000001</v>
      </c>
      <c r="E622" s="104">
        <f t="shared" si="1306"/>
        <v>-151.85599999999999</v>
      </c>
      <c r="F622" s="104">
        <f t="shared" si="1306"/>
        <v>-71.858999999999995</v>
      </c>
      <c r="G622" s="105">
        <f t="shared" si="1306"/>
        <v>-26.541</v>
      </c>
      <c r="H622" s="105">
        <f t="shared" si="1306"/>
        <v>-3.2639999999999958</v>
      </c>
      <c r="I622" s="105">
        <f t="shared" si="1306"/>
        <v>-82.938000000000002</v>
      </c>
      <c r="J622" s="105">
        <f t="shared" si="1306"/>
        <v>-118.66</v>
      </c>
      <c r="K622" s="104">
        <f t="shared" si="1306"/>
        <v>-118.66</v>
      </c>
      <c r="L622" s="105">
        <f t="shared" si="1306"/>
        <v>-76.962999999999994</v>
      </c>
      <c r="M622" s="105">
        <f t="shared" si="1306"/>
        <v>-99.825999999999993</v>
      </c>
      <c r="N622" s="105">
        <f t="shared" si="1306"/>
        <v>-111.246</v>
      </c>
      <c r="O622" s="105">
        <f t="shared" si="1306"/>
        <v>-127.52099999999999</v>
      </c>
      <c r="P622" s="104">
        <f t="shared" si="1306"/>
        <v>-127.52099999999999</v>
      </c>
      <c r="Q622" s="105">
        <f t="shared" si="1306"/>
        <v>-59.189999999999991</v>
      </c>
      <c r="R622" s="105">
        <f t="shared" si="1306"/>
        <v>-57.015000000000001</v>
      </c>
      <c r="S622" s="105">
        <f t="shared" si="1306"/>
        <v>-79.628000000000014</v>
      </c>
      <c r="T622" s="105">
        <f t="shared" si="1306"/>
        <v>-93.885999999999996</v>
      </c>
      <c r="U622" s="104">
        <f t="shared" si="1306"/>
        <v>-93.885999999999996</v>
      </c>
      <c r="V622" s="105">
        <f t="shared" si="1306"/>
        <v>-43.179000000000002</v>
      </c>
      <c r="W622" s="105">
        <f t="shared" si="1306"/>
        <v>-74.889999999999986</v>
      </c>
      <c r="X622" s="105">
        <f t="shared" si="1306"/>
        <v>-122.63800000000001</v>
      </c>
      <c r="Y622" s="106">
        <f t="shared" si="1306"/>
        <v>-133.07400000000001</v>
      </c>
      <c r="Z622" s="103">
        <f t="shared" si="1306"/>
        <v>-133.07400000000001</v>
      </c>
      <c r="AA622" s="105">
        <f t="shared" si="1306"/>
        <v>-16.664000000000001</v>
      </c>
      <c r="AB622" s="105">
        <f t="shared" si="1306"/>
        <v>-48.146000000000001</v>
      </c>
      <c r="AC622" s="105">
        <f t="shared" si="1306"/>
        <v>-104.91</v>
      </c>
      <c r="AD622" s="106">
        <f t="shared" si="1306"/>
        <v>-146.09100000000001</v>
      </c>
      <c r="AE622" s="103">
        <f t="shared" si="1306"/>
        <v>-146.09100000000001</v>
      </c>
      <c r="AF622" s="105">
        <f t="shared" si="1306"/>
        <v>-25.171999999999997</v>
      </c>
      <c r="AG622" s="105">
        <f t="shared" si="1306"/>
        <v>-51.111000000000004</v>
      </c>
      <c r="AH622" s="105">
        <f t="shared" si="1306"/>
        <v>-69.647999999999996</v>
      </c>
      <c r="AI622" s="106">
        <f t="shared" si="1306"/>
        <v>-140.291</v>
      </c>
      <c r="AJ622" s="103">
        <f t="shared" si="1306"/>
        <v>-140.291</v>
      </c>
      <c r="AK622" s="106">
        <f t="shared" si="1306"/>
        <v>-10.157999999999999</v>
      </c>
      <c r="AL622" s="106">
        <f t="shared" si="1306"/>
        <v>-37.260000000000005</v>
      </c>
      <c r="AM622" s="106">
        <f t="shared" si="1306"/>
        <v>235.965</v>
      </c>
      <c r="AN622" s="106">
        <f t="shared" si="1306"/>
        <v>176.01999999999998</v>
      </c>
      <c r="AO622" s="103">
        <f t="shared" si="1306"/>
        <v>176.01999999999998</v>
      </c>
      <c r="AP622" s="106">
        <f t="shared" si="1306"/>
        <v>71.736000000000004</v>
      </c>
      <c r="AQ622" s="106">
        <f t="shared" si="1306"/>
        <v>257.21300000000002</v>
      </c>
      <c r="AR622" s="106">
        <f t="shared" si="1306"/>
        <v>256.82299999999998</v>
      </c>
      <c r="AS622" s="106">
        <f t="shared" si="1306"/>
        <v>143.69199999999998</v>
      </c>
      <c r="AT622" s="103">
        <f t="shared" si="1306"/>
        <v>143.69199999999998</v>
      </c>
      <c r="AU622" s="106">
        <f t="shared" si="1306"/>
        <v>14.286999999999999</v>
      </c>
      <c r="AV622" s="106">
        <f t="shared" si="1306"/>
        <v>-90.622</v>
      </c>
      <c r="AW622" s="106">
        <f t="shared" si="1306"/>
        <v>-91.302999999999997</v>
      </c>
      <c r="AX622" s="106">
        <f t="shared" si="1306"/>
        <v>-108.827</v>
      </c>
      <c r="AY622" s="103">
        <f t="shared" si="1306"/>
        <v>-108.827</v>
      </c>
      <c r="AZ622" s="106">
        <f t="shared" si="1306"/>
        <v>-11.042</v>
      </c>
      <c r="BA622" s="106">
        <f t="shared" si="1306"/>
        <v>-36.209000000000003</v>
      </c>
      <c r="BB622" s="106">
        <f t="shared" si="1306"/>
        <v>-76.949000000000012</v>
      </c>
      <c r="BC622" s="106">
        <f t="shared" si="1306"/>
        <v>-123.636</v>
      </c>
      <c r="BD622" s="103">
        <f t="shared" si="1306"/>
        <v>-123.636</v>
      </c>
      <c r="BE622" s="106">
        <f t="shared" si="1306"/>
        <v>-25.558</v>
      </c>
      <c r="BF622" s="106">
        <f t="shared" si="1306"/>
        <v>-61.687000000000005</v>
      </c>
      <c r="BG622" s="106">
        <f t="shared" si="1306"/>
        <v>-100.62899999999999</v>
      </c>
      <c r="BH622" s="106">
        <f t="shared" si="1306"/>
        <v>-123.535</v>
      </c>
      <c r="BI622" s="115">
        <f t="shared" si="1306"/>
        <v>-123.535</v>
      </c>
      <c r="BJ622" s="106"/>
      <c r="BK622" s="106"/>
      <c r="BL622" s="106"/>
      <c r="BM622" s="106"/>
      <c r="BN622" s="103"/>
      <c r="BO622" s="106"/>
      <c r="BP622" s="106"/>
      <c r="BQ622" s="106"/>
      <c r="BR622" s="106"/>
      <c r="BS622" s="103"/>
      <c r="BT622" s="103"/>
      <c r="BU622" s="103"/>
      <c r="BV622" s="103"/>
      <c r="BW622" s="83"/>
    </row>
    <row r="623" spans="1:75" ht="15.75" customHeight="1" outlineLevel="1" x14ac:dyDescent="0.2">
      <c r="A623" s="108"/>
      <c r="B623" s="108"/>
      <c r="C623" s="109"/>
      <c r="D623" s="109"/>
      <c r="E623" s="109"/>
      <c r="F623" s="109"/>
      <c r="G623" s="110"/>
      <c r="H623" s="110"/>
      <c r="I623" s="110"/>
      <c r="J623" s="110"/>
      <c r="K623" s="109"/>
      <c r="L623" s="110"/>
      <c r="M623" s="110"/>
      <c r="N623" s="110"/>
      <c r="O623" s="110"/>
      <c r="P623" s="109"/>
      <c r="Q623" s="110"/>
      <c r="R623" s="110"/>
      <c r="S623" s="110"/>
      <c r="T623" s="110"/>
      <c r="U623" s="109"/>
      <c r="V623" s="110"/>
      <c r="W623" s="110"/>
      <c r="X623" s="110"/>
      <c r="Y623" s="110"/>
      <c r="Z623" s="109"/>
      <c r="AA623" s="110"/>
      <c r="AB623" s="110"/>
      <c r="AC623" s="110"/>
      <c r="AD623" s="110"/>
      <c r="AE623" s="109"/>
      <c r="AF623" s="110"/>
      <c r="AG623" s="110"/>
      <c r="AH623" s="110"/>
      <c r="AI623" s="110"/>
      <c r="AJ623" s="109"/>
      <c r="AK623" s="110"/>
      <c r="AL623" s="110"/>
      <c r="AM623" s="110"/>
      <c r="AN623" s="110"/>
      <c r="AO623" s="109"/>
      <c r="AP623" s="110"/>
      <c r="AQ623" s="110"/>
      <c r="AR623" s="110"/>
      <c r="AS623" s="110"/>
      <c r="AT623" s="109"/>
      <c r="AU623" s="110"/>
      <c r="AV623" s="110"/>
      <c r="AW623" s="110"/>
      <c r="AX623" s="110"/>
      <c r="AY623" s="109"/>
      <c r="AZ623" s="110"/>
      <c r="BA623" s="110"/>
      <c r="BB623" s="110"/>
      <c r="BC623" s="110"/>
      <c r="BD623" s="109"/>
      <c r="BE623" s="110"/>
      <c r="BF623" s="110"/>
      <c r="BG623" s="110"/>
      <c r="BH623" s="110"/>
      <c r="BI623" s="107"/>
      <c r="BJ623" s="110"/>
      <c r="BK623" s="110"/>
      <c r="BL623" s="110"/>
      <c r="BM623" s="110"/>
      <c r="BN623" s="109"/>
      <c r="BO623" s="110"/>
      <c r="BP623" s="110"/>
      <c r="BQ623" s="110"/>
      <c r="BR623" s="110"/>
      <c r="BS623" s="109"/>
      <c r="BT623" s="109"/>
      <c r="BU623" s="109"/>
      <c r="BV623" s="109"/>
      <c r="BW623" s="83"/>
    </row>
    <row r="624" spans="1:75" ht="15.75" customHeight="1" outlineLevel="1" x14ac:dyDescent="0.2">
      <c r="A624" s="84" t="s">
        <v>830</v>
      </c>
      <c r="B624" s="85"/>
      <c r="C624" s="86"/>
      <c r="D624" s="86"/>
      <c r="E624" s="86"/>
      <c r="F624" s="86"/>
      <c r="G624" s="2"/>
      <c r="H624" s="2"/>
      <c r="I624" s="2"/>
      <c r="J624" s="4">
        <f>K624</f>
        <v>0</v>
      </c>
      <c r="K624" s="86"/>
      <c r="L624" s="2"/>
      <c r="M624" s="2"/>
      <c r="N624" s="2"/>
      <c r="O624" s="4">
        <f>P624</f>
        <v>0</v>
      </c>
      <c r="P624" s="86"/>
      <c r="Q624" s="2"/>
      <c r="R624" s="2"/>
      <c r="S624" s="2"/>
      <c r="T624" s="4">
        <f>U624</f>
        <v>0</v>
      </c>
      <c r="U624" s="86"/>
      <c r="V624" s="2"/>
      <c r="W624" s="2"/>
      <c r="X624" s="2"/>
      <c r="Y624" s="2">
        <f>Z624</f>
        <v>0</v>
      </c>
      <c r="Z624" s="86"/>
      <c r="AA624" s="2"/>
      <c r="AB624" s="2"/>
      <c r="AC624" s="88">
        <v>-2.4E-2</v>
      </c>
      <c r="AD624" s="2">
        <f>AE624</f>
        <v>-0.10299999999999999</v>
      </c>
      <c r="AE624" s="87">
        <v>-0.10299999999999999</v>
      </c>
      <c r="AF624" s="88">
        <v>1.7000000000000001E-2</v>
      </c>
      <c r="AG624" s="88">
        <v>-1.0999999999999999E-2</v>
      </c>
      <c r="AH624" s="88">
        <v>2.5999999999999999E-2</v>
      </c>
      <c r="AI624" s="2">
        <f>AJ624</f>
        <v>-6.5000000000000002E-2</v>
      </c>
      <c r="AJ624" s="87">
        <v>-6.5000000000000002E-2</v>
      </c>
      <c r="AK624" s="88">
        <v>0.04</v>
      </c>
      <c r="AL624" s="88">
        <v>8.5999999999999993E-2</v>
      </c>
      <c r="AM624" s="88">
        <v>5.7000000000000002E-2</v>
      </c>
      <c r="AN624" s="2">
        <f>AO624</f>
        <v>0.11700000000000001</v>
      </c>
      <c r="AO624" s="87">
        <v>0.11700000000000001</v>
      </c>
      <c r="AP624" s="88">
        <v>-0.246</v>
      </c>
      <c r="AQ624" s="88">
        <v>-0.13900000000000001</v>
      </c>
      <c r="AR624" s="88">
        <v>-0.1</v>
      </c>
      <c r="AS624" s="2">
        <f>AT624</f>
        <v>-1.7000000000000001E-2</v>
      </c>
      <c r="AT624" s="87">
        <v>-1.7000000000000001E-2</v>
      </c>
      <c r="AU624" s="88">
        <v>3.7999999999999999E-2</v>
      </c>
      <c r="AV624" s="88">
        <v>8.1000000000000003E-2</v>
      </c>
      <c r="AW624" s="88">
        <v>1.0999999999999999E-2</v>
      </c>
      <c r="AX624" s="2">
        <f>AY624</f>
        <v>-2.7E-2</v>
      </c>
      <c r="AY624" s="87">
        <v>-2.7E-2</v>
      </c>
      <c r="AZ624" s="88">
        <v>9.0999999999999998E-2</v>
      </c>
      <c r="BA624" s="88">
        <v>-2.5999999999999999E-2</v>
      </c>
      <c r="BB624" s="88">
        <v>-0.36099999999999999</v>
      </c>
      <c r="BC624" s="2">
        <f>BD624</f>
        <v>-0.32500000000000001</v>
      </c>
      <c r="BD624" s="87">
        <v>-0.32500000000000001</v>
      </c>
      <c r="BE624" s="88">
        <v>7.1999999999999995E-2</v>
      </c>
      <c r="BF624" s="88">
        <v>0.159</v>
      </c>
      <c r="BG624" s="88">
        <v>-5.8999999999999997E-2</v>
      </c>
      <c r="BH624" s="2">
        <f>BI624</f>
        <v>0.14399999999999999</v>
      </c>
      <c r="BI624" s="89">
        <v>0.14399999999999999</v>
      </c>
      <c r="BJ624" s="2"/>
      <c r="BK624" s="2"/>
      <c r="BL624" s="2"/>
      <c r="BM624" s="2"/>
      <c r="BN624" s="86"/>
      <c r="BO624" s="2"/>
      <c r="BP624" s="2"/>
      <c r="BQ624" s="2"/>
      <c r="BR624" s="2"/>
      <c r="BS624" s="86"/>
      <c r="BT624" s="86"/>
      <c r="BU624" s="86"/>
      <c r="BV624" s="86"/>
      <c r="BW624" s="4"/>
    </row>
    <row r="625" spans="1:75" ht="15.75" customHeight="1" outlineLevel="1" x14ac:dyDescent="0.2">
      <c r="A625" s="229" t="s">
        <v>831</v>
      </c>
      <c r="B625" s="108"/>
      <c r="C625" s="319">
        <f t="shared" ref="C625:AR625" si="1307">C622+C599+C587+C624</f>
        <v>-6.6500000000000057</v>
      </c>
      <c r="D625" s="319">
        <f t="shared" si="1307"/>
        <v>7.9040000000000532</v>
      </c>
      <c r="E625" s="319">
        <f t="shared" si="1307"/>
        <v>-33.408000000000015</v>
      </c>
      <c r="F625" s="319">
        <f t="shared" si="1307"/>
        <v>35.358000000000004</v>
      </c>
      <c r="G625" s="83">
        <f t="shared" si="1307"/>
        <v>3.5710000000000051</v>
      </c>
      <c r="H625" s="83">
        <f t="shared" si="1307"/>
        <v>47.054000000000016</v>
      </c>
      <c r="I625" s="83">
        <f t="shared" si="1307"/>
        <v>-0.9439999999999884</v>
      </c>
      <c r="J625" s="83">
        <f t="shared" si="1307"/>
        <v>-21.817999999999984</v>
      </c>
      <c r="K625" s="319">
        <f t="shared" si="1307"/>
        <v>-21.817999999999984</v>
      </c>
      <c r="L625" s="83">
        <f t="shared" si="1307"/>
        <v>-30.286000000000001</v>
      </c>
      <c r="M625" s="83">
        <f t="shared" si="1307"/>
        <v>-36.173999999999964</v>
      </c>
      <c r="N625" s="83">
        <f t="shared" si="1307"/>
        <v>-39.609999999999928</v>
      </c>
      <c r="O625" s="83">
        <f t="shared" si="1307"/>
        <v>-3.7329999999999472</v>
      </c>
      <c r="P625" s="319">
        <f t="shared" si="1307"/>
        <v>-3.7329999999999472</v>
      </c>
      <c r="Q625" s="83">
        <f t="shared" si="1307"/>
        <v>-18.540000000000006</v>
      </c>
      <c r="R625" s="83">
        <f t="shared" si="1307"/>
        <v>3.5299999999999869</v>
      </c>
      <c r="S625" s="83">
        <f t="shared" si="1307"/>
        <v>-28.411000000000001</v>
      </c>
      <c r="T625" s="83">
        <f t="shared" si="1307"/>
        <v>-14.163999999999959</v>
      </c>
      <c r="U625" s="319">
        <f t="shared" si="1307"/>
        <v>-14.163999999999959</v>
      </c>
      <c r="V625" s="83">
        <f t="shared" si="1307"/>
        <v>10.067999999999984</v>
      </c>
      <c r="W625" s="83">
        <f t="shared" si="1307"/>
        <v>35.76400000000001</v>
      </c>
      <c r="X625" s="83">
        <f t="shared" si="1307"/>
        <v>21.990999999999985</v>
      </c>
      <c r="Y625" s="110">
        <f t="shared" si="1307"/>
        <v>9.9850000000000136</v>
      </c>
      <c r="Z625" s="109">
        <f t="shared" si="1307"/>
        <v>9.9850000000000136</v>
      </c>
      <c r="AA625" s="83">
        <f t="shared" si="1307"/>
        <v>11.826999999999991</v>
      </c>
      <c r="AB625" s="83">
        <f t="shared" si="1307"/>
        <v>12.474999999999966</v>
      </c>
      <c r="AC625" s="83">
        <f t="shared" si="1307"/>
        <v>-34.043999999999954</v>
      </c>
      <c r="AD625" s="110">
        <f t="shared" si="1307"/>
        <v>-47.831000000000039</v>
      </c>
      <c r="AE625" s="109">
        <f t="shared" si="1307"/>
        <v>-47.831000000000039</v>
      </c>
      <c r="AF625" s="83">
        <f t="shared" si="1307"/>
        <v>18.792999999999989</v>
      </c>
      <c r="AG625" s="83">
        <f t="shared" si="1307"/>
        <v>23.361000000000015</v>
      </c>
      <c r="AH625" s="83">
        <f t="shared" si="1307"/>
        <v>6.6309999999999896</v>
      </c>
      <c r="AI625" s="110">
        <f t="shared" si="1307"/>
        <v>20.569999999999933</v>
      </c>
      <c r="AJ625" s="109">
        <f t="shared" si="1307"/>
        <v>20.569999999999933</v>
      </c>
      <c r="AK625" s="110">
        <f t="shared" si="1307"/>
        <v>-4.0489999999999844</v>
      </c>
      <c r="AL625" s="110">
        <f t="shared" si="1307"/>
        <v>-3.9740000000000308</v>
      </c>
      <c r="AM625" s="110">
        <f t="shared" si="1307"/>
        <v>279.67399999999998</v>
      </c>
      <c r="AN625" s="110">
        <f t="shared" si="1307"/>
        <v>31.837999999999948</v>
      </c>
      <c r="AO625" s="109">
        <f t="shared" si="1307"/>
        <v>31.837999999999948</v>
      </c>
      <c r="AP625" s="110">
        <f t="shared" si="1307"/>
        <v>22.606999999999989</v>
      </c>
      <c r="AQ625" s="110">
        <f t="shared" si="1307"/>
        <v>191.739</v>
      </c>
      <c r="AR625" s="110">
        <f t="shared" si="1307"/>
        <v>185.352</v>
      </c>
      <c r="AS625" s="110">
        <f>$AS$628-$AS$627</f>
        <v>95.66900000000004</v>
      </c>
      <c r="AT625" s="109">
        <f>$AT$628-$AT$627</f>
        <v>95.669000000000011</v>
      </c>
      <c r="AU625" s="110">
        <f t="shared" ref="AU625:AW625" si="1308">AU622+AU599+AU587+AU624</f>
        <v>27.259999999999998</v>
      </c>
      <c r="AV625" s="110">
        <f t="shared" si="1308"/>
        <v>7.6830000000000185</v>
      </c>
      <c r="AW625" s="110">
        <f t="shared" si="1308"/>
        <v>-23.054999999999946</v>
      </c>
      <c r="AX625" s="110">
        <f>$AS$628-$AS$627</f>
        <v>95.66900000000004</v>
      </c>
      <c r="AY625" s="109">
        <f>$AT$628-$AT$627</f>
        <v>95.669000000000011</v>
      </c>
      <c r="AZ625" s="110">
        <f>$AZ$628-$AZ$627</f>
        <v>-6.070999999999998</v>
      </c>
      <c r="BA625" s="110">
        <f t="shared" ref="BA625:BI625" si="1309">BA622+BA599+BA587+BA624</f>
        <v>5.2639999999999922</v>
      </c>
      <c r="BB625" s="110">
        <f t="shared" si="1309"/>
        <v>-56.470000000000063</v>
      </c>
      <c r="BC625" s="110">
        <f t="shared" si="1309"/>
        <v>-74.850000000000009</v>
      </c>
      <c r="BD625" s="109">
        <f t="shared" si="1309"/>
        <v>-74.850000000000009</v>
      </c>
      <c r="BE625" s="110">
        <f t="shared" si="1309"/>
        <v>1.3869999999999765</v>
      </c>
      <c r="BF625" s="110">
        <f t="shared" si="1309"/>
        <v>-23.22000000000002</v>
      </c>
      <c r="BG625" s="110">
        <f t="shared" si="1309"/>
        <v>-50.79000000000002</v>
      </c>
      <c r="BH625" s="110">
        <f t="shared" si="1309"/>
        <v>-58.486999999999973</v>
      </c>
      <c r="BI625" s="107">
        <f t="shared" si="1309"/>
        <v>-58.486999999999973</v>
      </c>
      <c r="BJ625" s="110"/>
      <c r="BK625" s="110"/>
      <c r="BL625" s="110"/>
      <c r="BM625" s="110"/>
      <c r="BN625" s="109"/>
      <c r="BO625" s="110"/>
      <c r="BP625" s="110"/>
      <c r="BQ625" s="110"/>
      <c r="BR625" s="110"/>
      <c r="BS625" s="109"/>
      <c r="BT625" s="109"/>
      <c r="BU625" s="109"/>
      <c r="BV625" s="109"/>
      <c r="BW625" s="83"/>
    </row>
    <row r="626" spans="1:75" ht="15.75" customHeight="1" outlineLevel="1" x14ac:dyDescent="0.2">
      <c r="A626" s="108"/>
      <c r="B626" s="108"/>
      <c r="C626" s="109"/>
      <c r="D626" s="109"/>
      <c r="E626" s="109"/>
      <c r="F626" s="109"/>
      <c r="G626" s="110"/>
      <c r="H626" s="110"/>
      <c r="I626" s="110"/>
      <c r="J626" s="110"/>
      <c r="K626" s="109"/>
      <c r="L626" s="110"/>
      <c r="M626" s="110"/>
      <c r="N626" s="110"/>
      <c r="O626" s="110"/>
      <c r="P626" s="109"/>
      <c r="Q626" s="110"/>
      <c r="R626" s="110"/>
      <c r="S626" s="110"/>
      <c r="T626" s="110"/>
      <c r="U626" s="109"/>
      <c r="V626" s="110"/>
      <c r="W626" s="110"/>
      <c r="X626" s="110"/>
      <c r="Y626" s="110"/>
      <c r="Z626" s="109"/>
      <c r="AA626" s="110"/>
      <c r="AB626" s="110"/>
      <c r="AC626" s="110"/>
      <c r="AD626" s="110"/>
      <c r="AE626" s="109"/>
      <c r="AF626" s="110"/>
      <c r="AG626" s="110"/>
      <c r="AH626" s="110"/>
      <c r="AI626" s="110"/>
      <c r="AJ626" s="109"/>
      <c r="AK626" s="110"/>
      <c r="AL626" s="110"/>
      <c r="AM626" s="110"/>
      <c r="AN626" s="110"/>
      <c r="AO626" s="109"/>
      <c r="AP626" s="110"/>
      <c r="AQ626" s="110"/>
      <c r="AR626" s="110"/>
      <c r="AS626" s="110"/>
      <c r="AT626" s="109"/>
      <c r="AU626" s="110"/>
      <c r="AV626" s="110"/>
      <c r="AW626" s="110"/>
      <c r="AX626" s="110"/>
      <c r="AY626" s="109"/>
      <c r="AZ626" s="110"/>
      <c r="BA626" s="110"/>
      <c r="BB626" s="110"/>
      <c r="BC626" s="110"/>
      <c r="BD626" s="109"/>
      <c r="BE626" s="110"/>
      <c r="BF626" s="110"/>
      <c r="BG626" s="110"/>
      <c r="BH626" s="110"/>
      <c r="BI626" s="107"/>
      <c r="BJ626" s="110"/>
      <c r="BK626" s="110"/>
      <c r="BL626" s="110"/>
      <c r="BM626" s="110"/>
      <c r="BN626" s="109"/>
      <c r="BO626" s="110"/>
      <c r="BP626" s="110"/>
      <c r="BQ626" s="110"/>
      <c r="BR626" s="110"/>
      <c r="BS626" s="109"/>
      <c r="BT626" s="109"/>
      <c r="BU626" s="109"/>
      <c r="BV626" s="109"/>
      <c r="BW626" s="83"/>
    </row>
    <row r="627" spans="1:75" ht="15.75" customHeight="1" outlineLevel="1" x14ac:dyDescent="0.2">
      <c r="A627" s="229" t="s">
        <v>832</v>
      </c>
      <c r="B627" s="108"/>
      <c r="C627" s="316">
        <v>80.364999999999995</v>
      </c>
      <c r="D627" s="319">
        <f t="shared" ref="D627:G627" si="1310">C628</f>
        <v>73.714999999999989</v>
      </c>
      <c r="E627" s="319">
        <f t="shared" si="1310"/>
        <v>81.619000000000042</v>
      </c>
      <c r="F627" s="319">
        <f t="shared" si="1310"/>
        <v>48.211000000000027</v>
      </c>
      <c r="G627" s="83">
        <f t="shared" si="1310"/>
        <v>83.569000000000031</v>
      </c>
      <c r="H627" s="83">
        <f t="shared" ref="H627:K627" si="1311">G627</f>
        <v>83.569000000000031</v>
      </c>
      <c r="I627" s="83">
        <f t="shared" si="1311"/>
        <v>83.569000000000031</v>
      </c>
      <c r="J627" s="83">
        <f t="shared" si="1311"/>
        <v>83.569000000000031</v>
      </c>
      <c r="K627" s="319">
        <f t="shared" si="1311"/>
        <v>83.569000000000031</v>
      </c>
      <c r="L627" s="83">
        <f>K628</f>
        <v>61.751000000000047</v>
      </c>
      <c r="M627" s="83">
        <f t="shared" ref="M627:O627" si="1312">L627</f>
        <v>61.751000000000047</v>
      </c>
      <c r="N627" s="83">
        <f t="shared" si="1312"/>
        <v>61.751000000000047</v>
      </c>
      <c r="O627" s="83">
        <f t="shared" si="1312"/>
        <v>61.751000000000047</v>
      </c>
      <c r="P627" s="319">
        <f>O627</f>
        <v>61.751000000000047</v>
      </c>
      <c r="Q627" s="83">
        <f>P628</f>
        <v>58.0180000000001</v>
      </c>
      <c r="R627" s="83">
        <f t="shared" ref="R627:U627" si="1313">Q627</f>
        <v>58.0180000000001</v>
      </c>
      <c r="S627" s="83">
        <f t="shared" si="1313"/>
        <v>58.0180000000001</v>
      </c>
      <c r="T627" s="83">
        <f t="shared" si="1313"/>
        <v>58.0180000000001</v>
      </c>
      <c r="U627" s="319">
        <f t="shared" si="1313"/>
        <v>58.0180000000001</v>
      </c>
      <c r="V627" s="83">
        <f>U628</f>
        <v>43.854000000000141</v>
      </c>
      <c r="W627" s="83">
        <f t="shared" ref="W627:Z627" si="1314">V627</f>
        <v>43.854000000000141</v>
      </c>
      <c r="X627" s="83">
        <f t="shared" si="1314"/>
        <v>43.854000000000141</v>
      </c>
      <c r="Y627" s="83">
        <f t="shared" si="1314"/>
        <v>43.854000000000141</v>
      </c>
      <c r="Z627" s="319">
        <f t="shared" si="1314"/>
        <v>43.854000000000141</v>
      </c>
      <c r="AA627" s="83">
        <f>Z628</f>
        <v>53.839000000000155</v>
      </c>
      <c r="AB627" s="83">
        <f t="shared" ref="AB627:AE627" si="1315">AA627</f>
        <v>53.839000000000155</v>
      </c>
      <c r="AC627" s="83">
        <f t="shared" si="1315"/>
        <v>53.839000000000155</v>
      </c>
      <c r="AD627" s="83">
        <f t="shared" si="1315"/>
        <v>53.839000000000155</v>
      </c>
      <c r="AE627" s="319">
        <f t="shared" si="1315"/>
        <v>53.839000000000155</v>
      </c>
      <c r="AF627" s="83">
        <f>AE628</f>
        <v>6.0080000000001164</v>
      </c>
      <c r="AG627" s="83">
        <f t="shared" ref="AG627:AJ627" si="1316">AF627</f>
        <v>6.0080000000001164</v>
      </c>
      <c r="AH627" s="83">
        <f t="shared" si="1316"/>
        <v>6.0080000000001164</v>
      </c>
      <c r="AI627" s="83">
        <f t="shared" si="1316"/>
        <v>6.0080000000001164</v>
      </c>
      <c r="AJ627" s="319">
        <f t="shared" si="1316"/>
        <v>6.0080000000001164</v>
      </c>
      <c r="AK627" s="83">
        <f>AJ628</f>
        <v>26.578000000000049</v>
      </c>
      <c r="AL627" s="83">
        <f t="shared" ref="AL627:AO627" si="1317">AK627</f>
        <v>26.578000000000049</v>
      </c>
      <c r="AM627" s="83">
        <f t="shared" si="1317"/>
        <v>26.578000000000049</v>
      </c>
      <c r="AN627" s="83">
        <f t="shared" si="1317"/>
        <v>26.578000000000049</v>
      </c>
      <c r="AO627" s="319">
        <f t="shared" si="1317"/>
        <v>26.578000000000049</v>
      </c>
      <c r="AP627" s="83">
        <f>AO628</f>
        <v>58.415999999999997</v>
      </c>
      <c r="AQ627" s="83">
        <f t="shared" ref="AQ627:AT627" si="1318">AP627</f>
        <v>58.415999999999997</v>
      </c>
      <c r="AR627" s="83">
        <f t="shared" si="1318"/>
        <v>58.415999999999997</v>
      </c>
      <c r="AS627" s="83">
        <f t="shared" si="1318"/>
        <v>58.415999999999997</v>
      </c>
      <c r="AT627" s="319">
        <f t="shared" si="1318"/>
        <v>58.415999999999997</v>
      </c>
      <c r="AU627" s="83">
        <f>AT628</f>
        <v>154.08500000000001</v>
      </c>
      <c r="AV627" s="110">
        <f t="shared" ref="AV627:AY627" si="1319">AU627</f>
        <v>154.08500000000001</v>
      </c>
      <c r="AW627" s="110">
        <f t="shared" si="1319"/>
        <v>154.08500000000001</v>
      </c>
      <c r="AX627" s="110">
        <f t="shared" si="1319"/>
        <v>154.08500000000001</v>
      </c>
      <c r="AY627" s="109">
        <f t="shared" si="1319"/>
        <v>154.08500000000001</v>
      </c>
      <c r="AZ627" s="110">
        <f>AY628</f>
        <v>189.62700000000007</v>
      </c>
      <c r="BA627" s="110">
        <f t="shared" ref="BA627:BD627" si="1320">AZ627</f>
        <v>189.62700000000007</v>
      </c>
      <c r="BB627" s="110">
        <f t="shared" si="1320"/>
        <v>189.62700000000007</v>
      </c>
      <c r="BC627" s="110">
        <f t="shared" si="1320"/>
        <v>189.62700000000007</v>
      </c>
      <c r="BD627" s="109">
        <f t="shared" si="1320"/>
        <v>189.62700000000007</v>
      </c>
      <c r="BE627" s="110">
        <f>BD628</f>
        <v>114.77700000000006</v>
      </c>
      <c r="BF627" s="110">
        <f t="shared" ref="BF627:BI627" si="1321">BE627</f>
        <v>114.77700000000006</v>
      </c>
      <c r="BG627" s="110">
        <f t="shared" si="1321"/>
        <v>114.77700000000006</v>
      </c>
      <c r="BH627" s="110">
        <f t="shared" si="1321"/>
        <v>114.77700000000006</v>
      </c>
      <c r="BI627" s="107">
        <f t="shared" si="1321"/>
        <v>114.77700000000006</v>
      </c>
      <c r="BJ627" s="110"/>
      <c r="BK627" s="110"/>
      <c r="BL627" s="110"/>
      <c r="BM627" s="110"/>
      <c r="BN627" s="109"/>
      <c r="BO627" s="110"/>
      <c r="BP627" s="110"/>
      <c r="BQ627" s="110"/>
      <c r="BR627" s="110"/>
      <c r="BS627" s="109"/>
      <c r="BT627" s="109"/>
      <c r="BU627" s="109"/>
      <c r="BV627" s="109"/>
      <c r="BW627" s="83"/>
    </row>
    <row r="628" spans="1:75" ht="15.75" customHeight="1" outlineLevel="1" x14ac:dyDescent="0.2">
      <c r="A628" s="229" t="s">
        <v>833</v>
      </c>
      <c r="B628" s="108"/>
      <c r="C628" s="319">
        <f t="shared" ref="C628:AR628" si="1322">C625+C627</f>
        <v>73.714999999999989</v>
      </c>
      <c r="D628" s="319">
        <f t="shared" si="1322"/>
        <v>81.619000000000042</v>
      </c>
      <c r="E628" s="319">
        <f t="shared" si="1322"/>
        <v>48.211000000000027</v>
      </c>
      <c r="F628" s="319">
        <f t="shared" si="1322"/>
        <v>83.569000000000031</v>
      </c>
      <c r="G628" s="83">
        <f t="shared" si="1322"/>
        <v>87.140000000000043</v>
      </c>
      <c r="H628" s="83">
        <f t="shared" si="1322"/>
        <v>130.62300000000005</v>
      </c>
      <c r="I628" s="83">
        <f t="shared" si="1322"/>
        <v>82.625000000000043</v>
      </c>
      <c r="J628" s="83">
        <f t="shared" si="1322"/>
        <v>61.751000000000047</v>
      </c>
      <c r="K628" s="319">
        <f t="shared" si="1322"/>
        <v>61.751000000000047</v>
      </c>
      <c r="L628" s="83">
        <f t="shared" si="1322"/>
        <v>31.465000000000046</v>
      </c>
      <c r="M628" s="83">
        <f t="shared" si="1322"/>
        <v>25.577000000000083</v>
      </c>
      <c r="N628" s="83">
        <f t="shared" si="1322"/>
        <v>22.141000000000119</v>
      </c>
      <c r="O628" s="83">
        <f t="shared" si="1322"/>
        <v>58.0180000000001</v>
      </c>
      <c r="P628" s="319">
        <f t="shared" si="1322"/>
        <v>58.0180000000001</v>
      </c>
      <c r="Q628" s="83">
        <f t="shared" si="1322"/>
        <v>39.478000000000094</v>
      </c>
      <c r="R628" s="83">
        <f t="shared" si="1322"/>
        <v>61.548000000000087</v>
      </c>
      <c r="S628" s="83">
        <f t="shared" si="1322"/>
        <v>29.607000000000099</v>
      </c>
      <c r="T628" s="83">
        <f t="shared" si="1322"/>
        <v>43.854000000000141</v>
      </c>
      <c r="U628" s="319">
        <f t="shared" si="1322"/>
        <v>43.854000000000141</v>
      </c>
      <c r="V628" s="83">
        <f t="shared" si="1322"/>
        <v>53.922000000000125</v>
      </c>
      <c r="W628" s="83">
        <f t="shared" si="1322"/>
        <v>79.618000000000151</v>
      </c>
      <c r="X628" s="83">
        <f t="shared" si="1322"/>
        <v>65.845000000000127</v>
      </c>
      <c r="Y628" s="83">
        <f t="shared" si="1322"/>
        <v>53.839000000000155</v>
      </c>
      <c r="Z628" s="319">
        <f t="shared" si="1322"/>
        <v>53.839000000000155</v>
      </c>
      <c r="AA628" s="83">
        <f t="shared" si="1322"/>
        <v>65.666000000000139</v>
      </c>
      <c r="AB628" s="83">
        <f t="shared" si="1322"/>
        <v>66.314000000000121</v>
      </c>
      <c r="AC628" s="83">
        <f t="shared" si="1322"/>
        <v>19.795000000000201</v>
      </c>
      <c r="AD628" s="83">
        <f t="shared" si="1322"/>
        <v>6.0080000000001164</v>
      </c>
      <c r="AE628" s="319">
        <f t="shared" si="1322"/>
        <v>6.0080000000001164</v>
      </c>
      <c r="AF628" s="83">
        <f t="shared" si="1322"/>
        <v>24.801000000000105</v>
      </c>
      <c r="AG628" s="83">
        <f t="shared" si="1322"/>
        <v>29.369000000000131</v>
      </c>
      <c r="AH628" s="83">
        <f t="shared" si="1322"/>
        <v>12.639000000000106</v>
      </c>
      <c r="AI628" s="83">
        <f t="shared" si="1322"/>
        <v>26.578000000000049</v>
      </c>
      <c r="AJ628" s="319">
        <f t="shared" si="1322"/>
        <v>26.578000000000049</v>
      </c>
      <c r="AK628" s="83">
        <f t="shared" si="1322"/>
        <v>22.529000000000064</v>
      </c>
      <c r="AL628" s="83">
        <f t="shared" si="1322"/>
        <v>22.604000000000017</v>
      </c>
      <c r="AM628" s="83">
        <f t="shared" si="1322"/>
        <v>306.25200000000001</v>
      </c>
      <c r="AN628" s="83">
        <f t="shared" si="1322"/>
        <v>58.415999999999997</v>
      </c>
      <c r="AO628" s="319">
        <f t="shared" si="1322"/>
        <v>58.415999999999997</v>
      </c>
      <c r="AP628" s="83">
        <f t="shared" si="1322"/>
        <v>81.022999999999982</v>
      </c>
      <c r="AQ628" s="83">
        <f t="shared" si="1322"/>
        <v>250.155</v>
      </c>
      <c r="AR628" s="83">
        <f t="shared" si="1322"/>
        <v>243.768</v>
      </c>
      <c r="AS628" s="83">
        <f t="shared" ref="AS628:AU628" si="1323">AS699</f>
        <v>154.08500000000004</v>
      </c>
      <c r="AT628" s="319">
        <f t="shared" si="1323"/>
        <v>154.08500000000001</v>
      </c>
      <c r="AU628" s="83">
        <f t="shared" si="1323"/>
        <v>181.345</v>
      </c>
      <c r="AV628" s="110">
        <f t="shared" ref="AV628:AW628" si="1324">AV625+AV627</f>
        <v>161.76800000000003</v>
      </c>
      <c r="AW628" s="110">
        <f t="shared" si="1324"/>
        <v>131.03000000000006</v>
      </c>
      <c r="AX628" s="110">
        <f t="shared" ref="AX628:AZ628" si="1325">AX699</f>
        <v>189.62700000000004</v>
      </c>
      <c r="AY628" s="109">
        <f t="shared" si="1325"/>
        <v>189.62700000000007</v>
      </c>
      <c r="AZ628" s="110">
        <f t="shared" si="1325"/>
        <v>183.55600000000007</v>
      </c>
      <c r="BA628" s="110">
        <f t="shared" ref="BA628:BI628" si="1326">BA625+BA627</f>
        <v>194.89100000000005</v>
      </c>
      <c r="BB628" s="110">
        <f t="shared" si="1326"/>
        <v>133.15700000000001</v>
      </c>
      <c r="BC628" s="110">
        <f t="shared" si="1326"/>
        <v>114.77700000000006</v>
      </c>
      <c r="BD628" s="109">
        <f t="shared" si="1326"/>
        <v>114.77700000000006</v>
      </c>
      <c r="BE628" s="110">
        <f t="shared" si="1326"/>
        <v>116.16400000000003</v>
      </c>
      <c r="BF628" s="110">
        <f t="shared" si="1326"/>
        <v>91.557000000000045</v>
      </c>
      <c r="BG628" s="110">
        <f t="shared" si="1326"/>
        <v>63.987000000000037</v>
      </c>
      <c r="BH628" s="110">
        <f t="shared" si="1326"/>
        <v>56.290000000000084</v>
      </c>
      <c r="BI628" s="107">
        <f t="shared" si="1326"/>
        <v>56.290000000000084</v>
      </c>
      <c r="BJ628" s="110"/>
      <c r="BK628" s="110"/>
      <c r="BL628" s="110"/>
      <c r="BM628" s="110"/>
      <c r="BN628" s="109"/>
      <c r="BO628" s="110"/>
      <c r="BP628" s="110"/>
      <c r="BQ628" s="110"/>
      <c r="BR628" s="110"/>
      <c r="BS628" s="109"/>
      <c r="BT628" s="109"/>
      <c r="BU628" s="109"/>
      <c r="BV628" s="109"/>
      <c r="BW628" s="83"/>
    </row>
    <row r="629" spans="1:75" ht="15.75" customHeight="1" outlineLevel="1" x14ac:dyDescent="0.2">
      <c r="A629" s="108"/>
      <c r="B629" s="108"/>
      <c r="C629" s="109"/>
      <c r="D629" s="109"/>
      <c r="E629" s="109"/>
      <c r="F629" s="109"/>
      <c r="G629" s="110"/>
      <c r="H629" s="110"/>
      <c r="I629" s="110"/>
      <c r="J629" s="110"/>
      <c r="K629" s="109"/>
      <c r="L629" s="110"/>
      <c r="M629" s="110"/>
      <c r="N629" s="110"/>
      <c r="O629" s="110"/>
      <c r="P629" s="109"/>
      <c r="Q629" s="110"/>
      <c r="R629" s="110"/>
      <c r="S629" s="110"/>
      <c r="T629" s="110"/>
      <c r="U629" s="109"/>
      <c r="V629" s="110"/>
      <c r="W629" s="110"/>
      <c r="X629" s="110"/>
      <c r="Y629" s="110"/>
      <c r="Z629" s="109"/>
      <c r="AA629" s="110"/>
      <c r="AB629" s="110"/>
      <c r="AC629" s="110"/>
      <c r="AD629" s="110"/>
      <c r="AE629" s="109"/>
      <c r="AF629" s="110"/>
      <c r="AG629" s="110"/>
      <c r="AH629" s="110"/>
      <c r="AI629" s="110"/>
      <c r="AJ629" s="109"/>
      <c r="AK629" s="110"/>
      <c r="AL629" s="110"/>
      <c r="AM629" s="110"/>
      <c r="AN629" s="110"/>
      <c r="AO629" s="109"/>
      <c r="AP629" s="110"/>
      <c r="AQ629" s="110"/>
      <c r="AR629" s="110"/>
      <c r="AS629" s="110"/>
      <c r="AT629" s="109"/>
      <c r="AU629" s="110"/>
      <c r="AV629" s="110"/>
      <c r="AW629" s="110"/>
      <c r="AX629" s="110"/>
      <c r="AY629" s="109"/>
      <c r="AZ629" s="110"/>
      <c r="BA629" s="110"/>
      <c r="BB629" s="110"/>
      <c r="BC629" s="110"/>
      <c r="BD629" s="109"/>
      <c r="BE629" s="110"/>
      <c r="BF629" s="110"/>
      <c r="BG629" s="110"/>
      <c r="BH629" s="110"/>
      <c r="BI629" s="107"/>
      <c r="BJ629" s="110"/>
      <c r="BK629" s="110"/>
      <c r="BL629" s="110"/>
      <c r="BM629" s="110"/>
      <c r="BN629" s="109"/>
      <c r="BO629" s="110"/>
      <c r="BP629" s="110"/>
      <c r="BQ629" s="110"/>
      <c r="BR629" s="110"/>
      <c r="BS629" s="109"/>
      <c r="BT629" s="109"/>
      <c r="BU629" s="109"/>
      <c r="BV629" s="109"/>
      <c r="BW629" s="83"/>
    </row>
    <row r="630" spans="1:75" ht="15.75" customHeight="1" outlineLevel="1" x14ac:dyDescent="0.2">
      <c r="A630" s="84" t="s">
        <v>459</v>
      </c>
      <c r="B630" s="85"/>
      <c r="C630" s="87">
        <v>24.486000000000001</v>
      </c>
      <c r="D630" s="87">
        <v>17.492000000000001</v>
      </c>
      <c r="E630" s="87">
        <v>4.25</v>
      </c>
      <c r="F630" s="87">
        <v>4.4340000000000002</v>
      </c>
      <c r="G630" s="88">
        <v>1.1180000000000001</v>
      </c>
      <c r="H630" s="88">
        <v>2.2530000000000001</v>
      </c>
      <c r="I630" s="88">
        <v>3.395</v>
      </c>
      <c r="J630" s="4">
        <f t="shared" ref="J630:J631" si="1327">K630</f>
        <v>4.6020000000000003</v>
      </c>
      <c r="K630" s="87">
        <v>4.6020000000000003</v>
      </c>
      <c r="L630" s="88">
        <v>1.234</v>
      </c>
      <c r="M630" s="88">
        <v>2.605</v>
      </c>
      <c r="N630" s="88">
        <v>3.952</v>
      </c>
      <c r="O630" s="4">
        <f t="shared" ref="O630:O631" si="1328">P630</f>
        <v>5.43</v>
      </c>
      <c r="P630" s="87">
        <v>5.43</v>
      </c>
      <c r="Q630" s="88">
        <v>1.4550000000000001</v>
      </c>
      <c r="R630" s="88">
        <v>2.988</v>
      </c>
      <c r="S630" s="88">
        <v>4.4180000000000001</v>
      </c>
      <c r="T630" s="4">
        <f t="shared" ref="T630:T631" si="1329">U630</f>
        <v>6.0570000000000004</v>
      </c>
      <c r="U630" s="87">
        <v>6.0570000000000004</v>
      </c>
      <c r="V630" s="88">
        <v>1.4830000000000001</v>
      </c>
      <c r="W630" s="88">
        <v>3.0550000000000002</v>
      </c>
      <c r="X630" s="88">
        <v>4.7190000000000003</v>
      </c>
      <c r="Y630" s="4">
        <f t="shared" ref="Y630:Y631" si="1330">Z630</f>
        <v>6.0380000000000003</v>
      </c>
      <c r="Z630" s="87">
        <v>6.0380000000000003</v>
      </c>
      <c r="AA630" s="88">
        <v>1.627</v>
      </c>
      <c r="AB630" s="88">
        <v>3.375</v>
      </c>
      <c r="AC630" s="88">
        <v>5.1550000000000002</v>
      </c>
      <c r="AD630" s="4">
        <f t="shared" ref="AD630:AD631" si="1331">AE630</f>
        <v>7.1280000000000001</v>
      </c>
      <c r="AE630" s="87">
        <v>7.1280000000000001</v>
      </c>
      <c r="AF630" s="88">
        <v>2.0299999999999998</v>
      </c>
      <c r="AG630" s="88">
        <v>4.1449999999999996</v>
      </c>
      <c r="AH630" s="88">
        <v>6.1559999999999997</v>
      </c>
      <c r="AI630" s="4">
        <f t="shared" ref="AI630:AI631" si="1332">AJ630</f>
        <v>8.1560000000000006</v>
      </c>
      <c r="AJ630" s="87">
        <v>8.1560000000000006</v>
      </c>
      <c r="AK630" s="88">
        <v>0.316</v>
      </c>
      <c r="AL630" s="88">
        <v>0.63600000000000001</v>
      </c>
      <c r="AM630" s="88">
        <v>0.85399999999999998</v>
      </c>
      <c r="AN630" s="4">
        <f t="shared" ref="AN630:AN631" si="1333">AO630</f>
        <v>1.6459999999999999</v>
      </c>
      <c r="AO630" s="87">
        <v>1.6459999999999999</v>
      </c>
      <c r="AP630" s="88">
        <v>0.253</v>
      </c>
      <c r="AQ630" s="88">
        <v>7.2889999999999997</v>
      </c>
      <c r="AR630" s="88">
        <v>10.347</v>
      </c>
      <c r="AS630" s="4">
        <f t="shared" ref="AS630:AS631" si="1334">AT630</f>
        <v>13.045</v>
      </c>
      <c r="AT630" s="87">
        <v>13.045</v>
      </c>
      <c r="AU630" s="88">
        <v>1.742</v>
      </c>
      <c r="AV630" s="88">
        <v>6.8840000000000003</v>
      </c>
      <c r="AW630" s="88">
        <v>7.7489999999999997</v>
      </c>
      <c r="AX630" s="2">
        <f t="shared" ref="AX630:AX631" si="1335">AY630</f>
        <v>9.5860000000000003</v>
      </c>
      <c r="AY630" s="87">
        <v>9.5860000000000003</v>
      </c>
      <c r="AZ630" s="88">
        <v>1.1359999999999999</v>
      </c>
      <c r="BA630" s="88">
        <v>2.726</v>
      </c>
      <c r="BB630" s="88">
        <v>4.7060000000000004</v>
      </c>
      <c r="BC630" s="2">
        <f t="shared" ref="BC630:BC631" si="1336">BD630</f>
        <v>7.2329999999999997</v>
      </c>
      <c r="BD630" s="87">
        <v>7.2329999999999997</v>
      </c>
      <c r="BE630" s="88">
        <v>2.1840000000000002</v>
      </c>
      <c r="BF630" s="88">
        <v>5.3079999999999998</v>
      </c>
      <c r="BG630" s="88">
        <v>6.3860000000000001</v>
      </c>
      <c r="BH630" s="2">
        <f t="shared" ref="BH630:BH631" si="1337">BI630</f>
        <v>9.7639999999999993</v>
      </c>
      <c r="BI630" s="89">
        <v>9.7639999999999993</v>
      </c>
      <c r="BJ630" s="2"/>
      <c r="BK630" s="2"/>
      <c r="BL630" s="2"/>
      <c r="BM630" s="2"/>
      <c r="BN630" s="86"/>
      <c r="BO630" s="2"/>
      <c r="BP630" s="2"/>
      <c r="BQ630" s="2"/>
      <c r="BR630" s="2"/>
      <c r="BS630" s="86"/>
      <c r="BT630" s="86"/>
      <c r="BU630" s="86"/>
      <c r="BV630" s="86"/>
      <c r="BW630" s="4"/>
    </row>
    <row r="631" spans="1:75" ht="15.75" customHeight="1" outlineLevel="1" x14ac:dyDescent="0.2">
      <c r="A631" s="84" t="s">
        <v>460</v>
      </c>
      <c r="B631" s="85"/>
      <c r="C631" s="87">
        <v>18.576000000000001</v>
      </c>
      <c r="D631" s="87">
        <v>31.038</v>
      </c>
      <c r="E631" s="87">
        <v>27.245999999999999</v>
      </c>
      <c r="F631" s="87">
        <v>40.954000000000001</v>
      </c>
      <c r="G631" s="88">
        <v>2.8610000000000002</v>
      </c>
      <c r="H631" s="88">
        <v>17.515000000000001</v>
      </c>
      <c r="I631" s="88">
        <v>25.9</v>
      </c>
      <c r="J631" s="4">
        <f t="shared" si="1327"/>
        <v>37.259</v>
      </c>
      <c r="K631" s="87">
        <v>37.259</v>
      </c>
      <c r="L631" s="88">
        <v>0.68799999999999994</v>
      </c>
      <c r="M631" s="88">
        <v>13.702999999999999</v>
      </c>
      <c r="N631" s="88">
        <v>30.434000000000001</v>
      </c>
      <c r="O631" s="4">
        <f t="shared" si="1328"/>
        <v>41.073999999999998</v>
      </c>
      <c r="P631" s="87">
        <v>41.073999999999998</v>
      </c>
      <c r="Q631" s="88">
        <v>0.54300000000000004</v>
      </c>
      <c r="R631" s="88">
        <v>3.85</v>
      </c>
      <c r="S631" s="88">
        <v>19.215</v>
      </c>
      <c r="T631" s="4">
        <f t="shared" si="1329"/>
        <v>30.41</v>
      </c>
      <c r="U631" s="87">
        <v>30.41</v>
      </c>
      <c r="V631" s="88">
        <v>0.90900000000000003</v>
      </c>
      <c r="W631" s="88">
        <v>5.0339999999999998</v>
      </c>
      <c r="X631" s="88">
        <v>12.769</v>
      </c>
      <c r="Y631" s="4">
        <f t="shared" si="1330"/>
        <v>17.931999999999999</v>
      </c>
      <c r="Z631" s="87">
        <v>17.931999999999999</v>
      </c>
      <c r="AA631" s="88">
        <v>0.89400000000000002</v>
      </c>
      <c r="AB631" s="88">
        <v>21.949000000000002</v>
      </c>
      <c r="AC631" s="88">
        <v>30.195</v>
      </c>
      <c r="AD631" s="4">
        <f t="shared" si="1331"/>
        <v>31.582000000000001</v>
      </c>
      <c r="AE631" s="87">
        <v>31.582000000000001</v>
      </c>
      <c r="AF631" s="88">
        <v>0.61</v>
      </c>
      <c r="AG631" s="88">
        <v>5.2910000000000004</v>
      </c>
      <c r="AH631" s="88">
        <v>8.1440000000000001</v>
      </c>
      <c r="AI631" s="4">
        <f t="shared" si="1332"/>
        <v>10.148999999999999</v>
      </c>
      <c r="AJ631" s="87">
        <v>10.148999999999999</v>
      </c>
      <c r="AK631" s="88">
        <v>0.56599999999999995</v>
      </c>
      <c r="AL631" s="88">
        <v>9.9390000000000001</v>
      </c>
      <c r="AM631" s="88">
        <v>16.966000000000001</v>
      </c>
      <c r="AN631" s="4">
        <f t="shared" si="1333"/>
        <v>20.777999999999999</v>
      </c>
      <c r="AO631" s="87">
        <v>20.777999999999999</v>
      </c>
      <c r="AP631" s="88">
        <v>0.35199999999999998</v>
      </c>
      <c r="AQ631" s="88">
        <v>0.42299999999999999</v>
      </c>
      <c r="AR631" s="88">
        <v>6.7119999999999997</v>
      </c>
      <c r="AS631" s="4">
        <f t="shared" si="1334"/>
        <v>2.968</v>
      </c>
      <c r="AT631" s="87">
        <v>2.968</v>
      </c>
      <c r="AU631" s="88">
        <v>0.32700000000000001</v>
      </c>
      <c r="AV631" s="88">
        <v>4.8769999999999998</v>
      </c>
      <c r="AW631" s="88">
        <v>9.1280000000000001</v>
      </c>
      <c r="AX631" s="2">
        <f t="shared" si="1335"/>
        <v>13.031000000000001</v>
      </c>
      <c r="AY631" s="87">
        <v>13.031000000000001</v>
      </c>
      <c r="AZ631" s="88">
        <v>0.46500000000000002</v>
      </c>
      <c r="BA631" s="88">
        <v>9.7200000000000006</v>
      </c>
      <c r="BB631" s="88">
        <v>13.603</v>
      </c>
      <c r="BC631" s="2">
        <f t="shared" si="1336"/>
        <v>14.688000000000001</v>
      </c>
      <c r="BD631" s="87">
        <v>14.688000000000001</v>
      </c>
      <c r="BE631" s="88">
        <v>0.69299999999999995</v>
      </c>
      <c r="BF631" s="88">
        <v>5.1749999999999998</v>
      </c>
      <c r="BG631" s="88">
        <v>7.0679999999999996</v>
      </c>
      <c r="BH631" s="2">
        <f t="shared" si="1337"/>
        <v>14.473000000000001</v>
      </c>
      <c r="BI631" s="89">
        <v>14.473000000000001</v>
      </c>
      <c r="BJ631" s="2"/>
      <c r="BK631" s="2"/>
      <c r="BL631" s="2"/>
      <c r="BM631" s="2"/>
      <c r="BN631" s="86"/>
      <c r="BO631" s="2"/>
      <c r="BP631" s="2"/>
      <c r="BQ631" s="2"/>
      <c r="BR631" s="2"/>
      <c r="BS631" s="86"/>
      <c r="BT631" s="86"/>
      <c r="BU631" s="86"/>
      <c r="BV631" s="86"/>
      <c r="BW631" s="4"/>
    </row>
    <row r="632" spans="1:75" ht="15.75" customHeight="1" x14ac:dyDescent="0.2">
      <c r="A632" s="108"/>
      <c r="B632" s="108"/>
      <c r="C632" s="109"/>
      <c r="D632" s="109"/>
      <c r="E632" s="109"/>
      <c r="F632" s="109"/>
      <c r="G632" s="110"/>
      <c r="H632" s="110"/>
      <c r="I632" s="110"/>
      <c r="J632" s="110"/>
      <c r="K632" s="109"/>
      <c r="L632" s="110"/>
      <c r="M632" s="110"/>
      <c r="N632" s="110"/>
      <c r="O632" s="110"/>
      <c r="P632" s="109"/>
      <c r="Q632" s="110"/>
      <c r="R632" s="110"/>
      <c r="S632" s="110"/>
      <c r="T632" s="110"/>
      <c r="U632" s="109"/>
      <c r="V632" s="110"/>
      <c r="W632" s="110"/>
      <c r="X632" s="110"/>
      <c r="Y632" s="110"/>
      <c r="Z632" s="109"/>
      <c r="AA632" s="110"/>
      <c r="AB632" s="110"/>
      <c r="AC632" s="110"/>
      <c r="AD632" s="110"/>
      <c r="AE632" s="109"/>
      <c r="AF632" s="110"/>
      <c r="AG632" s="110"/>
      <c r="AH632" s="110"/>
      <c r="AI632" s="110"/>
      <c r="AJ632" s="109"/>
      <c r="AK632" s="110"/>
      <c r="AL632" s="110"/>
      <c r="AM632" s="110"/>
      <c r="AN632" s="110"/>
      <c r="AO632" s="109"/>
      <c r="AP632" s="110"/>
      <c r="AQ632" s="110"/>
      <c r="AR632" s="110"/>
      <c r="AS632" s="110"/>
      <c r="AT632" s="109"/>
      <c r="AU632" s="110"/>
      <c r="AV632" s="110"/>
      <c r="AW632" s="110"/>
      <c r="AX632" s="110"/>
      <c r="AY632" s="109"/>
      <c r="AZ632" s="110"/>
      <c r="BA632" s="110"/>
      <c r="BB632" s="110"/>
      <c r="BC632" s="110"/>
      <c r="BD632" s="109"/>
      <c r="BE632" s="110"/>
      <c r="BF632" s="110"/>
      <c r="BG632" s="110"/>
      <c r="BH632" s="110"/>
      <c r="BI632" s="107"/>
      <c r="BJ632" s="110"/>
      <c r="BK632" s="110"/>
      <c r="BL632" s="110"/>
      <c r="BM632" s="110"/>
      <c r="BN632" s="109"/>
      <c r="BO632" s="110"/>
      <c r="BP632" s="110"/>
      <c r="BQ632" s="110"/>
      <c r="BR632" s="110"/>
      <c r="BS632" s="109"/>
      <c r="BT632" s="109"/>
      <c r="BU632" s="109"/>
      <c r="BV632" s="109"/>
      <c r="BW632" s="83"/>
    </row>
    <row r="633" spans="1:75" ht="15.75" customHeight="1" x14ac:dyDescent="0.2">
      <c r="A633" s="81" t="s">
        <v>834</v>
      </c>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c r="AI633" s="81"/>
      <c r="AJ633" s="81"/>
      <c r="AK633" s="81"/>
      <c r="AL633" s="81"/>
      <c r="AM633" s="81"/>
      <c r="AN633" s="81"/>
      <c r="AO633" s="81"/>
      <c r="AP633" s="81"/>
      <c r="AQ633" s="81"/>
      <c r="AR633" s="81"/>
      <c r="AS633" s="81"/>
      <c r="AT633" s="81"/>
      <c r="AU633" s="81"/>
      <c r="AV633" s="81"/>
      <c r="AW633" s="81"/>
      <c r="AX633" s="81"/>
      <c r="AY633" s="81"/>
      <c r="AZ633" s="81"/>
      <c r="BA633" s="81"/>
      <c r="BB633" s="81"/>
      <c r="BC633" s="81"/>
      <c r="BD633" s="81"/>
      <c r="BE633" s="81"/>
      <c r="BF633" s="81"/>
      <c r="BG633" s="81"/>
      <c r="BH633" s="81"/>
      <c r="BI633" s="82"/>
      <c r="BJ633" s="81"/>
      <c r="BK633" s="81"/>
      <c r="BL633" s="81"/>
      <c r="BM633" s="81"/>
      <c r="BN633" s="81"/>
      <c r="BO633" s="81"/>
      <c r="BP633" s="81"/>
      <c r="BQ633" s="81"/>
      <c r="BR633" s="81"/>
      <c r="BS633" s="81"/>
      <c r="BT633" s="81"/>
      <c r="BU633" s="81"/>
      <c r="BV633" s="81"/>
      <c r="BW633" s="83"/>
    </row>
    <row r="634" spans="1:75" ht="15.75" customHeight="1" x14ac:dyDescent="0.2">
      <c r="A634" s="229" t="str">
        <f t="shared" ref="A634:A658" si="1338">A563</f>
        <v>CFO</v>
      </c>
      <c r="B634" s="108"/>
      <c r="C634" s="109"/>
      <c r="D634" s="109"/>
      <c r="E634" s="109"/>
      <c r="F634" s="109"/>
      <c r="G634" s="110"/>
      <c r="H634" s="110"/>
      <c r="I634" s="110"/>
      <c r="J634" s="110"/>
      <c r="K634" s="109"/>
      <c r="L634" s="110"/>
      <c r="M634" s="110"/>
      <c r="N634" s="110"/>
      <c r="O634" s="110"/>
      <c r="P634" s="109"/>
      <c r="Q634" s="110"/>
      <c r="R634" s="110"/>
      <c r="S634" s="110"/>
      <c r="T634" s="110"/>
      <c r="U634" s="109"/>
      <c r="V634" s="110"/>
      <c r="W634" s="110"/>
      <c r="X634" s="110"/>
      <c r="Y634" s="110"/>
      <c r="Z634" s="109"/>
      <c r="AA634" s="110"/>
      <c r="AB634" s="110"/>
      <c r="AC634" s="110"/>
      <c r="AD634" s="110"/>
      <c r="AE634" s="109"/>
      <c r="AF634" s="110"/>
      <c r="AG634" s="110"/>
      <c r="AH634" s="110"/>
      <c r="AI634" s="110"/>
      <c r="AJ634" s="109"/>
      <c r="AK634" s="110"/>
      <c r="AL634" s="110"/>
      <c r="AM634" s="110"/>
      <c r="AN634" s="110"/>
      <c r="AO634" s="109"/>
      <c r="AP634" s="110"/>
      <c r="AQ634" s="110"/>
      <c r="AR634" s="110"/>
      <c r="AS634" s="110"/>
      <c r="AT634" s="109"/>
      <c r="AU634" s="110"/>
      <c r="AV634" s="110"/>
      <c r="AW634" s="110"/>
      <c r="AX634" s="110"/>
      <c r="AY634" s="109"/>
      <c r="AZ634" s="110"/>
      <c r="BA634" s="110"/>
      <c r="BB634" s="110"/>
      <c r="BC634" s="110"/>
      <c r="BD634" s="109"/>
      <c r="BE634" s="110"/>
      <c r="BF634" s="110"/>
      <c r="BG634" s="110"/>
      <c r="BH634" s="110"/>
      <c r="BI634" s="107"/>
      <c r="BJ634" s="110"/>
      <c r="BK634" s="110"/>
      <c r="BL634" s="110"/>
      <c r="BM634" s="110"/>
      <c r="BN634" s="109"/>
      <c r="BO634" s="110"/>
      <c r="BP634" s="110"/>
      <c r="BQ634" s="110"/>
      <c r="BR634" s="110"/>
      <c r="BS634" s="109"/>
      <c r="BT634" s="109"/>
      <c r="BU634" s="109"/>
      <c r="BV634" s="109"/>
      <c r="BW634" s="83"/>
    </row>
    <row r="635" spans="1:75" ht="15.75" customHeight="1" x14ac:dyDescent="0.2">
      <c r="A635" s="85" t="str">
        <f t="shared" si="1338"/>
        <v>Net income</v>
      </c>
      <c r="B635" s="85"/>
      <c r="C635" s="86">
        <f t="shared" ref="C635:G643" si="1339">C564</f>
        <v>42.832999999999998</v>
      </c>
      <c r="D635" s="86">
        <f t="shared" si="1339"/>
        <v>81.712999999999994</v>
      </c>
      <c r="E635" s="86">
        <f t="shared" si="1339"/>
        <v>95.72</v>
      </c>
      <c r="F635" s="86">
        <f t="shared" si="1339"/>
        <v>98.423000000000002</v>
      </c>
      <c r="G635" s="2">
        <f t="shared" si="1339"/>
        <v>25.292000000000002</v>
      </c>
      <c r="H635" s="2">
        <f t="shared" ref="H635:J643" si="1340">H564-G564</f>
        <v>28.582999999999998</v>
      </c>
      <c r="I635" s="2">
        <f t="shared" si="1340"/>
        <v>27.480999999999995</v>
      </c>
      <c r="J635" s="2">
        <f t="shared" si="1340"/>
        <v>33</v>
      </c>
      <c r="K635" s="86">
        <f t="shared" ref="K635:L643" si="1341">K564</f>
        <v>114.35599999999999</v>
      </c>
      <c r="L635" s="2">
        <f t="shared" si="1341"/>
        <v>22.518000000000001</v>
      </c>
      <c r="M635" s="2">
        <f t="shared" ref="M635:O643" si="1342">M564-L564</f>
        <v>30.048999999999999</v>
      </c>
      <c r="N635" s="2">
        <f t="shared" si="1342"/>
        <v>24.223000000000006</v>
      </c>
      <c r="O635" s="2">
        <f t="shared" si="1342"/>
        <v>24.48599999999999</v>
      </c>
      <c r="P635" s="86">
        <f t="shared" ref="P635:Q643" si="1343">P564</f>
        <v>101.276</v>
      </c>
      <c r="Q635" s="2">
        <f t="shared" si="1343"/>
        <v>28.422999999999998</v>
      </c>
      <c r="R635" s="2">
        <f t="shared" ref="R635:T643" si="1344">R564-Q564</f>
        <v>34.724000000000004</v>
      </c>
      <c r="S635" s="2">
        <f t="shared" si="1344"/>
        <v>26.175999999999995</v>
      </c>
      <c r="T635" s="2">
        <f t="shared" si="1344"/>
        <v>27.200000000000003</v>
      </c>
      <c r="U635" s="86">
        <f t="shared" ref="U635:V643" si="1345">U564</f>
        <v>116.523</v>
      </c>
      <c r="V635" s="2">
        <f t="shared" si="1345"/>
        <v>33.954000000000001</v>
      </c>
      <c r="W635" s="2">
        <f t="shared" ref="W635:Y643" si="1346">W564-V564</f>
        <v>38.585000000000001</v>
      </c>
      <c r="X635" s="2">
        <f t="shared" si="1346"/>
        <v>34.573999999999998</v>
      </c>
      <c r="Y635" s="2">
        <f t="shared" si="1346"/>
        <v>32.381</v>
      </c>
      <c r="Z635" s="86">
        <f t="shared" ref="Z635:AA643" si="1347">Z564</f>
        <v>139.494</v>
      </c>
      <c r="AA635" s="2">
        <f t="shared" si="1347"/>
        <v>35.042999999999999</v>
      </c>
      <c r="AB635" s="2">
        <f t="shared" ref="AB635:AD643" si="1348">AB564-AA564</f>
        <v>38.166000000000004</v>
      </c>
      <c r="AC635" s="2">
        <f t="shared" si="1348"/>
        <v>26.444999999999993</v>
      </c>
      <c r="AD635" s="2">
        <f t="shared" si="1348"/>
        <v>57.738</v>
      </c>
      <c r="AE635" s="86">
        <f t="shared" ref="AE635:AF643" si="1349">AE564</f>
        <v>157.392</v>
      </c>
      <c r="AF635" s="2">
        <f t="shared" si="1349"/>
        <v>26.029</v>
      </c>
      <c r="AG635" s="2">
        <f t="shared" ref="AG635:AI643" si="1350">AG564-AF564</f>
        <v>28.352999999999998</v>
      </c>
      <c r="AH635" s="2">
        <f t="shared" si="1350"/>
        <v>28.475000000000001</v>
      </c>
      <c r="AI635" s="2">
        <f t="shared" si="1350"/>
        <v>16.177999999999997</v>
      </c>
      <c r="AJ635" s="86">
        <f t="shared" ref="AJ635:AK643" si="1351">AJ564</f>
        <v>99.034999999999997</v>
      </c>
      <c r="AK635" s="2">
        <f t="shared" si="1351"/>
        <v>26.984000000000002</v>
      </c>
      <c r="AL635" s="2">
        <f t="shared" ref="AL635:AN643" si="1352">AL564-AK564</f>
        <v>35.51</v>
      </c>
      <c r="AM635" s="2">
        <f t="shared" si="1352"/>
        <v>16.090000000000003</v>
      </c>
      <c r="AN635" s="2">
        <f t="shared" si="1352"/>
        <v>48.709000000000003</v>
      </c>
      <c r="AO635" s="86">
        <f t="shared" ref="AO635:AP643" si="1353">AO564</f>
        <v>127.29300000000001</v>
      </c>
      <c r="AP635" s="2">
        <f t="shared" si="1353"/>
        <v>-136.16300000000001</v>
      </c>
      <c r="AQ635" s="2">
        <f t="shared" ref="AQ635:AS643" si="1354">AQ564-AP564</f>
        <v>-56.538999999999987</v>
      </c>
      <c r="AR635" s="2">
        <f t="shared" si="1354"/>
        <v>-28.346000000000004</v>
      </c>
      <c r="AS635" s="2">
        <f t="shared" si="1354"/>
        <v>-32.317000000000007</v>
      </c>
      <c r="AT635" s="86">
        <f t="shared" ref="AT635:AU643" si="1355">AT564</f>
        <v>-253.36500000000001</v>
      </c>
      <c r="AU635" s="2">
        <f t="shared" si="1355"/>
        <v>3.8679999999999999</v>
      </c>
      <c r="AV635" s="2">
        <f t="shared" ref="AV635:AX643" si="1356">AV564-AU564</f>
        <v>33.714999999999996</v>
      </c>
      <c r="AW635" s="2">
        <f t="shared" si="1356"/>
        <v>32.680000000000007</v>
      </c>
      <c r="AX635" s="2">
        <f t="shared" si="1356"/>
        <v>2.1099999999999994</v>
      </c>
      <c r="AY635" s="86">
        <f t="shared" ref="AY635:AZ643" si="1357">AY564</f>
        <v>72.373000000000005</v>
      </c>
      <c r="AZ635" s="2">
        <f t="shared" si="1357"/>
        <v>23.163</v>
      </c>
      <c r="BA635" s="2">
        <f t="shared" ref="BA635:BC643" si="1358">BA564-AZ564</f>
        <v>25.656000000000002</v>
      </c>
      <c r="BB635" s="2">
        <f t="shared" si="1358"/>
        <v>-2.3980000000000032</v>
      </c>
      <c r="BC635" s="2">
        <f t="shared" si="1358"/>
        <v>-3.2980000000000018</v>
      </c>
      <c r="BD635" s="86">
        <f t="shared" ref="BD635:BE643" si="1359">BD564</f>
        <v>43.122999999999998</v>
      </c>
      <c r="BE635" s="2">
        <f t="shared" si="1359"/>
        <v>28.05</v>
      </c>
      <c r="BF635" s="2">
        <f t="shared" ref="BF635:BH643" si="1360">BF564-BE564</f>
        <v>42.674999999999997</v>
      </c>
      <c r="BG635" s="2">
        <f t="shared" si="1360"/>
        <v>17.945000000000007</v>
      </c>
      <c r="BH635" s="2">
        <f t="shared" si="1360"/>
        <v>12.680999999999997</v>
      </c>
      <c r="BI635" s="90">
        <f t="shared" ref="BI635:BI643" si="1361">BI564</f>
        <v>101.351</v>
      </c>
      <c r="BJ635" s="2">
        <f t="shared" ref="BJ635:BM635" si="1362">BJ405-BJ408</f>
        <v>29.457878130426227</v>
      </c>
      <c r="BK635" s="2">
        <f t="shared" ca="1" si="1362"/>
        <v>47.687303124189206</v>
      </c>
      <c r="BL635" s="2">
        <f t="shared" ca="1" si="1362"/>
        <v>21.569662331982933</v>
      </c>
      <c r="BM635" s="2">
        <f t="shared" ca="1" si="1362"/>
        <v>42.522323671754293</v>
      </c>
      <c r="BN635" s="86">
        <f t="shared" ref="BN635:BN643" ca="1" si="1363">SUM(BJ635,BK635,BL635,BM635)</f>
        <v>141.23716725835266</v>
      </c>
      <c r="BO635" s="2">
        <f t="shared" ref="BO635:BR635" ca="1" si="1364">BO405-BO408</f>
        <v>29.624621231695766</v>
      </c>
      <c r="BP635" s="2">
        <f t="shared" ca="1" si="1364"/>
        <v>48.864560723439325</v>
      </c>
      <c r="BQ635" s="2">
        <f t="shared" ca="1" si="1364"/>
        <v>25.027412629735217</v>
      </c>
      <c r="BR635" s="2">
        <f t="shared" ca="1" si="1364"/>
        <v>47.193134855454119</v>
      </c>
      <c r="BS635" s="86">
        <f t="shared" ref="BS635:BS643" ca="1" si="1365">SUM(BO635,BP635,BQ635,BR635)</f>
        <v>150.70972944032445</v>
      </c>
      <c r="BT635" s="86">
        <f t="shared" ref="BT635:BV635" ca="1" si="1366">BT405-BT408</f>
        <v>163.41235846465418</v>
      </c>
      <c r="BU635" s="86">
        <f t="shared" ca="1" si="1366"/>
        <v>178.39881642393533</v>
      </c>
      <c r="BV635" s="86">
        <f t="shared" ca="1" si="1366"/>
        <v>199.16694734024503</v>
      </c>
      <c r="BW635" s="4"/>
    </row>
    <row r="636" spans="1:75" ht="15.75" customHeight="1" x14ac:dyDescent="0.2">
      <c r="A636" s="85" t="str">
        <f t="shared" si="1338"/>
        <v>Depreciation and amortization expenses</v>
      </c>
      <c r="B636" s="85"/>
      <c r="C636" s="86">
        <f t="shared" si="1339"/>
        <v>75.183999999999997</v>
      </c>
      <c r="D636" s="86">
        <f t="shared" si="1339"/>
        <v>72.14</v>
      </c>
      <c r="E636" s="86">
        <f t="shared" si="1339"/>
        <v>71.957999999999998</v>
      </c>
      <c r="F636" s="86">
        <f t="shared" si="1339"/>
        <v>74.433000000000007</v>
      </c>
      <c r="G636" s="2">
        <f t="shared" si="1339"/>
        <v>19.23</v>
      </c>
      <c r="H636" s="2">
        <f t="shared" si="1340"/>
        <v>19.215</v>
      </c>
      <c r="I636" s="2">
        <f t="shared" si="1340"/>
        <v>19.661000000000001</v>
      </c>
      <c r="J636" s="2">
        <f t="shared" si="1340"/>
        <v>20.452000000000005</v>
      </c>
      <c r="K636" s="86">
        <f t="shared" si="1341"/>
        <v>78.558000000000007</v>
      </c>
      <c r="L636" s="2">
        <f t="shared" si="1341"/>
        <v>20.251000000000001</v>
      </c>
      <c r="M636" s="2">
        <f t="shared" si="1342"/>
        <v>20.533999999999995</v>
      </c>
      <c r="N636" s="2">
        <f t="shared" si="1342"/>
        <v>20.930000000000007</v>
      </c>
      <c r="O636" s="2">
        <f t="shared" si="1342"/>
        <v>21.11999999999999</v>
      </c>
      <c r="P636" s="86">
        <f t="shared" si="1343"/>
        <v>82.834999999999994</v>
      </c>
      <c r="Q636" s="2">
        <f t="shared" si="1343"/>
        <v>21.177</v>
      </c>
      <c r="R636" s="2">
        <f t="shared" si="1344"/>
        <v>21.158000000000001</v>
      </c>
      <c r="S636" s="2">
        <f t="shared" si="1344"/>
        <v>21.317</v>
      </c>
      <c r="T636" s="2">
        <f t="shared" si="1344"/>
        <v>21.911000000000001</v>
      </c>
      <c r="U636" s="86">
        <f t="shared" si="1345"/>
        <v>85.563000000000002</v>
      </c>
      <c r="V636" s="2">
        <f t="shared" si="1345"/>
        <v>21.463999999999999</v>
      </c>
      <c r="W636" s="2">
        <f t="shared" si="1346"/>
        <v>21.460999999999999</v>
      </c>
      <c r="X636" s="2">
        <f t="shared" si="1346"/>
        <v>21.634</v>
      </c>
      <c r="Y636" s="2">
        <f t="shared" si="1346"/>
        <v>23.451000000000008</v>
      </c>
      <c r="Z636" s="86">
        <f t="shared" si="1347"/>
        <v>88.01</v>
      </c>
      <c r="AA636" s="2">
        <f t="shared" si="1347"/>
        <v>23.196000000000002</v>
      </c>
      <c r="AB636" s="2">
        <f t="shared" si="1348"/>
        <v>23.297000000000001</v>
      </c>
      <c r="AC636" s="2">
        <f t="shared" si="1348"/>
        <v>22.999000000000002</v>
      </c>
      <c r="AD636" s="2">
        <f t="shared" si="1348"/>
        <v>23.236999999999995</v>
      </c>
      <c r="AE636" s="86">
        <f t="shared" si="1349"/>
        <v>92.728999999999999</v>
      </c>
      <c r="AF636" s="2">
        <f t="shared" si="1349"/>
        <v>24.001999999999999</v>
      </c>
      <c r="AG636" s="2">
        <f t="shared" si="1350"/>
        <v>23.727</v>
      </c>
      <c r="AH636" s="2">
        <f t="shared" si="1350"/>
        <v>24.090000000000003</v>
      </c>
      <c r="AI636" s="2">
        <f t="shared" si="1350"/>
        <v>24.156999999999996</v>
      </c>
      <c r="AJ636" s="86">
        <f t="shared" si="1351"/>
        <v>95.975999999999999</v>
      </c>
      <c r="AK636" s="2">
        <f t="shared" si="1351"/>
        <v>21.361999999999998</v>
      </c>
      <c r="AL636" s="2">
        <f t="shared" si="1352"/>
        <v>21.659000000000002</v>
      </c>
      <c r="AM636" s="2">
        <f t="shared" si="1352"/>
        <v>21.341999999999999</v>
      </c>
      <c r="AN636" s="2">
        <f t="shared" si="1352"/>
        <v>23.769999999999996</v>
      </c>
      <c r="AO636" s="86">
        <f t="shared" si="1353"/>
        <v>88.132999999999996</v>
      </c>
      <c r="AP636" s="2">
        <f t="shared" si="1353"/>
        <v>23.562000000000001</v>
      </c>
      <c r="AQ636" s="2">
        <f t="shared" si="1354"/>
        <v>22.59</v>
      </c>
      <c r="AR636" s="2">
        <f t="shared" si="1354"/>
        <v>22.650999999999996</v>
      </c>
      <c r="AS636" s="2">
        <f t="shared" si="1354"/>
        <v>22.612000000000009</v>
      </c>
      <c r="AT636" s="86">
        <f t="shared" si="1355"/>
        <v>91.415000000000006</v>
      </c>
      <c r="AU636" s="2">
        <f t="shared" si="1355"/>
        <v>22.006</v>
      </c>
      <c r="AV636" s="2">
        <f t="shared" si="1356"/>
        <v>22.222999999999999</v>
      </c>
      <c r="AW636" s="2">
        <f t="shared" si="1356"/>
        <v>22.576000000000008</v>
      </c>
      <c r="AX636" s="2">
        <f t="shared" si="1356"/>
        <v>22.84899999999999</v>
      </c>
      <c r="AY636" s="86">
        <f t="shared" si="1357"/>
        <v>89.653999999999996</v>
      </c>
      <c r="AZ636" s="2">
        <f t="shared" si="1357"/>
        <v>21.504999999999999</v>
      </c>
      <c r="BA636" s="2">
        <f t="shared" si="1358"/>
        <v>22.608000000000001</v>
      </c>
      <c r="BB636" s="2">
        <f t="shared" si="1358"/>
        <v>22.650999999999996</v>
      </c>
      <c r="BC636" s="2">
        <f t="shared" si="1358"/>
        <v>25.616</v>
      </c>
      <c r="BD636" s="86">
        <f t="shared" si="1359"/>
        <v>92.38</v>
      </c>
      <c r="BE636" s="2">
        <f t="shared" si="1359"/>
        <v>22.954999999999998</v>
      </c>
      <c r="BF636" s="2">
        <f t="shared" si="1360"/>
        <v>23.332000000000001</v>
      </c>
      <c r="BG636" s="2">
        <f t="shared" si="1360"/>
        <v>22.836999999999996</v>
      </c>
      <c r="BH636" s="2">
        <f t="shared" si="1360"/>
        <v>24.012</v>
      </c>
      <c r="BI636" s="90">
        <f t="shared" si="1361"/>
        <v>93.135999999999996</v>
      </c>
      <c r="BJ636" s="2">
        <f t="shared" ref="BJ636:BM636" si="1367">BJ392</f>
        <v>25.350973750000001</v>
      </c>
      <c r="BK636" s="2">
        <f t="shared" si="1367"/>
        <v>25.970161198437495</v>
      </c>
      <c r="BL636" s="2">
        <f t="shared" si="1367"/>
        <v>26.647392400666011</v>
      </c>
      <c r="BM636" s="2">
        <f t="shared" si="1367"/>
        <v>27.303449068475683</v>
      </c>
      <c r="BN636" s="86">
        <f t="shared" si="1363"/>
        <v>105.2719764175792</v>
      </c>
      <c r="BO636" s="2">
        <f t="shared" ref="BO636:BR636" si="1368">BO392</f>
        <v>27.938992933715486</v>
      </c>
      <c r="BP636" s="2">
        <f t="shared" si="1368"/>
        <v>28.477258799044961</v>
      </c>
      <c r="BQ636" s="2">
        <f t="shared" si="1368"/>
        <v>29.076097332596625</v>
      </c>
      <c r="BR636" s="2">
        <f t="shared" si="1368"/>
        <v>29.656211217297248</v>
      </c>
      <c r="BS636" s="86">
        <f t="shared" si="1365"/>
        <v>115.14856028265433</v>
      </c>
      <c r="BT636" s="86">
        <f t="shared" ref="BT636:BV636" si="1369">BT392</f>
        <v>120.87274250314043</v>
      </c>
      <c r="BU636" s="86">
        <f t="shared" si="1369"/>
        <v>126.48692159434118</v>
      </c>
      <c r="BV636" s="86">
        <f t="shared" si="1369"/>
        <v>131.39834558010091</v>
      </c>
      <c r="BW636" s="4"/>
    </row>
    <row r="637" spans="1:75" ht="15.75" customHeight="1" x14ac:dyDescent="0.2">
      <c r="A637" s="85" t="str">
        <f t="shared" si="1338"/>
        <v>Impairment of assets and lease terminations</v>
      </c>
      <c r="B637" s="85"/>
      <c r="C637" s="86">
        <f t="shared" si="1339"/>
        <v>26.541</v>
      </c>
      <c r="D637" s="86">
        <f t="shared" si="1339"/>
        <v>0</v>
      </c>
      <c r="E637" s="86">
        <f t="shared" si="1339"/>
        <v>1.5469999999999999</v>
      </c>
      <c r="F637" s="86">
        <f t="shared" si="1339"/>
        <v>5.4690000000000003</v>
      </c>
      <c r="G637" s="2">
        <f t="shared" si="1339"/>
        <v>0.46400000000000002</v>
      </c>
      <c r="H637" s="2">
        <f t="shared" si="1340"/>
        <v>1.0409999999999999</v>
      </c>
      <c r="I637" s="2">
        <f t="shared" si="1340"/>
        <v>1.5329999999999999</v>
      </c>
      <c r="J637" s="2">
        <f t="shared" si="1340"/>
        <v>0.25600000000000023</v>
      </c>
      <c r="K637" s="86">
        <f t="shared" si="1341"/>
        <v>3.294</v>
      </c>
      <c r="L637" s="2">
        <f t="shared" si="1341"/>
        <v>0.186</v>
      </c>
      <c r="M637" s="2">
        <f t="shared" si="1342"/>
        <v>0.43099999999999999</v>
      </c>
      <c r="N637" s="2">
        <f t="shared" si="1342"/>
        <v>-0.18</v>
      </c>
      <c r="O637" s="2">
        <f t="shared" si="1342"/>
        <v>-0.192</v>
      </c>
      <c r="P637" s="86">
        <f t="shared" si="1343"/>
        <v>0.245</v>
      </c>
      <c r="Q637" s="2">
        <f t="shared" si="1343"/>
        <v>0</v>
      </c>
      <c r="R637" s="2">
        <f t="shared" si="1344"/>
        <v>0</v>
      </c>
      <c r="S637" s="2">
        <f t="shared" si="1344"/>
        <v>6.0110000000000001</v>
      </c>
      <c r="T637" s="2">
        <f t="shared" si="1344"/>
        <v>0</v>
      </c>
      <c r="U637" s="86">
        <f t="shared" si="1345"/>
        <v>6.0110000000000001</v>
      </c>
      <c r="V637" s="2">
        <f t="shared" si="1345"/>
        <v>0</v>
      </c>
      <c r="W637" s="2">
        <f t="shared" si="1346"/>
        <v>0</v>
      </c>
      <c r="X637" s="2">
        <f t="shared" si="1346"/>
        <v>0</v>
      </c>
      <c r="Y637" s="2">
        <f t="shared" si="1346"/>
        <v>0.114</v>
      </c>
      <c r="Z637" s="86">
        <f t="shared" si="1347"/>
        <v>0.114</v>
      </c>
      <c r="AA637" s="2">
        <f t="shared" si="1347"/>
        <v>0.78600000000000003</v>
      </c>
      <c r="AB637" s="2">
        <f t="shared" si="1348"/>
        <v>0.70300000000000007</v>
      </c>
      <c r="AC637" s="2">
        <f t="shared" si="1348"/>
        <v>2.0000000000000018E-3</v>
      </c>
      <c r="AD637" s="2">
        <f t="shared" si="1348"/>
        <v>9.0950000000000006</v>
      </c>
      <c r="AE637" s="86">
        <f t="shared" si="1349"/>
        <v>10.586</v>
      </c>
      <c r="AF637" s="2">
        <f t="shared" si="1349"/>
        <v>0</v>
      </c>
      <c r="AG637" s="2">
        <f t="shared" si="1350"/>
        <v>2.4929999999999999</v>
      </c>
      <c r="AH637" s="2">
        <f t="shared" si="1350"/>
        <v>3.9000000000000146E-2</v>
      </c>
      <c r="AI637" s="2">
        <f t="shared" si="1350"/>
        <v>13.879000000000001</v>
      </c>
      <c r="AJ637" s="86">
        <f t="shared" si="1351"/>
        <v>16.411000000000001</v>
      </c>
      <c r="AK637" s="2">
        <f t="shared" si="1351"/>
        <v>0</v>
      </c>
      <c r="AL637" s="2">
        <f t="shared" si="1352"/>
        <v>0</v>
      </c>
      <c r="AM637" s="2">
        <f t="shared" si="1352"/>
        <v>0</v>
      </c>
      <c r="AN637" s="2">
        <f t="shared" si="1352"/>
        <v>16.222999999999999</v>
      </c>
      <c r="AO637" s="86">
        <f t="shared" si="1353"/>
        <v>16.222999999999999</v>
      </c>
      <c r="AP637" s="2">
        <f t="shared" si="1353"/>
        <v>191.571</v>
      </c>
      <c r="AQ637" s="2">
        <f t="shared" si="1354"/>
        <v>2.3180000000000121</v>
      </c>
      <c r="AR637" s="2">
        <f t="shared" si="1354"/>
        <v>2.0919999999999845</v>
      </c>
      <c r="AS637" s="2">
        <f t="shared" si="1354"/>
        <v>12.085000000000008</v>
      </c>
      <c r="AT637" s="86">
        <f t="shared" si="1355"/>
        <v>208.066</v>
      </c>
      <c r="AU637" s="2">
        <f t="shared" si="1355"/>
        <v>0.43099999999999999</v>
      </c>
      <c r="AV637" s="2">
        <f t="shared" si="1356"/>
        <v>-3.6999999999999977E-2</v>
      </c>
      <c r="AW637" s="2">
        <f t="shared" si="1356"/>
        <v>0</v>
      </c>
      <c r="AX637" s="2">
        <f t="shared" si="1356"/>
        <v>17.543000000000003</v>
      </c>
      <c r="AY637" s="86">
        <f t="shared" si="1357"/>
        <v>17.937000000000001</v>
      </c>
      <c r="AZ637" s="2">
        <f t="shared" si="1357"/>
        <v>0.14899999999999999</v>
      </c>
      <c r="BA637" s="2">
        <f t="shared" si="1358"/>
        <v>0.10100000000000001</v>
      </c>
      <c r="BB637" s="2">
        <f t="shared" si="1358"/>
        <v>0</v>
      </c>
      <c r="BC637" s="2">
        <f t="shared" si="1358"/>
        <v>31.077000000000002</v>
      </c>
      <c r="BD637" s="86">
        <f t="shared" si="1359"/>
        <v>31.327000000000002</v>
      </c>
      <c r="BE637" s="2">
        <f t="shared" si="1359"/>
        <v>-1.4E-2</v>
      </c>
      <c r="BF637" s="2">
        <f t="shared" si="1360"/>
        <v>-0.754</v>
      </c>
      <c r="BG637" s="2">
        <f t="shared" si="1360"/>
        <v>1.5000000000000013E-2</v>
      </c>
      <c r="BH637" s="2">
        <f t="shared" si="1360"/>
        <v>27.751000000000001</v>
      </c>
      <c r="BI637" s="90">
        <f t="shared" si="1361"/>
        <v>26.998000000000001</v>
      </c>
      <c r="BJ637" s="2"/>
      <c r="BK637" s="2"/>
      <c r="BL637" s="2"/>
      <c r="BM637" s="2"/>
      <c r="BN637" s="86">
        <f t="shared" si="1363"/>
        <v>0</v>
      </c>
      <c r="BO637" s="2"/>
      <c r="BP637" s="2"/>
      <c r="BQ637" s="2"/>
      <c r="BR637" s="2"/>
      <c r="BS637" s="86">
        <f t="shared" si="1365"/>
        <v>0</v>
      </c>
      <c r="BT637" s="86"/>
      <c r="BU637" s="86"/>
      <c r="BV637" s="86"/>
      <c r="BW637" s="4"/>
    </row>
    <row r="638" spans="1:75" ht="15.75" customHeight="1" x14ac:dyDescent="0.2">
      <c r="A638" s="85" t="str">
        <f t="shared" si="1338"/>
        <v>Deferred income taxes</v>
      </c>
      <c r="B638" s="85"/>
      <c r="C638" s="86">
        <f t="shared" si="1339"/>
        <v>-4.798</v>
      </c>
      <c r="D638" s="86">
        <f t="shared" si="1339"/>
        <v>-4.0869999999999997</v>
      </c>
      <c r="E638" s="86">
        <f t="shared" si="1339"/>
        <v>7.907</v>
      </c>
      <c r="F638" s="86">
        <f t="shared" si="1339"/>
        <v>-12.757999999999999</v>
      </c>
      <c r="G638" s="2">
        <f t="shared" si="1339"/>
        <v>2.278</v>
      </c>
      <c r="H638" s="2">
        <f t="shared" si="1340"/>
        <v>2.44</v>
      </c>
      <c r="I638" s="2">
        <f t="shared" si="1340"/>
        <v>1.5309999999999997</v>
      </c>
      <c r="J638" s="2">
        <f t="shared" si="1340"/>
        <v>-1.6159999999999997</v>
      </c>
      <c r="K638" s="86">
        <f t="shared" si="1341"/>
        <v>4.633</v>
      </c>
      <c r="L638" s="2">
        <f t="shared" si="1341"/>
        <v>0.81100000000000005</v>
      </c>
      <c r="M638" s="2">
        <f t="shared" si="1342"/>
        <v>-1.0010000000000001</v>
      </c>
      <c r="N638" s="2">
        <f t="shared" si="1342"/>
        <v>-0.9850000000000001</v>
      </c>
      <c r="O638" s="2">
        <f t="shared" si="1342"/>
        <v>1.379</v>
      </c>
      <c r="P638" s="86">
        <f t="shared" si="1343"/>
        <v>0.20399999999999999</v>
      </c>
      <c r="Q638" s="2">
        <f t="shared" si="1343"/>
        <v>1.2150000000000001</v>
      </c>
      <c r="R638" s="2">
        <f t="shared" si="1344"/>
        <v>-6.9000000000000172E-2</v>
      </c>
      <c r="S638" s="2">
        <f t="shared" si="1344"/>
        <v>-0.47099999999999986</v>
      </c>
      <c r="T638" s="2">
        <f t="shared" si="1344"/>
        <v>0.5089999999999999</v>
      </c>
      <c r="U638" s="86">
        <f t="shared" si="1345"/>
        <v>1.1839999999999999</v>
      </c>
      <c r="V638" s="2">
        <f t="shared" si="1345"/>
        <v>3.161</v>
      </c>
      <c r="W638" s="2">
        <f t="shared" si="1346"/>
        <v>-1.948</v>
      </c>
      <c r="X638" s="2">
        <f t="shared" si="1346"/>
        <v>-0.64900000000000013</v>
      </c>
      <c r="Y638" s="2">
        <f t="shared" si="1346"/>
        <v>-1.569</v>
      </c>
      <c r="Z638" s="86">
        <f t="shared" si="1347"/>
        <v>-1.0049999999999999</v>
      </c>
      <c r="AA638" s="2">
        <f t="shared" si="1347"/>
        <v>3.1859999999999999</v>
      </c>
      <c r="AB638" s="2">
        <f t="shared" si="1348"/>
        <v>-0.92200000000000015</v>
      </c>
      <c r="AC638" s="2">
        <f t="shared" si="1348"/>
        <v>-1.1249999999999998</v>
      </c>
      <c r="AD638" s="2">
        <f t="shared" si="1348"/>
        <v>-26.318999999999999</v>
      </c>
      <c r="AE638" s="86">
        <f t="shared" si="1349"/>
        <v>-25.18</v>
      </c>
      <c r="AF638" s="2">
        <f t="shared" si="1349"/>
        <v>1.157</v>
      </c>
      <c r="AG638" s="2">
        <f t="shared" si="1350"/>
        <v>-0.35199999999999998</v>
      </c>
      <c r="AH638" s="2">
        <f t="shared" si="1350"/>
        <v>0.11099999999999999</v>
      </c>
      <c r="AI638" s="2">
        <f t="shared" si="1350"/>
        <v>-6.4260000000000002</v>
      </c>
      <c r="AJ638" s="86">
        <f t="shared" si="1351"/>
        <v>-5.51</v>
      </c>
      <c r="AK638" s="2">
        <f t="shared" si="1351"/>
        <v>1.792</v>
      </c>
      <c r="AL638" s="2">
        <f t="shared" si="1352"/>
        <v>-4.0810000000000004</v>
      </c>
      <c r="AM638" s="2">
        <f t="shared" si="1352"/>
        <v>-0.35099999999999998</v>
      </c>
      <c r="AN638" s="2">
        <f t="shared" si="1352"/>
        <v>0.44300000000000006</v>
      </c>
      <c r="AO638" s="86">
        <f t="shared" si="1353"/>
        <v>-2.1970000000000001</v>
      </c>
      <c r="AP638" s="2">
        <f t="shared" si="1353"/>
        <v>-11.231</v>
      </c>
      <c r="AQ638" s="2">
        <f t="shared" si="1354"/>
        <v>5.7999999999999829E-2</v>
      </c>
      <c r="AR638" s="2">
        <f t="shared" si="1354"/>
        <v>-41.805999999999997</v>
      </c>
      <c r="AS638" s="2">
        <f t="shared" si="1354"/>
        <v>-14.248999999999995</v>
      </c>
      <c r="AT638" s="86">
        <f t="shared" si="1355"/>
        <v>-67.227999999999994</v>
      </c>
      <c r="AU638" s="2">
        <f t="shared" si="1355"/>
        <v>-1.508</v>
      </c>
      <c r="AV638" s="2">
        <f t="shared" si="1356"/>
        <v>-1.387</v>
      </c>
      <c r="AW638" s="2">
        <f t="shared" si="1356"/>
        <v>-2.3320000000000003</v>
      </c>
      <c r="AX638" s="2">
        <f t="shared" si="1356"/>
        <v>-15.622</v>
      </c>
      <c r="AY638" s="86">
        <f t="shared" si="1357"/>
        <v>-20.849</v>
      </c>
      <c r="AZ638" s="2">
        <f t="shared" si="1357"/>
        <v>3.8690000000000002</v>
      </c>
      <c r="BA638" s="2">
        <f t="shared" si="1358"/>
        <v>-3.5900000000000003</v>
      </c>
      <c r="BB638" s="2">
        <f t="shared" si="1358"/>
        <v>-2.9119999999999999</v>
      </c>
      <c r="BC638" s="2">
        <f t="shared" si="1358"/>
        <v>-16.013000000000002</v>
      </c>
      <c r="BD638" s="86">
        <f t="shared" si="1359"/>
        <v>-18.646000000000001</v>
      </c>
      <c r="BE638" s="2">
        <f t="shared" si="1359"/>
        <v>3.1920000000000002</v>
      </c>
      <c r="BF638" s="2">
        <f t="shared" si="1360"/>
        <v>-0.72300000000000031</v>
      </c>
      <c r="BG638" s="2">
        <f t="shared" si="1360"/>
        <v>-0.85599999999999987</v>
      </c>
      <c r="BH638" s="2">
        <f t="shared" si="1360"/>
        <v>-17.327999999999999</v>
      </c>
      <c r="BI638" s="90">
        <f t="shared" si="1361"/>
        <v>-15.715</v>
      </c>
      <c r="BJ638" s="2">
        <f t="shared" ref="BJ638:BM638" si="1370">BJ404</f>
        <v>0.35068902536221702</v>
      </c>
      <c r="BK638" s="2">
        <f t="shared" ca="1" si="1370"/>
        <v>1.7446574313727758</v>
      </c>
      <c r="BL638" s="2">
        <f t="shared" ca="1" si="1370"/>
        <v>0.51975089956585374</v>
      </c>
      <c r="BM638" s="2">
        <f t="shared" ca="1" si="1370"/>
        <v>1.5556947684788156</v>
      </c>
      <c r="BN638" s="86">
        <f t="shared" ca="1" si="1363"/>
        <v>4.1707921247796627</v>
      </c>
      <c r="BO638" s="2">
        <f t="shared" ref="BO638:BR638" ca="1" si="1371">BO404</f>
        <v>0.35267406228209247</v>
      </c>
      <c r="BP638" s="2">
        <f t="shared" ca="1" si="1371"/>
        <v>1.7877278313453411</v>
      </c>
      <c r="BQ638" s="2">
        <f t="shared" ca="1" si="1371"/>
        <v>0.60307018384904132</v>
      </c>
      <c r="BR638" s="2">
        <f t="shared" ca="1" si="1371"/>
        <v>1.7265781044678334</v>
      </c>
      <c r="BS638" s="86">
        <f t="shared" ca="1" si="1365"/>
        <v>4.4700501819443081</v>
      </c>
      <c r="BT638" s="86">
        <f t="shared" ref="BT638:BV638" ca="1" si="1372">BT404</f>
        <v>5.9785009194385665</v>
      </c>
      <c r="BU638" s="86">
        <f t="shared" ca="1" si="1372"/>
        <v>6.5267859667293404</v>
      </c>
      <c r="BV638" s="86">
        <f t="shared" ca="1" si="1372"/>
        <v>7.2865956343992089</v>
      </c>
      <c r="BW638" s="4"/>
    </row>
    <row r="639" spans="1:75" ht="15.75" customHeight="1" x14ac:dyDescent="0.2">
      <c r="A639" s="85" t="str">
        <f t="shared" si="1338"/>
        <v>Stock-based compensation</v>
      </c>
      <c r="B639" s="85"/>
      <c r="C639" s="86">
        <f t="shared" si="1339"/>
        <v>14.61</v>
      </c>
      <c r="D639" s="86">
        <f t="shared" si="1339"/>
        <v>10.913</v>
      </c>
      <c r="E639" s="86">
        <f t="shared" si="1339"/>
        <v>9.6349999999999998</v>
      </c>
      <c r="F639" s="86">
        <f t="shared" si="1339"/>
        <v>10.837999999999999</v>
      </c>
      <c r="G639" s="2">
        <f t="shared" si="1339"/>
        <v>3.4049999999999998</v>
      </c>
      <c r="H639" s="2">
        <f t="shared" si="1340"/>
        <v>3.4079999999999999</v>
      </c>
      <c r="I639" s="2">
        <f t="shared" si="1340"/>
        <v>3.46</v>
      </c>
      <c r="J639" s="2">
        <f t="shared" si="1340"/>
        <v>3.8620000000000001</v>
      </c>
      <c r="K639" s="86">
        <f t="shared" si="1341"/>
        <v>14.135</v>
      </c>
      <c r="L639" s="2">
        <f t="shared" si="1341"/>
        <v>3.839</v>
      </c>
      <c r="M639" s="2">
        <f t="shared" si="1342"/>
        <v>3.8990000000000005</v>
      </c>
      <c r="N639" s="2">
        <f t="shared" si="1342"/>
        <v>4.0549999999999988</v>
      </c>
      <c r="O639" s="2">
        <f t="shared" si="1342"/>
        <v>5.0240000000000009</v>
      </c>
      <c r="P639" s="86">
        <f t="shared" si="1343"/>
        <v>16.817</v>
      </c>
      <c r="Q639" s="2">
        <f t="shared" si="1343"/>
        <v>4.7309999999999999</v>
      </c>
      <c r="R639" s="2">
        <f t="shared" si="1344"/>
        <v>4.9459999999999997</v>
      </c>
      <c r="S639" s="2">
        <f t="shared" si="1344"/>
        <v>4.8719999999999999</v>
      </c>
      <c r="T639" s="2">
        <f t="shared" si="1344"/>
        <v>5.5040000000000013</v>
      </c>
      <c r="U639" s="86">
        <f t="shared" si="1345"/>
        <v>20.053000000000001</v>
      </c>
      <c r="V639" s="2">
        <f t="shared" si="1345"/>
        <v>5.1849999999999996</v>
      </c>
      <c r="W639" s="2">
        <f t="shared" si="1346"/>
        <v>6.1190000000000007</v>
      </c>
      <c r="X639" s="2">
        <f t="shared" si="1346"/>
        <v>4.8729999999999993</v>
      </c>
      <c r="Y639" s="2">
        <f t="shared" si="1346"/>
        <v>5.2959999999999994</v>
      </c>
      <c r="Z639" s="86">
        <f t="shared" si="1347"/>
        <v>21.472999999999999</v>
      </c>
      <c r="AA639" s="2">
        <f t="shared" si="1347"/>
        <v>4.6150000000000002</v>
      </c>
      <c r="AB639" s="2">
        <f t="shared" si="1348"/>
        <v>5.173</v>
      </c>
      <c r="AC639" s="2">
        <f t="shared" si="1348"/>
        <v>5.2789999999999999</v>
      </c>
      <c r="AD639" s="2">
        <f t="shared" si="1348"/>
        <v>1.3900000000000006</v>
      </c>
      <c r="AE639" s="86">
        <f t="shared" si="1349"/>
        <v>16.457000000000001</v>
      </c>
      <c r="AF639" s="2">
        <f t="shared" si="1349"/>
        <v>6.0129999999999999</v>
      </c>
      <c r="AG639" s="2">
        <f t="shared" si="1350"/>
        <v>5.0619999999999994</v>
      </c>
      <c r="AH639" s="2">
        <f t="shared" si="1350"/>
        <v>4.7320000000000011</v>
      </c>
      <c r="AI639" s="2">
        <f t="shared" si="1350"/>
        <v>4.1809999999999992</v>
      </c>
      <c r="AJ639" s="86">
        <f t="shared" si="1351"/>
        <v>19.988</v>
      </c>
      <c r="AK639" s="2">
        <f t="shared" si="1351"/>
        <v>5.8470000000000004</v>
      </c>
      <c r="AL639" s="2">
        <f t="shared" si="1352"/>
        <v>4.6409999999999991</v>
      </c>
      <c r="AM639" s="2">
        <f t="shared" si="1352"/>
        <v>4.6470000000000002</v>
      </c>
      <c r="AN639" s="2">
        <f t="shared" si="1352"/>
        <v>4.2380000000000013</v>
      </c>
      <c r="AO639" s="86">
        <f t="shared" si="1353"/>
        <v>19.373000000000001</v>
      </c>
      <c r="AP639" s="2">
        <f t="shared" si="1353"/>
        <v>5.5069999999999997</v>
      </c>
      <c r="AQ639" s="2">
        <f t="shared" si="1354"/>
        <v>5.1100000000000012</v>
      </c>
      <c r="AR639" s="2">
        <f t="shared" si="1354"/>
        <v>4.9159999999999986</v>
      </c>
      <c r="AS639" s="2">
        <f t="shared" si="1354"/>
        <v>5.8170000000000019</v>
      </c>
      <c r="AT639" s="86">
        <f t="shared" si="1355"/>
        <v>21.35</v>
      </c>
      <c r="AU639" s="2">
        <f t="shared" si="1355"/>
        <v>5.444</v>
      </c>
      <c r="AV639" s="2">
        <f t="shared" si="1356"/>
        <v>5.4910000000000005</v>
      </c>
      <c r="AW639" s="2">
        <f t="shared" si="1356"/>
        <v>5.3940000000000001</v>
      </c>
      <c r="AX639" s="2">
        <f t="shared" si="1356"/>
        <v>6.6589999999999989</v>
      </c>
      <c r="AY639" s="86">
        <f t="shared" si="1357"/>
        <v>22.988</v>
      </c>
      <c r="AZ639" s="2">
        <f t="shared" si="1357"/>
        <v>5.5179999999999998</v>
      </c>
      <c r="BA639" s="2">
        <f t="shared" si="1358"/>
        <v>6.0889999999999995</v>
      </c>
      <c r="BB639" s="2">
        <f t="shared" si="1358"/>
        <v>5.6129999999999995</v>
      </c>
      <c r="BC639" s="2">
        <f t="shared" si="1358"/>
        <v>7.2059999999999995</v>
      </c>
      <c r="BD639" s="86">
        <f t="shared" si="1359"/>
        <v>24.425999999999998</v>
      </c>
      <c r="BE639" s="2">
        <f t="shared" si="1359"/>
        <v>5.9020000000000001</v>
      </c>
      <c r="BF639" s="2">
        <f t="shared" si="1360"/>
        <v>6.3250000000000002</v>
      </c>
      <c r="BG639" s="2">
        <f t="shared" si="1360"/>
        <v>6.6230000000000011</v>
      </c>
      <c r="BH639" s="2">
        <f t="shared" si="1360"/>
        <v>6.9309999999999974</v>
      </c>
      <c r="BI639" s="90">
        <f t="shared" si="1361"/>
        <v>25.780999999999999</v>
      </c>
      <c r="BJ639" s="2">
        <f t="shared" ref="BJ639:BM639" si="1373">BJ393</f>
        <v>6</v>
      </c>
      <c r="BK639" s="2">
        <f t="shared" si="1373"/>
        <v>6</v>
      </c>
      <c r="BL639" s="2">
        <f t="shared" si="1373"/>
        <v>6</v>
      </c>
      <c r="BM639" s="2">
        <f t="shared" si="1373"/>
        <v>6</v>
      </c>
      <c r="BN639" s="86">
        <f t="shared" si="1363"/>
        <v>24</v>
      </c>
      <c r="BO639" s="2">
        <f t="shared" ref="BO639:BR639" si="1374">BO393</f>
        <v>6</v>
      </c>
      <c r="BP639" s="2">
        <f t="shared" si="1374"/>
        <v>6</v>
      </c>
      <c r="BQ639" s="2">
        <f t="shared" si="1374"/>
        <v>6</v>
      </c>
      <c r="BR639" s="2">
        <f t="shared" si="1374"/>
        <v>6</v>
      </c>
      <c r="BS639" s="86">
        <f t="shared" si="1365"/>
        <v>24</v>
      </c>
      <c r="BT639" s="86">
        <f t="shared" ref="BT639:BV639" si="1375">BT393</f>
        <v>24</v>
      </c>
      <c r="BU639" s="86">
        <f t="shared" si="1375"/>
        <v>24</v>
      </c>
      <c r="BV639" s="86">
        <f t="shared" si="1375"/>
        <v>24</v>
      </c>
      <c r="BW639" s="4"/>
    </row>
    <row r="640" spans="1:75" ht="15.75" customHeight="1" x14ac:dyDescent="0.2">
      <c r="A640" s="85" t="str">
        <f t="shared" si="1338"/>
        <v>Loss from investments in unconsolidated affiliates</v>
      </c>
      <c r="B640" s="85"/>
      <c r="C640" s="86">
        <f t="shared" si="1339"/>
        <v>0</v>
      </c>
      <c r="D640" s="86">
        <f t="shared" si="1339"/>
        <v>0</v>
      </c>
      <c r="E640" s="86">
        <f t="shared" si="1339"/>
        <v>0</v>
      </c>
      <c r="F640" s="86">
        <f t="shared" si="1339"/>
        <v>0</v>
      </c>
      <c r="G640" s="2">
        <f t="shared" si="1339"/>
        <v>0</v>
      </c>
      <c r="H640" s="2">
        <f t="shared" si="1340"/>
        <v>0</v>
      </c>
      <c r="I640" s="2">
        <f t="shared" si="1340"/>
        <v>0</v>
      </c>
      <c r="J640" s="2">
        <f t="shared" si="1340"/>
        <v>0</v>
      </c>
      <c r="K640" s="86">
        <f t="shared" si="1341"/>
        <v>0</v>
      </c>
      <c r="L640" s="2">
        <f t="shared" si="1341"/>
        <v>0</v>
      </c>
      <c r="M640" s="2">
        <f t="shared" si="1342"/>
        <v>0</v>
      </c>
      <c r="N640" s="2">
        <f t="shared" si="1342"/>
        <v>0</v>
      </c>
      <c r="O640" s="2">
        <f t="shared" si="1342"/>
        <v>0</v>
      </c>
      <c r="P640" s="86">
        <f t="shared" si="1343"/>
        <v>0</v>
      </c>
      <c r="Q640" s="2">
        <f t="shared" si="1343"/>
        <v>0</v>
      </c>
      <c r="R640" s="2">
        <f t="shared" si="1344"/>
        <v>0</v>
      </c>
      <c r="S640" s="2">
        <f t="shared" si="1344"/>
        <v>0</v>
      </c>
      <c r="T640" s="2">
        <f t="shared" si="1344"/>
        <v>0</v>
      </c>
      <c r="U640" s="86">
        <f t="shared" si="1345"/>
        <v>0</v>
      </c>
      <c r="V640" s="2">
        <f t="shared" si="1345"/>
        <v>0</v>
      </c>
      <c r="W640" s="2">
        <f t="shared" si="1346"/>
        <v>0</v>
      </c>
      <c r="X640" s="2">
        <f t="shared" si="1346"/>
        <v>0</v>
      </c>
      <c r="Y640" s="2">
        <f t="shared" si="1346"/>
        <v>0</v>
      </c>
      <c r="Z640" s="86">
        <f t="shared" si="1347"/>
        <v>0</v>
      </c>
      <c r="AA640" s="2">
        <f t="shared" si="1347"/>
        <v>0</v>
      </c>
      <c r="AB640" s="2">
        <f t="shared" si="1348"/>
        <v>0</v>
      </c>
      <c r="AC640" s="2">
        <f t="shared" si="1348"/>
        <v>0</v>
      </c>
      <c r="AD640" s="2">
        <f t="shared" si="1348"/>
        <v>0</v>
      </c>
      <c r="AE640" s="86">
        <f t="shared" si="1349"/>
        <v>0</v>
      </c>
      <c r="AF640" s="2">
        <f t="shared" si="1349"/>
        <v>0</v>
      </c>
      <c r="AG640" s="2">
        <f t="shared" si="1350"/>
        <v>0</v>
      </c>
      <c r="AH640" s="2">
        <f t="shared" si="1350"/>
        <v>0</v>
      </c>
      <c r="AI640" s="2">
        <f t="shared" si="1350"/>
        <v>4.7539999999999996</v>
      </c>
      <c r="AJ640" s="86">
        <f t="shared" si="1351"/>
        <v>4.7539999999999996</v>
      </c>
      <c r="AK640" s="2">
        <f t="shared" si="1351"/>
        <v>1.45</v>
      </c>
      <c r="AL640" s="2">
        <f t="shared" si="1352"/>
        <v>1.6439999999999999</v>
      </c>
      <c r="AM640" s="2">
        <f t="shared" si="1352"/>
        <v>10.345000000000001</v>
      </c>
      <c r="AN640" s="2">
        <f t="shared" si="1352"/>
        <v>-52.672000000000004</v>
      </c>
      <c r="AO640" s="86">
        <f t="shared" si="1353"/>
        <v>-39.233000000000004</v>
      </c>
      <c r="AP640" s="2">
        <f t="shared" si="1353"/>
        <v>0</v>
      </c>
      <c r="AQ640" s="2">
        <f t="shared" si="1354"/>
        <v>0</v>
      </c>
      <c r="AR640" s="2">
        <f t="shared" si="1354"/>
        <v>0</v>
      </c>
      <c r="AS640" s="2">
        <f t="shared" si="1354"/>
        <v>0</v>
      </c>
      <c r="AT640" s="86">
        <f t="shared" si="1355"/>
        <v>0</v>
      </c>
      <c r="AU640" s="2">
        <f t="shared" si="1355"/>
        <v>0</v>
      </c>
      <c r="AV640" s="2">
        <f t="shared" si="1356"/>
        <v>0</v>
      </c>
      <c r="AW640" s="2">
        <f t="shared" si="1356"/>
        <v>0</v>
      </c>
      <c r="AX640" s="2">
        <f t="shared" si="1356"/>
        <v>0</v>
      </c>
      <c r="AY640" s="86">
        <f t="shared" si="1357"/>
        <v>0</v>
      </c>
      <c r="AZ640" s="2">
        <f t="shared" si="1357"/>
        <v>0</v>
      </c>
      <c r="BA640" s="2">
        <f t="shared" si="1358"/>
        <v>0</v>
      </c>
      <c r="BB640" s="2">
        <f t="shared" si="1358"/>
        <v>0</v>
      </c>
      <c r="BC640" s="2">
        <f t="shared" si="1358"/>
        <v>0</v>
      </c>
      <c r="BD640" s="86">
        <f t="shared" si="1359"/>
        <v>0</v>
      </c>
      <c r="BE640" s="2">
        <f t="shared" si="1359"/>
        <v>0</v>
      </c>
      <c r="BF640" s="2">
        <f t="shared" si="1360"/>
        <v>0</v>
      </c>
      <c r="BG640" s="2">
        <f t="shared" si="1360"/>
        <v>0</v>
      </c>
      <c r="BH640" s="2">
        <f t="shared" si="1360"/>
        <v>0</v>
      </c>
      <c r="BI640" s="90">
        <f t="shared" si="1361"/>
        <v>0</v>
      </c>
      <c r="BJ640" s="2"/>
      <c r="BK640" s="2"/>
      <c r="BL640" s="2"/>
      <c r="BM640" s="2"/>
      <c r="BN640" s="86">
        <f t="shared" si="1363"/>
        <v>0</v>
      </c>
      <c r="BO640" s="2"/>
      <c r="BP640" s="2"/>
      <c r="BQ640" s="2"/>
      <c r="BR640" s="2"/>
      <c r="BS640" s="86">
        <f t="shared" si="1365"/>
        <v>0</v>
      </c>
      <c r="BT640" s="86"/>
      <c r="BU640" s="86"/>
      <c r="BV640" s="86"/>
      <c r="BW640" s="4"/>
    </row>
    <row r="641" spans="1:75" ht="15.75" customHeight="1" x14ac:dyDescent="0.2">
      <c r="A641" s="85" t="str">
        <f t="shared" si="1338"/>
        <v>Tax impact of stock options exercised, net of cancellations</v>
      </c>
      <c r="B641" s="85"/>
      <c r="C641" s="86">
        <f t="shared" si="1339"/>
        <v>-1.117</v>
      </c>
      <c r="D641" s="86">
        <f t="shared" si="1339"/>
        <v>0.23300000000000001</v>
      </c>
      <c r="E641" s="86">
        <f t="shared" si="1339"/>
        <v>0.84399999999999997</v>
      </c>
      <c r="F641" s="86">
        <f t="shared" si="1339"/>
        <v>2.4350000000000001</v>
      </c>
      <c r="G641" s="2">
        <f t="shared" si="1339"/>
        <v>1.6439999999999999</v>
      </c>
      <c r="H641" s="2">
        <f t="shared" si="1340"/>
        <v>0.72799999999999998</v>
      </c>
      <c r="I641" s="2">
        <f t="shared" si="1340"/>
        <v>1.9850000000000003</v>
      </c>
      <c r="J641" s="2">
        <f t="shared" si="1340"/>
        <v>2.8019999999999996</v>
      </c>
      <c r="K641" s="86">
        <f t="shared" si="1341"/>
        <v>7.1589999999999998</v>
      </c>
      <c r="L641" s="2">
        <f t="shared" si="1341"/>
        <v>3.9420000000000002</v>
      </c>
      <c r="M641" s="2">
        <f t="shared" si="1342"/>
        <v>1.0899999999999999</v>
      </c>
      <c r="N641" s="2">
        <f t="shared" si="1342"/>
        <v>1.3449999999999998</v>
      </c>
      <c r="O641" s="2">
        <f t="shared" si="1342"/>
        <v>2.5290000000000008</v>
      </c>
      <c r="P641" s="86">
        <f t="shared" si="1343"/>
        <v>8.9060000000000006</v>
      </c>
      <c r="Q641" s="2">
        <f t="shared" si="1343"/>
        <v>4.34</v>
      </c>
      <c r="R641" s="2">
        <f t="shared" si="1344"/>
        <v>3.4980000000000002</v>
      </c>
      <c r="S641" s="2">
        <f t="shared" si="1344"/>
        <v>3.8090000000000002</v>
      </c>
      <c r="T641" s="2">
        <f t="shared" si="1344"/>
        <v>0.8539999999999992</v>
      </c>
      <c r="U641" s="86">
        <f t="shared" si="1345"/>
        <v>12.500999999999999</v>
      </c>
      <c r="V641" s="2">
        <f t="shared" si="1345"/>
        <v>5.9399999999999995</v>
      </c>
      <c r="W641" s="2">
        <f t="shared" si="1346"/>
        <v>0.61900000000000066</v>
      </c>
      <c r="X641" s="2">
        <f t="shared" si="1346"/>
        <v>1.8909999999999991</v>
      </c>
      <c r="Y641" s="2">
        <f t="shared" si="1346"/>
        <v>5.2720000000000002</v>
      </c>
      <c r="Z641" s="86">
        <f t="shared" si="1347"/>
        <v>13.722</v>
      </c>
      <c r="AA641" s="2">
        <f t="shared" si="1347"/>
        <v>0</v>
      </c>
      <c r="AB641" s="2">
        <f t="shared" si="1348"/>
        <v>0</v>
      </c>
      <c r="AC641" s="2">
        <f t="shared" si="1348"/>
        <v>0</v>
      </c>
      <c r="AD641" s="2">
        <f t="shared" si="1348"/>
        <v>0</v>
      </c>
      <c r="AE641" s="86">
        <f t="shared" si="1349"/>
        <v>0</v>
      </c>
      <c r="AF641" s="2">
        <f t="shared" si="1349"/>
        <v>0</v>
      </c>
      <c r="AG641" s="2">
        <f t="shared" si="1350"/>
        <v>0</v>
      </c>
      <c r="AH641" s="2">
        <f t="shared" si="1350"/>
        <v>0</v>
      </c>
      <c r="AI641" s="2">
        <f t="shared" si="1350"/>
        <v>0</v>
      </c>
      <c r="AJ641" s="86">
        <f t="shared" si="1351"/>
        <v>0</v>
      </c>
      <c r="AK641" s="2">
        <f t="shared" si="1351"/>
        <v>0</v>
      </c>
      <c r="AL641" s="2">
        <f t="shared" si="1352"/>
        <v>0</v>
      </c>
      <c r="AM641" s="2">
        <f t="shared" si="1352"/>
        <v>0</v>
      </c>
      <c r="AN641" s="2">
        <f t="shared" si="1352"/>
        <v>0</v>
      </c>
      <c r="AO641" s="86">
        <f t="shared" si="1353"/>
        <v>0</v>
      </c>
      <c r="AP641" s="2">
        <f t="shared" si="1353"/>
        <v>0</v>
      </c>
      <c r="AQ641" s="2">
        <f t="shared" si="1354"/>
        <v>0</v>
      </c>
      <c r="AR641" s="2">
        <f t="shared" si="1354"/>
        <v>0</v>
      </c>
      <c r="AS641" s="2">
        <f t="shared" si="1354"/>
        <v>0</v>
      </c>
      <c r="AT641" s="86">
        <f t="shared" si="1355"/>
        <v>0</v>
      </c>
      <c r="AU641" s="2">
        <f t="shared" si="1355"/>
        <v>0</v>
      </c>
      <c r="AV641" s="2">
        <f t="shared" si="1356"/>
        <v>0</v>
      </c>
      <c r="AW641" s="2">
        <f t="shared" si="1356"/>
        <v>0</v>
      </c>
      <c r="AX641" s="2">
        <f t="shared" si="1356"/>
        <v>0</v>
      </c>
      <c r="AY641" s="86">
        <f t="shared" si="1357"/>
        <v>0</v>
      </c>
      <c r="AZ641" s="2">
        <f t="shared" si="1357"/>
        <v>0</v>
      </c>
      <c r="BA641" s="2">
        <f t="shared" si="1358"/>
        <v>0</v>
      </c>
      <c r="BB641" s="2">
        <f t="shared" si="1358"/>
        <v>0</v>
      </c>
      <c r="BC641" s="2">
        <f t="shared" si="1358"/>
        <v>0</v>
      </c>
      <c r="BD641" s="86">
        <f t="shared" si="1359"/>
        <v>0</v>
      </c>
      <c r="BE641" s="2">
        <f t="shared" si="1359"/>
        <v>0</v>
      </c>
      <c r="BF641" s="2">
        <f t="shared" si="1360"/>
        <v>0</v>
      </c>
      <c r="BG641" s="2">
        <f t="shared" si="1360"/>
        <v>0</v>
      </c>
      <c r="BH641" s="2">
        <f t="shared" si="1360"/>
        <v>0</v>
      </c>
      <c r="BI641" s="90">
        <f t="shared" si="1361"/>
        <v>0</v>
      </c>
      <c r="BJ641" s="2"/>
      <c r="BK641" s="2"/>
      <c r="BL641" s="2"/>
      <c r="BM641" s="2"/>
      <c r="BN641" s="86">
        <f t="shared" si="1363"/>
        <v>0</v>
      </c>
      <c r="BO641" s="2"/>
      <c r="BP641" s="2"/>
      <c r="BQ641" s="2"/>
      <c r="BR641" s="2"/>
      <c r="BS641" s="86">
        <f t="shared" si="1365"/>
        <v>0</v>
      </c>
      <c r="BT641" s="86"/>
      <c r="BU641" s="86"/>
      <c r="BV641" s="86"/>
      <c r="BW641" s="4"/>
    </row>
    <row r="642" spans="1:75" ht="15.75" customHeight="1" x14ac:dyDescent="0.2">
      <c r="A642" s="85" t="str">
        <f t="shared" si="1338"/>
        <v>Excess tax benefit related to stock options exercised</v>
      </c>
      <c r="B642" s="85"/>
      <c r="C642" s="86">
        <f t="shared" si="1339"/>
        <v>-0.85699999999999998</v>
      </c>
      <c r="D642" s="86">
        <f t="shared" si="1339"/>
        <v>-3.3570000000000002</v>
      </c>
      <c r="E642" s="86">
        <f t="shared" si="1339"/>
        <v>-0.74099999999999999</v>
      </c>
      <c r="F642" s="86">
        <f t="shared" si="1339"/>
        <v>-2.8010000000000002</v>
      </c>
      <c r="G642" s="2">
        <f t="shared" si="1339"/>
        <v>-2.181</v>
      </c>
      <c r="H642" s="2">
        <f t="shared" si="1340"/>
        <v>-1.0840000000000001</v>
      </c>
      <c r="I642" s="2">
        <f t="shared" si="1340"/>
        <v>-1.8850000000000002</v>
      </c>
      <c r="J642" s="2">
        <f t="shared" si="1340"/>
        <v>-2.6149999999999993</v>
      </c>
      <c r="K642" s="86">
        <f t="shared" si="1341"/>
        <v>-7.7649999999999997</v>
      </c>
      <c r="L642" s="2">
        <f t="shared" si="1341"/>
        <v>-3.851</v>
      </c>
      <c r="M642" s="2">
        <f t="shared" si="1342"/>
        <v>-1.0720000000000001</v>
      </c>
      <c r="N642" s="2">
        <f t="shared" si="1342"/>
        <v>-1.2889999999999997</v>
      </c>
      <c r="O642" s="2">
        <f t="shared" si="1342"/>
        <v>-2.6490000000000009</v>
      </c>
      <c r="P642" s="86">
        <f t="shared" si="1343"/>
        <v>-8.8610000000000007</v>
      </c>
      <c r="Q642" s="2">
        <f t="shared" si="1343"/>
        <v>-4.3170000000000002</v>
      </c>
      <c r="R642" s="2">
        <f t="shared" si="1344"/>
        <v>-3.5089999999999995</v>
      </c>
      <c r="S642" s="2">
        <f t="shared" si="1344"/>
        <v>-3.8340000000000005</v>
      </c>
      <c r="T642" s="2">
        <f t="shared" si="1344"/>
        <v>-0.64899999999999913</v>
      </c>
      <c r="U642" s="86">
        <f t="shared" si="1345"/>
        <v>-12.308999999999999</v>
      </c>
      <c r="V642" s="2">
        <f t="shared" si="1345"/>
        <v>-6.0339999999999998</v>
      </c>
      <c r="W642" s="2">
        <f t="shared" si="1346"/>
        <v>-0.60099999999999998</v>
      </c>
      <c r="X642" s="2">
        <f t="shared" si="1346"/>
        <v>-1.886000000000001</v>
      </c>
      <c r="Y642" s="2">
        <f t="shared" si="1346"/>
        <v>-5.34</v>
      </c>
      <c r="Z642" s="86">
        <f t="shared" si="1347"/>
        <v>-13.861000000000001</v>
      </c>
      <c r="AA642" s="2">
        <f t="shared" si="1347"/>
        <v>0</v>
      </c>
      <c r="AB642" s="2">
        <f t="shared" si="1348"/>
        <v>0</v>
      </c>
      <c r="AC642" s="2">
        <f t="shared" si="1348"/>
        <v>0</v>
      </c>
      <c r="AD642" s="2">
        <f t="shared" si="1348"/>
        <v>0</v>
      </c>
      <c r="AE642" s="86">
        <f t="shared" si="1349"/>
        <v>0</v>
      </c>
      <c r="AF642" s="2">
        <f t="shared" si="1349"/>
        <v>0</v>
      </c>
      <c r="AG642" s="2">
        <f t="shared" si="1350"/>
        <v>0</v>
      </c>
      <c r="AH642" s="2">
        <f t="shared" si="1350"/>
        <v>0</v>
      </c>
      <c r="AI642" s="2">
        <f t="shared" si="1350"/>
        <v>0</v>
      </c>
      <c r="AJ642" s="86">
        <f t="shared" si="1351"/>
        <v>0</v>
      </c>
      <c r="AK642" s="2">
        <f t="shared" si="1351"/>
        <v>0</v>
      </c>
      <c r="AL642" s="2">
        <f t="shared" si="1352"/>
        <v>0</v>
      </c>
      <c r="AM642" s="2">
        <f t="shared" si="1352"/>
        <v>0</v>
      </c>
      <c r="AN642" s="2">
        <f t="shared" si="1352"/>
        <v>0</v>
      </c>
      <c r="AO642" s="86">
        <f t="shared" si="1353"/>
        <v>0</v>
      </c>
      <c r="AP642" s="2">
        <f t="shared" si="1353"/>
        <v>0</v>
      </c>
      <c r="AQ642" s="2">
        <f t="shared" si="1354"/>
        <v>0</v>
      </c>
      <c r="AR642" s="2">
        <f t="shared" si="1354"/>
        <v>0</v>
      </c>
      <c r="AS642" s="2">
        <f t="shared" si="1354"/>
        <v>0</v>
      </c>
      <c r="AT642" s="86">
        <f t="shared" si="1355"/>
        <v>0</v>
      </c>
      <c r="AU642" s="2">
        <f t="shared" si="1355"/>
        <v>0</v>
      </c>
      <c r="AV642" s="2">
        <f t="shared" si="1356"/>
        <v>0</v>
      </c>
      <c r="AW642" s="2">
        <f t="shared" si="1356"/>
        <v>0</v>
      </c>
      <c r="AX642" s="2">
        <f t="shared" si="1356"/>
        <v>0</v>
      </c>
      <c r="AY642" s="86">
        <f t="shared" si="1357"/>
        <v>0</v>
      </c>
      <c r="AZ642" s="2">
        <f t="shared" si="1357"/>
        <v>0</v>
      </c>
      <c r="BA642" s="2">
        <f t="shared" si="1358"/>
        <v>0</v>
      </c>
      <c r="BB642" s="2">
        <f t="shared" si="1358"/>
        <v>0</v>
      </c>
      <c r="BC642" s="2">
        <f t="shared" si="1358"/>
        <v>0</v>
      </c>
      <c r="BD642" s="86">
        <f t="shared" si="1359"/>
        <v>0</v>
      </c>
      <c r="BE642" s="2">
        <f t="shared" si="1359"/>
        <v>0</v>
      </c>
      <c r="BF642" s="2">
        <f t="shared" si="1360"/>
        <v>0</v>
      </c>
      <c r="BG642" s="2">
        <f t="shared" si="1360"/>
        <v>0</v>
      </c>
      <c r="BH642" s="2">
        <f t="shared" si="1360"/>
        <v>0</v>
      </c>
      <c r="BI642" s="90">
        <f t="shared" si="1361"/>
        <v>0</v>
      </c>
      <c r="BJ642" s="2"/>
      <c r="BK642" s="2"/>
      <c r="BL642" s="2"/>
      <c r="BM642" s="2"/>
      <c r="BN642" s="86">
        <f t="shared" si="1363"/>
        <v>0</v>
      </c>
      <c r="BO642" s="2"/>
      <c r="BP642" s="2"/>
      <c r="BQ642" s="2"/>
      <c r="BR642" s="2"/>
      <c r="BS642" s="86">
        <f t="shared" si="1365"/>
        <v>0</v>
      </c>
      <c r="BT642" s="86"/>
      <c r="BU642" s="86"/>
      <c r="BV642" s="86"/>
      <c r="BW642" s="4"/>
    </row>
    <row r="643" spans="1:75" ht="15.75" customHeight="1" x14ac:dyDescent="0.2">
      <c r="A643" s="92" t="str">
        <f t="shared" si="1338"/>
        <v>Other</v>
      </c>
      <c r="B643" s="92"/>
      <c r="C643" s="93">
        <f t="shared" si="1339"/>
        <v>1.9570000000000001</v>
      </c>
      <c r="D643" s="93">
        <f t="shared" si="1339"/>
        <v>0.17799999999999999</v>
      </c>
      <c r="E643" s="93">
        <f t="shared" si="1339"/>
        <v>1.0229999999999999</v>
      </c>
      <c r="F643" s="93">
        <f t="shared" si="1339"/>
        <v>1.2589999999999999</v>
      </c>
      <c r="G643" s="94">
        <f t="shared" si="1339"/>
        <v>-1.133</v>
      </c>
      <c r="H643" s="94">
        <f t="shared" si="1340"/>
        <v>0.42000000000000004</v>
      </c>
      <c r="I643" s="94">
        <f t="shared" si="1340"/>
        <v>-0.23599999999999999</v>
      </c>
      <c r="J643" s="94">
        <f t="shared" si="1340"/>
        <v>0.48499999999999993</v>
      </c>
      <c r="K643" s="93">
        <f t="shared" si="1341"/>
        <v>-0.46400000000000002</v>
      </c>
      <c r="L643" s="94">
        <f t="shared" si="1341"/>
        <v>0.4</v>
      </c>
      <c r="M643" s="94">
        <f t="shared" si="1342"/>
        <v>0.497</v>
      </c>
      <c r="N643" s="94">
        <f t="shared" si="1342"/>
        <v>0.43900000000000006</v>
      </c>
      <c r="O643" s="94">
        <f t="shared" si="1342"/>
        <v>0.72300000000000009</v>
      </c>
      <c r="P643" s="93">
        <f t="shared" si="1343"/>
        <v>2.0590000000000002</v>
      </c>
      <c r="Q643" s="94">
        <f t="shared" si="1343"/>
        <v>0.81399999999999995</v>
      </c>
      <c r="R643" s="94">
        <f t="shared" si="1344"/>
        <v>0.53200000000000014</v>
      </c>
      <c r="S643" s="94">
        <f t="shared" si="1344"/>
        <v>0.72599999999999998</v>
      </c>
      <c r="T643" s="94">
        <f t="shared" si="1344"/>
        <v>0.54300000000000015</v>
      </c>
      <c r="U643" s="93">
        <f t="shared" si="1345"/>
        <v>2.6150000000000002</v>
      </c>
      <c r="V643" s="94">
        <f t="shared" si="1345"/>
        <v>0.83399999999999996</v>
      </c>
      <c r="W643" s="94">
        <f t="shared" si="1346"/>
        <v>0.50800000000000012</v>
      </c>
      <c r="X643" s="94">
        <f t="shared" si="1346"/>
        <v>1.6029999999999998</v>
      </c>
      <c r="Y643" s="94">
        <f t="shared" si="1346"/>
        <v>0.64700000000000024</v>
      </c>
      <c r="Z643" s="93">
        <f t="shared" si="1347"/>
        <v>3.5920000000000001</v>
      </c>
      <c r="AA643" s="94">
        <f t="shared" si="1347"/>
        <v>0</v>
      </c>
      <c r="AB643" s="94">
        <f t="shared" si="1348"/>
        <v>0</v>
      </c>
      <c r="AC643" s="94">
        <f t="shared" si="1348"/>
        <v>0</v>
      </c>
      <c r="AD643" s="94">
        <f t="shared" si="1348"/>
        <v>0</v>
      </c>
      <c r="AE643" s="93">
        <f t="shared" si="1349"/>
        <v>0</v>
      </c>
      <c r="AF643" s="94">
        <f t="shared" si="1349"/>
        <v>0</v>
      </c>
      <c r="AG643" s="94">
        <f t="shared" si="1350"/>
        <v>0</v>
      </c>
      <c r="AH643" s="94">
        <f t="shared" si="1350"/>
        <v>0</v>
      </c>
      <c r="AI643" s="94">
        <f t="shared" si="1350"/>
        <v>0</v>
      </c>
      <c r="AJ643" s="93">
        <f t="shared" si="1351"/>
        <v>0</v>
      </c>
      <c r="AK643" s="94">
        <f t="shared" si="1351"/>
        <v>0</v>
      </c>
      <c r="AL643" s="94">
        <f t="shared" si="1352"/>
        <v>0</v>
      </c>
      <c r="AM643" s="94">
        <f t="shared" si="1352"/>
        <v>0</v>
      </c>
      <c r="AN643" s="94">
        <f t="shared" si="1352"/>
        <v>0</v>
      </c>
      <c r="AO643" s="93">
        <f t="shared" si="1353"/>
        <v>0</v>
      </c>
      <c r="AP643" s="94">
        <f t="shared" si="1353"/>
        <v>0</v>
      </c>
      <c r="AQ643" s="94">
        <f t="shared" si="1354"/>
        <v>0</v>
      </c>
      <c r="AR643" s="94">
        <f t="shared" si="1354"/>
        <v>0</v>
      </c>
      <c r="AS643" s="94">
        <f t="shared" si="1354"/>
        <v>0</v>
      </c>
      <c r="AT643" s="93">
        <f t="shared" si="1355"/>
        <v>0</v>
      </c>
      <c r="AU643" s="94">
        <f t="shared" si="1355"/>
        <v>0</v>
      </c>
      <c r="AV643" s="94">
        <f t="shared" si="1356"/>
        <v>0</v>
      </c>
      <c r="AW643" s="94">
        <f t="shared" si="1356"/>
        <v>0</v>
      </c>
      <c r="AX643" s="94">
        <f t="shared" si="1356"/>
        <v>0</v>
      </c>
      <c r="AY643" s="93">
        <f t="shared" si="1357"/>
        <v>0</v>
      </c>
      <c r="AZ643" s="94">
        <f t="shared" si="1357"/>
        <v>0</v>
      </c>
      <c r="BA643" s="94">
        <f t="shared" si="1358"/>
        <v>0</v>
      </c>
      <c r="BB643" s="94">
        <f t="shared" si="1358"/>
        <v>0</v>
      </c>
      <c r="BC643" s="94">
        <f t="shared" si="1358"/>
        <v>0</v>
      </c>
      <c r="BD643" s="93">
        <f t="shared" si="1359"/>
        <v>0</v>
      </c>
      <c r="BE643" s="94">
        <f t="shared" si="1359"/>
        <v>0</v>
      </c>
      <c r="BF643" s="94">
        <f t="shared" si="1360"/>
        <v>0</v>
      </c>
      <c r="BG643" s="94">
        <f t="shared" si="1360"/>
        <v>0</v>
      </c>
      <c r="BH643" s="94">
        <f t="shared" si="1360"/>
        <v>0</v>
      </c>
      <c r="BI643" s="97">
        <f t="shared" si="1361"/>
        <v>0</v>
      </c>
      <c r="BJ643" s="94"/>
      <c r="BK643" s="94"/>
      <c r="BL643" s="94"/>
      <c r="BM643" s="94"/>
      <c r="BN643" s="93">
        <f t="shared" si="1363"/>
        <v>0</v>
      </c>
      <c r="BO643" s="94"/>
      <c r="BP643" s="94"/>
      <c r="BQ643" s="94"/>
      <c r="BR643" s="94"/>
      <c r="BS643" s="93">
        <f t="shared" si="1365"/>
        <v>0</v>
      </c>
      <c r="BT643" s="93"/>
      <c r="BU643" s="93"/>
      <c r="BV643" s="93"/>
      <c r="BW643" s="4"/>
    </row>
    <row r="644" spans="1:75" ht="15.75" customHeight="1" x14ac:dyDescent="0.2">
      <c r="A644" s="102" t="str">
        <f t="shared" si="1338"/>
        <v>CFO before WC</v>
      </c>
      <c r="B644" s="102"/>
      <c r="C644" s="103">
        <f t="shared" ref="C644:BV644" si="1376">SUM(C635:C643)</f>
        <v>154.35300000000001</v>
      </c>
      <c r="D644" s="103">
        <f t="shared" si="1376"/>
        <v>157.73300000000003</v>
      </c>
      <c r="E644" s="103">
        <f t="shared" si="1376"/>
        <v>187.89299999999997</v>
      </c>
      <c r="F644" s="103">
        <f t="shared" si="1376"/>
        <v>177.29799999999997</v>
      </c>
      <c r="G644" s="106">
        <f t="shared" si="1376"/>
        <v>48.999000000000002</v>
      </c>
      <c r="H644" s="106">
        <f t="shared" si="1376"/>
        <v>54.750999999999998</v>
      </c>
      <c r="I644" s="106">
        <f t="shared" si="1376"/>
        <v>53.53</v>
      </c>
      <c r="J644" s="106">
        <f t="shared" si="1376"/>
        <v>56.626000000000005</v>
      </c>
      <c r="K644" s="103">
        <f t="shared" si="1376"/>
        <v>213.90600000000001</v>
      </c>
      <c r="L644" s="106">
        <f t="shared" si="1376"/>
        <v>48.096000000000004</v>
      </c>
      <c r="M644" s="106">
        <f t="shared" si="1376"/>
        <v>54.426999999999992</v>
      </c>
      <c r="N644" s="106">
        <f t="shared" si="1376"/>
        <v>48.538000000000011</v>
      </c>
      <c r="O644" s="106">
        <f t="shared" si="1376"/>
        <v>52.41999999999998</v>
      </c>
      <c r="P644" s="103">
        <f t="shared" si="1376"/>
        <v>203.48100000000002</v>
      </c>
      <c r="Q644" s="106">
        <f t="shared" si="1376"/>
        <v>56.382999999999996</v>
      </c>
      <c r="R644" s="106">
        <f t="shared" si="1376"/>
        <v>61.280000000000008</v>
      </c>
      <c r="S644" s="106">
        <f t="shared" si="1376"/>
        <v>58.605999999999995</v>
      </c>
      <c r="T644" s="106">
        <f t="shared" si="1376"/>
        <v>55.872000000000007</v>
      </c>
      <c r="U644" s="103">
        <f t="shared" si="1376"/>
        <v>232.14100000000002</v>
      </c>
      <c r="V644" s="106">
        <f t="shared" si="1376"/>
        <v>64.504000000000005</v>
      </c>
      <c r="W644" s="106">
        <f t="shared" si="1376"/>
        <v>64.742999999999995</v>
      </c>
      <c r="X644" s="106">
        <f t="shared" si="1376"/>
        <v>62.039999999999992</v>
      </c>
      <c r="Y644" s="106">
        <f t="shared" si="1376"/>
        <v>60.252000000000002</v>
      </c>
      <c r="Z644" s="103">
        <f t="shared" si="1376"/>
        <v>251.53900000000002</v>
      </c>
      <c r="AA644" s="106">
        <f t="shared" si="1376"/>
        <v>66.826000000000008</v>
      </c>
      <c r="AB644" s="106">
        <f t="shared" si="1376"/>
        <v>66.417000000000016</v>
      </c>
      <c r="AC644" s="106">
        <f t="shared" si="1376"/>
        <v>53.599999999999994</v>
      </c>
      <c r="AD644" s="106">
        <f t="shared" si="1376"/>
        <v>65.140999999999991</v>
      </c>
      <c r="AE644" s="103">
        <f t="shared" si="1376"/>
        <v>251.98399999999998</v>
      </c>
      <c r="AF644" s="106">
        <f t="shared" si="1376"/>
        <v>57.201000000000001</v>
      </c>
      <c r="AG644" s="106">
        <f t="shared" si="1376"/>
        <v>59.283000000000001</v>
      </c>
      <c r="AH644" s="106">
        <f t="shared" si="1376"/>
        <v>57.447000000000003</v>
      </c>
      <c r="AI644" s="106">
        <f t="shared" si="1376"/>
        <v>56.722999999999992</v>
      </c>
      <c r="AJ644" s="103">
        <f t="shared" si="1376"/>
        <v>230.654</v>
      </c>
      <c r="AK644" s="106">
        <f t="shared" si="1376"/>
        <v>57.435000000000009</v>
      </c>
      <c r="AL644" s="106">
        <f t="shared" si="1376"/>
        <v>59.37299999999999</v>
      </c>
      <c r="AM644" s="106">
        <f t="shared" si="1376"/>
        <v>52.073</v>
      </c>
      <c r="AN644" s="106">
        <f t="shared" si="1376"/>
        <v>40.710999999999991</v>
      </c>
      <c r="AO644" s="103">
        <f t="shared" si="1376"/>
        <v>209.59199999999998</v>
      </c>
      <c r="AP644" s="106">
        <f t="shared" si="1376"/>
        <v>73.245999999999995</v>
      </c>
      <c r="AQ644" s="106">
        <f t="shared" si="1376"/>
        <v>-26.462999999999973</v>
      </c>
      <c r="AR644" s="106">
        <f t="shared" si="1376"/>
        <v>-40.493000000000023</v>
      </c>
      <c r="AS644" s="106">
        <f t="shared" si="1376"/>
        <v>-6.0519999999999836</v>
      </c>
      <c r="AT644" s="103">
        <f t="shared" si="1376"/>
        <v>0.23800000000002086</v>
      </c>
      <c r="AU644" s="106">
        <f t="shared" si="1376"/>
        <v>30.241</v>
      </c>
      <c r="AV644" s="106">
        <f t="shared" si="1376"/>
        <v>60.004999999999995</v>
      </c>
      <c r="AW644" s="106">
        <f t="shared" si="1376"/>
        <v>58.318000000000012</v>
      </c>
      <c r="AX644" s="106">
        <f t="shared" si="1376"/>
        <v>33.538999999999994</v>
      </c>
      <c r="AY644" s="103">
        <f t="shared" si="1376"/>
        <v>182.10300000000001</v>
      </c>
      <c r="AZ644" s="106">
        <f t="shared" si="1376"/>
        <v>54.204000000000001</v>
      </c>
      <c r="BA644" s="106">
        <f t="shared" si="1376"/>
        <v>50.863999999999997</v>
      </c>
      <c r="BB644" s="106">
        <f t="shared" si="1376"/>
        <v>22.953999999999994</v>
      </c>
      <c r="BC644" s="106">
        <f t="shared" si="1376"/>
        <v>44.587999999999994</v>
      </c>
      <c r="BD644" s="103">
        <f t="shared" si="1376"/>
        <v>172.60999999999996</v>
      </c>
      <c r="BE644" s="106">
        <f t="shared" si="1376"/>
        <v>60.084999999999994</v>
      </c>
      <c r="BF644" s="106">
        <f t="shared" si="1376"/>
        <v>70.855000000000004</v>
      </c>
      <c r="BG644" s="106">
        <f t="shared" si="1376"/>
        <v>46.564000000000007</v>
      </c>
      <c r="BH644" s="106">
        <f t="shared" si="1376"/>
        <v>54.046999999999997</v>
      </c>
      <c r="BI644" s="115">
        <f t="shared" si="1376"/>
        <v>231.55099999999999</v>
      </c>
      <c r="BJ644" s="106">
        <f t="shared" si="1376"/>
        <v>61.159540905788447</v>
      </c>
      <c r="BK644" s="106">
        <f t="shared" ca="1" si="1376"/>
        <v>81.402121753999481</v>
      </c>
      <c r="BL644" s="106">
        <f t="shared" ca="1" si="1376"/>
        <v>54.736805632214804</v>
      </c>
      <c r="BM644" s="106">
        <f t="shared" ca="1" si="1376"/>
        <v>77.381467508708795</v>
      </c>
      <c r="BN644" s="103">
        <f t="shared" ca="1" si="1376"/>
        <v>274.67993580071152</v>
      </c>
      <c r="BO644" s="106">
        <f t="shared" ca="1" si="1376"/>
        <v>63.916288227693343</v>
      </c>
      <c r="BP644" s="106">
        <f t="shared" ca="1" si="1376"/>
        <v>85.129547353829622</v>
      </c>
      <c r="BQ644" s="106">
        <f t="shared" ca="1" si="1376"/>
        <v>60.706580146180883</v>
      </c>
      <c r="BR644" s="106">
        <f t="shared" ca="1" si="1376"/>
        <v>84.575924177219193</v>
      </c>
      <c r="BS644" s="103">
        <f t="shared" ca="1" si="1376"/>
        <v>294.3283399049231</v>
      </c>
      <c r="BT644" s="103">
        <f t="shared" ca="1" si="1376"/>
        <v>314.26360188723316</v>
      </c>
      <c r="BU644" s="103">
        <f t="shared" ca="1" si="1376"/>
        <v>335.41252398500586</v>
      </c>
      <c r="BV644" s="103">
        <f t="shared" ca="1" si="1376"/>
        <v>361.85188855474513</v>
      </c>
      <c r="BW644" s="83"/>
    </row>
    <row r="645" spans="1:75" ht="15.75" hidden="1" customHeight="1" outlineLevel="1" x14ac:dyDescent="0.2">
      <c r="A645" s="85" t="str">
        <f t="shared" si="1338"/>
        <v>Accounts receivable</v>
      </c>
      <c r="B645" s="85"/>
      <c r="C645" s="86">
        <f t="shared" ref="C645:G657" si="1377">C574</f>
        <v>1.1850000000000001</v>
      </c>
      <c r="D645" s="86">
        <f t="shared" si="1377"/>
        <v>-4.8319999999999999</v>
      </c>
      <c r="E645" s="86">
        <f t="shared" si="1377"/>
        <v>4.8499999999999996</v>
      </c>
      <c r="F645" s="86">
        <f t="shared" si="1377"/>
        <v>-3.2240000000000002</v>
      </c>
      <c r="G645" s="2">
        <f t="shared" si="1377"/>
        <v>5.7709999999999999</v>
      </c>
      <c r="H645" s="2">
        <f t="shared" ref="H645:J657" si="1378">H574-G574</f>
        <v>-2.157</v>
      </c>
      <c r="I645" s="2">
        <f t="shared" si="1378"/>
        <v>-0.22100000000000009</v>
      </c>
      <c r="J645" s="2">
        <f t="shared" si="1378"/>
        <v>1.0840000000000005</v>
      </c>
      <c r="K645" s="86">
        <f t="shared" ref="K645:L657" si="1379">K574</f>
        <v>4.4770000000000003</v>
      </c>
      <c r="L645" s="2">
        <f t="shared" si="1379"/>
        <v>-1.591</v>
      </c>
      <c r="M645" s="2">
        <f t="shared" ref="M645:O657" si="1380">M574-L574</f>
        <v>2.5140000000000002</v>
      </c>
      <c r="N645" s="2">
        <f t="shared" si="1380"/>
        <v>-1.8290000000000002</v>
      </c>
      <c r="O645" s="2">
        <f t="shared" si="1380"/>
        <v>-4.173</v>
      </c>
      <c r="P645" s="86">
        <f t="shared" ref="P645:Q657" si="1381">P574</f>
        <v>-5.0789999999999997</v>
      </c>
      <c r="Q645" s="2">
        <f t="shared" si="1381"/>
        <v>2.5270000000000001</v>
      </c>
      <c r="R645" s="2">
        <f t="shared" ref="R645:T657" si="1382">R574-Q574</f>
        <v>3.8319999999999999</v>
      </c>
      <c r="S645" s="2">
        <f t="shared" si="1382"/>
        <v>-2.0549999999999997</v>
      </c>
      <c r="T645" s="2">
        <f t="shared" si="1382"/>
        <v>-3.2930000000000001</v>
      </c>
      <c r="U645" s="86">
        <f t="shared" ref="U645:V657" si="1383">U574</f>
        <v>1.0109999999999999</v>
      </c>
      <c r="V645" s="2">
        <f t="shared" si="1383"/>
        <v>1.08</v>
      </c>
      <c r="W645" s="2">
        <f t="shared" ref="W645:Y657" si="1384">W574-V574</f>
        <v>-1.389</v>
      </c>
      <c r="X645" s="2">
        <f t="shared" si="1384"/>
        <v>0.51800000000000002</v>
      </c>
      <c r="Y645" s="2">
        <f t="shared" si="1384"/>
        <v>-1.6820000000000002</v>
      </c>
      <c r="Z645" s="86">
        <f t="shared" ref="Z645:AA657" si="1385">Z574</f>
        <v>-1.4730000000000001</v>
      </c>
      <c r="AA645" s="2">
        <f t="shared" si="1385"/>
        <v>3.1720000000000002</v>
      </c>
      <c r="AB645" s="2">
        <f t="shared" ref="AB645:AD657" si="1386">AB574-AA574</f>
        <v>-1.6130000000000002</v>
      </c>
      <c r="AC645" s="2">
        <f t="shared" si="1386"/>
        <v>0.87799999999999989</v>
      </c>
      <c r="AD645" s="2">
        <f t="shared" si="1386"/>
        <v>-6.67</v>
      </c>
      <c r="AE645" s="86">
        <f t="shared" ref="AE645:AF657" si="1387">AE574</f>
        <v>-4.2329999999999997</v>
      </c>
      <c r="AF645" s="2">
        <f t="shared" si="1387"/>
        <v>3.4910000000000001</v>
      </c>
      <c r="AG645" s="2">
        <f t="shared" ref="AG645:AI657" si="1388">AG574-AF574</f>
        <v>-1.4020000000000001</v>
      </c>
      <c r="AH645" s="2">
        <f t="shared" si="1388"/>
        <v>1.8380000000000001</v>
      </c>
      <c r="AI645" s="2">
        <f t="shared" si="1388"/>
        <v>-4.9450000000000003</v>
      </c>
      <c r="AJ645" s="86">
        <f t="shared" ref="AJ645:AK657" si="1389">AJ574</f>
        <v>-1.018</v>
      </c>
      <c r="AK645" s="2"/>
      <c r="AL645" s="2"/>
      <c r="AM645" s="2"/>
      <c r="AN645" s="2"/>
      <c r="AO645" s="86"/>
      <c r="AP645" s="2"/>
      <c r="AQ645" s="2"/>
      <c r="AR645" s="2"/>
      <c r="AS645" s="2"/>
      <c r="AT645" s="86"/>
      <c r="AU645" s="2"/>
      <c r="AV645" s="2"/>
      <c r="AW645" s="2"/>
      <c r="AX645" s="2"/>
      <c r="AY645" s="86"/>
      <c r="AZ645" s="2"/>
      <c r="BA645" s="2"/>
      <c r="BB645" s="2"/>
      <c r="BC645" s="2"/>
      <c r="BD645" s="86"/>
      <c r="BE645" s="2"/>
      <c r="BF645" s="2"/>
      <c r="BG645" s="2"/>
      <c r="BH645" s="2"/>
      <c r="BI645" s="90"/>
      <c r="BJ645" s="2"/>
      <c r="BK645" s="2"/>
      <c r="BL645" s="2"/>
      <c r="BM645" s="2"/>
      <c r="BN645" s="86"/>
      <c r="BO645" s="2"/>
      <c r="BP645" s="2"/>
      <c r="BQ645" s="2"/>
      <c r="BR645" s="2"/>
      <c r="BS645" s="86"/>
      <c r="BT645" s="86"/>
      <c r="BU645" s="86"/>
      <c r="BV645" s="86"/>
      <c r="BW645" s="4"/>
    </row>
    <row r="646" spans="1:75" ht="15.75" hidden="1" customHeight="1" outlineLevel="1" x14ac:dyDescent="0.2">
      <c r="A646" s="92" t="str">
        <f t="shared" si="1338"/>
        <v>Other receivables</v>
      </c>
      <c r="B646" s="92"/>
      <c r="C646" s="93">
        <f t="shared" si="1377"/>
        <v>5.3460000000000001</v>
      </c>
      <c r="D646" s="93">
        <f t="shared" si="1377"/>
        <v>0.17899999999999999</v>
      </c>
      <c r="E646" s="93">
        <f t="shared" si="1377"/>
        <v>-4.8</v>
      </c>
      <c r="F646" s="93">
        <f t="shared" si="1377"/>
        <v>-16.004000000000001</v>
      </c>
      <c r="G646" s="94">
        <f t="shared" si="1377"/>
        <v>22.085000000000001</v>
      </c>
      <c r="H646" s="94">
        <f t="shared" si="1378"/>
        <v>-1.8339999999999996</v>
      </c>
      <c r="I646" s="94">
        <f t="shared" si="1378"/>
        <v>-2.4870000000000019</v>
      </c>
      <c r="J646" s="94">
        <f t="shared" si="1378"/>
        <v>-24.25</v>
      </c>
      <c r="K646" s="93">
        <f t="shared" si="1379"/>
        <v>-6.4859999999999998</v>
      </c>
      <c r="L646" s="94">
        <f t="shared" si="1379"/>
        <v>26.733000000000001</v>
      </c>
      <c r="M646" s="94">
        <f t="shared" si="1380"/>
        <v>-2.777000000000001</v>
      </c>
      <c r="N646" s="94">
        <f t="shared" si="1380"/>
        <v>-4.0500000000000007</v>
      </c>
      <c r="O646" s="94">
        <f t="shared" si="1380"/>
        <v>-26.773</v>
      </c>
      <c r="P646" s="93">
        <f t="shared" si="1381"/>
        <v>-6.867</v>
      </c>
      <c r="Q646" s="94">
        <f t="shared" si="1381"/>
        <v>32.634999999999998</v>
      </c>
      <c r="R646" s="94">
        <f t="shared" si="1382"/>
        <v>-3.7209999999999965</v>
      </c>
      <c r="S646" s="94">
        <f t="shared" si="1382"/>
        <v>-1.5910000000000011</v>
      </c>
      <c r="T646" s="94">
        <f t="shared" si="1382"/>
        <v>-37.653999999999996</v>
      </c>
      <c r="U646" s="93">
        <f t="shared" si="1383"/>
        <v>-10.331</v>
      </c>
      <c r="V646" s="94">
        <f t="shared" si="1383"/>
        <v>42.07</v>
      </c>
      <c r="W646" s="94">
        <f t="shared" si="1384"/>
        <v>3.4380000000000024</v>
      </c>
      <c r="X646" s="94">
        <f t="shared" si="1384"/>
        <v>-3.615000000000002</v>
      </c>
      <c r="Y646" s="94">
        <f t="shared" si="1384"/>
        <v>-33.826999999999998</v>
      </c>
      <c r="Z646" s="93">
        <f t="shared" si="1385"/>
        <v>8.0660000000000007</v>
      </c>
      <c r="AA646" s="94">
        <f t="shared" si="1385"/>
        <v>32.264000000000003</v>
      </c>
      <c r="AB646" s="94">
        <f t="shared" si="1386"/>
        <v>-2.3680000000000021</v>
      </c>
      <c r="AC646" s="94">
        <f t="shared" si="1386"/>
        <v>0.79899999999999949</v>
      </c>
      <c r="AD646" s="94">
        <f t="shared" si="1386"/>
        <v>-33.65</v>
      </c>
      <c r="AE646" s="93">
        <f t="shared" si="1387"/>
        <v>-2.9550000000000001</v>
      </c>
      <c r="AF646" s="94">
        <f t="shared" si="1387"/>
        <v>41.103000000000002</v>
      </c>
      <c r="AG646" s="94">
        <f t="shared" si="1388"/>
        <v>-5.4420000000000002</v>
      </c>
      <c r="AH646" s="94">
        <f t="shared" si="1388"/>
        <v>-3.8410000000000011</v>
      </c>
      <c r="AI646" s="94">
        <f t="shared" si="1388"/>
        <v>-27.122</v>
      </c>
      <c r="AJ646" s="93">
        <f t="shared" si="1389"/>
        <v>4.6980000000000004</v>
      </c>
      <c r="AK646" s="94"/>
      <c r="AL646" s="94"/>
      <c r="AM646" s="94"/>
      <c r="AN646" s="94"/>
      <c r="AO646" s="93"/>
      <c r="AP646" s="94"/>
      <c r="AQ646" s="94"/>
      <c r="AR646" s="94"/>
      <c r="AS646" s="94"/>
      <c r="AT646" s="93"/>
      <c r="AU646" s="94"/>
      <c r="AV646" s="94"/>
      <c r="AW646" s="94"/>
      <c r="AX646" s="94"/>
      <c r="AY646" s="93"/>
      <c r="AZ646" s="94"/>
      <c r="BA646" s="94"/>
      <c r="BB646" s="94"/>
      <c r="BC646" s="94"/>
      <c r="BD646" s="93"/>
      <c r="BE646" s="94"/>
      <c r="BF646" s="94"/>
      <c r="BG646" s="94"/>
      <c r="BH646" s="94"/>
      <c r="BI646" s="97"/>
      <c r="BJ646" s="94"/>
      <c r="BK646" s="94"/>
      <c r="BL646" s="94"/>
      <c r="BM646" s="94"/>
      <c r="BN646" s="93"/>
      <c r="BO646" s="94"/>
      <c r="BP646" s="94"/>
      <c r="BQ646" s="94"/>
      <c r="BR646" s="94"/>
      <c r="BS646" s="93"/>
      <c r="BT646" s="93"/>
      <c r="BU646" s="93"/>
      <c r="BV646" s="93"/>
      <c r="BW646" s="4"/>
    </row>
    <row r="647" spans="1:75" ht="15.75" customHeight="1" collapsed="1" x14ac:dyDescent="0.2">
      <c r="A647" s="85" t="str">
        <f t="shared" si="1338"/>
        <v>Accounts and other receivable</v>
      </c>
      <c r="B647" s="85"/>
      <c r="C647" s="86">
        <f t="shared" si="1377"/>
        <v>0</v>
      </c>
      <c r="D647" s="86">
        <f t="shared" si="1377"/>
        <v>0</v>
      </c>
      <c r="E647" s="86">
        <f t="shared" si="1377"/>
        <v>0</v>
      </c>
      <c r="F647" s="86">
        <f t="shared" si="1377"/>
        <v>0</v>
      </c>
      <c r="G647" s="2">
        <f t="shared" si="1377"/>
        <v>0</v>
      </c>
      <c r="H647" s="2">
        <f t="shared" si="1378"/>
        <v>0</v>
      </c>
      <c r="I647" s="2">
        <f t="shared" si="1378"/>
        <v>0</v>
      </c>
      <c r="J647" s="2">
        <f t="shared" si="1378"/>
        <v>0</v>
      </c>
      <c r="K647" s="86">
        <f t="shared" si="1379"/>
        <v>0</v>
      </c>
      <c r="L647" s="2">
        <f t="shared" si="1379"/>
        <v>0</v>
      </c>
      <c r="M647" s="2">
        <f t="shared" si="1380"/>
        <v>0</v>
      </c>
      <c r="N647" s="2">
        <f t="shared" si="1380"/>
        <v>0</v>
      </c>
      <c r="O647" s="2">
        <f t="shared" si="1380"/>
        <v>0</v>
      </c>
      <c r="P647" s="86">
        <f t="shared" si="1381"/>
        <v>0</v>
      </c>
      <c r="Q647" s="2">
        <f t="shared" si="1381"/>
        <v>0</v>
      </c>
      <c r="R647" s="2">
        <f t="shared" si="1382"/>
        <v>0</v>
      </c>
      <c r="S647" s="2">
        <f t="shared" si="1382"/>
        <v>0</v>
      </c>
      <c r="T647" s="2">
        <f t="shared" si="1382"/>
        <v>0</v>
      </c>
      <c r="U647" s="86">
        <f t="shared" si="1383"/>
        <v>0</v>
      </c>
      <c r="V647" s="2">
        <f t="shared" si="1383"/>
        <v>0</v>
      </c>
      <c r="W647" s="2">
        <f t="shared" si="1384"/>
        <v>0</v>
      </c>
      <c r="X647" s="2">
        <f t="shared" si="1384"/>
        <v>0</v>
      </c>
      <c r="Y647" s="2">
        <f t="shared" si="1384"/>
        <v>0</v>
      </c>
      <c r="Z647" s="86">
        <f t="shared" si="1385"/>
        <v>0</v>
      </c>
      <c r="AA647" s="2">
        <f t="shared" si="1385"/>
        <v>0</v>
      </c>
      <c r="AB647" s="2">
        <f t="shared" si="1386"/>
        <v>0</v>
      </c>
      <c r="AC647" s="2">
        <f t="shared" si="1386"/>
        <v>0</v>
      </c>
      <c r="AD647" s="2">
        <f t="shared" si="1386"/>
        <v>0</v>
      </c>
      <c r="AE647" s="86">
        <f t="shared" si="1387"/>
        <v>0</v>
      </c>
      <c r="AF647" s="2">
        <f t="shared" si="1387"/>
        <v>0</v>
      </c>
      <c r="AG647" s="2">
        <f t="shared" si="1388"/>
        <v>0</v>
      </c>
      <c r="AH647" s="2">
        <f t="shared" si="1388"/>
        <v>0</v>
      </c>
      <c r="AI647" s="2">
        <f t="shared" si="1388"/>
        <v>0</v>
      </c>
      <c r="AJ647" s="86">
        <f t="shared" si="1389"/>
        <v>0</v>
      </c>
      <c r="AK647" s="2">
        <f t="shared" si="1389"/>
        <v>43.295000000000002</v>
      </c>
      <c r="AL647" s="2">
        <f t="shared" ref="AL647:AN657" si="1390">AL576-AK576</f>
        <v>-0.17200000000000415</v>
      </c>
      <c r="AM647" s="2">
        <f t="shared" si="1390"/>
        <v>-2.4889999999999972</v>
      </c>
      <c r="AN647" s="2">
        <f t="shared" si="1390"/>
        <v>-36.856999999999999</v>
      </c>
      <c r="AO647" s="86">
        <f t="shared" ref="AO647:AP657" si="1391">AO576</f>
        <v>3.7770000000000001</v>
      </c>
      <c r="AP647" s="2">
        <f t="shared" si="1391"/>
        <v>38.311999999999998</v>
      </c>
      <c r="AQ647" s="2">
        <f t="shared" ref="AQ647:AS657" si="1392">AQ576-AP576</f>
        <v>3.0920000000000059</v>
      </c>
      <c r="AR647" s="2">
        <f t="shared" si="1392"/>
        <v>-0.94400000000000261</v>
      </c>
      <c r="AS647" s="2">
        <f t="shared" si="1392"/>
        <v>-25.312000000000001</v>
      </c>
      <c r="AT647" s="86">
        <f t="shared" ref="AT647:AU657" si="1393">AT576</f>
        <v>15.148</v>
      </c>
      <c r="AU647" s="2">
        <f t="shared" si="1393"/>
        <v>15.516999999999999</v>
      </c>
      <c r="AV647" s="2">
        <f t="shared" ref="AV647:AX657" si="1394">AV576-AU576</f>
        <v>1.5309999999999988</v>
      </c>
      <c r="AW647" s="2">
        <f t="shared" si="1394"/>
        <v>-8.9269999999999978</v>
      </c>
      <c r="AX647" s="2">
        <f t="shared" si="1394"/>
        <v>-32.936999999999998</v>
      </c>
      <c r="AY647" s="86">
        <f t="shared" ref="AY647:AZ657" si="1395">AY576</f>
        <v>-24.815999999999999</v>
      </c>
      <c r="AZ647" s="2">
        <f t="shared" si="1395"/>
        <v>34.286999999999999</v>
      </c>
      <c r="BA647" s="2">
        <f t="shared" ref="BA647:BC657" si="1396">BA576-AZ576</f>
        <v>-10.506</v>
      </c>
      <c r="BB647" s="2">
        <f t="shared" si="1396"/>
        <v>5.4000000000002046E-2</v>
      </c>
      <c r="BC647" s="2">
        <f t="shared" si="1396"/>
        <v>-36.100999999999999</v>
      </c>
      <c r="BD647" s="86">
        <f t="shared" ref="BD647:BE657" si="1397">BD576</f>
        <v>-12.266</v>
      </c>
      <c r="BE647" s="2">
        <f t="shared" si="1397"/>
        <v>38.012999999999998</v>
      </c>
      <c r="BF647" s="2">
        <f t="shared" ref="BF647:BH657" si="1398">BF576-BE576</f>
        <v>-6.2729999999999997</v>
      </c>
      <c r="BG647" s="2">
        <f t="shared" si="1398"/>
        <v>0.36700000000000088</v>
      </c>
      <c r="BH647" s="2">
        <f t="shared" si="1398"/>
        <v>-32.204999999999998</v>
      </c>
      <c r="BI647" s="90">
        <f t="shared" ref="BI647:BI657" si="1399">BI576</f>
        <v>-9.8000000000000004E-2</v>
      </c>
      <c r="BJ647" s="2">
        <f t="shared" ref="BJ647:BM647" si="1400">BI746-BJ746</f>
        <v>32.524152691979282</v>
      </c>
      <c r="BK647" s="2">
        <f t="shared" si="1400"/>
        <v>-3.5323401804985082</v>
      </c>
      <c r="BL647" s="2">
        <f t="shared" si="1400"/>
        <v>0.96799483589906288</v>
      </c>
      <c r="BM647" s="2">
        <f t="shared" si="1400"/>
        <v>-36.532691397136716</v>
      </c>
      <c r="BN647" s="86">
        <f t="shared" ref="BN647:BN657" si="1401">SUM(BJ647,BK647,BL647,BM647)</f>
        <v>-6.5728840497568797</v>
      </c>
      <c r="BO647" s="2">
        <f t="shared" ref="BO647:BR647" si="1402">BN746-BO746</f>
        <v>34.538769640328297</v>
      </c>
      <c r="BP647" s="2">
        <f t="shared" si="1402"/>
        <v>-3.3778297680821936</v>
      </c>
      <c r="BQ647" s="2">
        <f t="shared" si="1402"/>
        <v>1.3729968606722167</v>
      </c>
      <c r="BR647" s="2">
        <f t="shared" si="1402"/>
        <v>-38.064849977656635</v>
      </c>
      <c r="BS647" s="86">
        <f t="shared" ref="BS647:BS657" si="1403">SUM(BO647,BP647,BQ647,BR647)</f>
        <v>-5.5309132447383149</v>
      </c>
      <c r="BT647" s="86">
        <f t="shared" ref="BT647:BV647" si="1404">BS746-BT746</f>
        <v>-8.8055101879855187</v>
      </c>
      <c r="BU647" s="86">
        <f t="shared" si="1404"/>
        <v>-9.7472940493419316</v>
      </c>
      <c r="BV647" s="86">
        <f t="shared" si="1404"/>
        <v>-12.423032966181324</v>
      </c>
      <c r="BW647" s="4"/>
    </row>
    <row r="648" spans="1:75" ht="15.75" customHeight="1" x14ac:dyDescent="0.2">
      <c r="A648" s="85" t="str">
        <f t="shared" si="1338"/>
        <v>Income taxes receivable/payable</v>
      </c>
      <c r="B648" s="85"/>
      <c r="C648" s="86">
        <f t="shared" si="1377"/>
        <v>7.8650000000000002</v>
      </c>
      <c r="D648" s="86">
        <f t="shared" si="1377"/>
        <v>-1.964</v>
      </c>
      <c r="E648" s="86">
        <f t="shared" si="1377"/>
        <v>-1.6319999999999999</v>
      </c>
      <c r="F648" s="86">
        <f t="shared" si="1377"/>
        <v>6.6849999999999996</v>
      </c>
      <c r="G648" s="2">
        <f t="shared" si="1377"/>
        <v>3.4</v>
      </c>
      <c r="H648" s="2">
        <f t="shared" si="1378"/>
        <v>-6.51</v>
      </c>
      <c r="I648" s="2">
        <f t="shared" si="1378"/>
        <v>-0.51900000000000013</v>
      </c>
      <c r="J648" s="2">
        <f t="shared" si="1378"/>
        <v>-2.113</v>
      </c>
      <c r="K648" s="86">
        <f t="shared" si="1379"/>
        <v>-5.742</v>
      </c>
      <c r="L648" s="2">
        <f t="shared" si="1379"/>
        <v>3.4359999999999999</v>
      </c>
      <c r="M648" s="2">
        <f t="shared" si="1380"/>
        <v>-1.6739999999999999</v>
      </c>
      <c r="N648" s="2">
        <f t="shared" si="1380"/>
        <v>-8.7720000000000002</v>
      </c>
      <c r="O648" s="2">
        <f t="shared" si="1380"/>
        <v>-5.8439999999999994</v>
      </c>
      <c r="P648" s="86">
        <f t="shared" si="1381"/>
        <v>-12.853999999999999</v>
      </c>
      <c r="Q648" s="2">
        <f t="shared" si="1381"/>
        <v>4.5999999999999996</v>
      </c>
      <c r="R648" s="2">
        <f t="shared" si="1382"/>
        <v>6.8659999999999997</v>
      </c>
      <c r="S648" s="2">
        <f t="shared" si="1382"/>
        <v>-10.113999999999999</v>
      </c>
      <c r="T648" s="2">
        <f t="shared" si="1382"/>
        <v>-2.7080000000000002</v>
      </c>
      <c r="U648" s="86">
        <f t="shared" si="1383"/>
        <v>-1.3560000000000001</v>
      </c>
      <c r="V648" s="2">
        <f t="shared" si="1383"/>
        <v>2.718</v>
      </c>
      <c r="W648" s="2">
        <f t="shared" si="1384"/>
        <v>11.68</v>
      </c>
      <c r="X648" s="2">
        <f t="shared" si="1384"/>
        <v>3.8820000000000014</v>
      </c>
      <c r="Y648" s="2">
        <f t="shared" si="1384"/>
        <v>3.5569999999999986</v>
      </c>
      <c r="Z648" s="86">
        <f t="shared" si="1385"/>
        <v>21.837</v>
      </c>
      <c r="AA648" s="2">
        <f t="shared" si="1385"/>
        <v>3.1640000000000001</v>
      </c>
      <c r="AB648" s="2">
        <f t="shared" si="1386"/>
        <v>-9.6609999999999996</v>
      </c>
      <c r="AC648" s="2">
        <f t="shared" si="1386"/>
        <v>-0.83999999999999986</v>
      </c>
      <c r="AD648" s="2">
        <f t="shared" si="1386"/>
        <v>-9.9780000000000015</v>
      </c>
      <c r="AE648" s="86">
        <f t="shared" si="1387"/>
        <v>-17.315000000000001</v>
      </c>
      <c r="AF648" s="2">
        <f t="shared" si="1387"/>
        <v>13.667999999999999</v>
      </c>
      <c r="AG648" s="2">
        <f t="shared" si="1388"/>
        <v>-1.0849999999999991</v>
      </c>
      <c r="AH648" s="2">
        <f t="shared" si="1388"/>
        <v>-0.75099999999999945</v>
      </c>
      <c r="AI648" s="2">
        <f t="shared" si="1388"/>
        <v>3.8969999999999985</v>
      </c>
      <c r="AJ648" s="86">
        <f t="shared" si="1389"/>
        <v>15.728999999999999</v>
      </c>
      <c r="AK648" s="2">
        <f t="shared" si="1389"/>
        <v>-0.68100000000000005</v>
      </c>
      <c r="AL648" s="2">
        <f t="shared" si="1390"/>
        <v>-2.4140000000000001</v>
      </c>
      <c r="AM648" s="2">
        <f t="shared" si="1390"/>
        <v>-6.032</v>
      </c>
      <c r="AN648" s="2">
        <f t="shared" si="1390"/>
        <v>3.7890000000000006</v>
      </c>
      <c r="AO648" s="86">
        <f t="shared" si="1391"/>
        <v>-5.3380000000000001</v>
      </c>
      <c r="AP648" s="2">
        <f t="shared" si="1391"/>
        <v>-44.553000000000004</v>
      </c>
      <c r="AQ648" s="2">
        <f t="shared" si="1392"/>
        <v>-29.833999999999996</v>
      </c>
      <c r="AR648" s="2">
        <f t="shared" si="1392"/>
        <v>33.410000000000004</v>
      </c>
      <c r="AS648" s="2">
        <f t="shared" si="1392"/>
        <v>8.7139999999999986</v>
      </c>
      <c r="AT648" s="86">
        <f t="shared" si="1393"/>
        <v>-32.262999999999998</v>
      </c>
      <c r="AU648" s="2">
        <f t="shared" si="1393"/>
        <v>1.9159999999999999</v>
      </c>
      <c r="AV648" s="2">
        <f t="shared" si="1394"/>
        <v>-0.80999999999999983</v>
      </c>
      <c r="AW648" s="2">
        <f t="shared" si="1394"/>
        <v>-4.8550000000000004</v>
      </c>
      <c r="AX648" s="2">
        <f t="shared" si="1394"/>
        <v>4.4640000000000004</v>
      </c>
      <c r="AY648" s="86">
        <f t="shared" si="1395"/>
        <v>0.71499999999999997</v>
      </c>
      <c r="AZ648" s="2">
        <f t="shared" si="1395"/>
        <v>-0.72</v>
      </c>
      <c r="BA648" s="2">
        <f t="shared" si="1396"/>
        <v>-2.8979999999999997</v>
      </c>
      <c r="BB648" s="2">
        <f t="shared" si="1396"/>
        <v>16.099</v>
      </c>
      <c r="BC648" s="2">
        <f t="shared" si="1396"/>
        <v>2.17</v>
      </c>
      <c r="BD648" s="86">
        <f t="shared" si="1397"/>
        <v>14.651</v>
      </c>
      <c r="BE648" s="2">
        <f t="shared" si="1397"/>
        <v>-0.11799999999999999</v>
      </c>
      <c r="BF648" s="2">
        <f t="shared" si="1398"/>
        <v>-1.0979999999999999</v>
      </c>
      <c r="BG648" s="2">
        <f t="shared" si="1398"/>
        <v>-1.1849999999999998</v>
      </c>
      <c r="BH648" s="2">
        <f t="shared" si="1398"/>
        <v>3.2529999999999997</v>
      </c>
      <c r="BI648" s="90">
        <f t="shared" si="1399"/>
        <v>0.85199999999999998</v>
      </c>
      <c r="BJ648" s="2"/>
      <c r="BK648" s="2"/>
      <c r="BL648" s="2"/>
      <c r="BM648" s="2"/>
      <c r="BN648" s="86">
        <f t="shared" si="1401"/>
        <v>0</v>
      </c>
      <c r="BO648" s="2"/>
      <c r="BP648" s="2"/>
      <c r="BQ648" s="2"/>
      <c r="BR648" s="2"/>
      <c r="BS648" s="86">
        <f t="shared" si="1403"/>
        <v>0</v>
      </c>
      <c r="BT648" s="86"/>
      <c r="BU648" s="86"/>
      <c r="BV648" s="86"/>
      <c r="BW648" s="4"/>
    </row>
    <row r="649" spans="1:75" ht="15.75" customHeight="1" x14ac:dyDescent="0.2">
      <c r="A649" s="85" t="str">
        <f t="shared" si="1338"/>
        <v>Inventories</v>
      </c>
      <c r="B649" s="85"/>
      <c r="C649" s="86">
        <f t="shared" si="1377"/>
        <v>0.93</v>
      </c>
      <c r="D649" s="86">
        <f t="shared" si="1377"/>
        <v>-0.83399999999999996</v>
      </c>
      <c r="E649" s="86">
        <f t="shared" si="1377"/>
        <v>-5.1740000000000004</v>
      </c>
      <c r="F649" s="86">
        <f t="shared" si="1377"/>
        <v>-0.626</v>
      </c>
      <c r="G649" s="2">
        <f t="shared" si="1377"/>
        <v>-5.0010000000000003</v>
      </c>
      <c r="H649" s="2">
        <f t="shared" si="1378"/>
        <v>-1.8529999999999998</v>
      </c>
      <c r="I649" s="2">
        <f t="shared" si="1378"/>
        <v>-1.3560000000000008</v>
      </c>
      <c r="J649" s="2">
        <f t="shared" si="1378"/>
        <v>1.5680000000000005</v>
      </c>
      <c r="K649" s="86">
        <f t="shared" si="1379"/>
        <v>-6.6420000000000003</v>
      </c>
      <c r="L649" s="2">
        <f t="shared" si="1379"/>
        <v>0.82299999999999995</v>
      </c>
      <c r="M649" s="2">
        <f t="shared" si="1380"/>
        <v>-1.724</v>
      </c>
      <c r="N649" s="2">
        <f t="shared" si="1380"/>
        <v>-0.78699999999999992</v>
      </c>
      <c r="O649" s="2">
        <f t="shared" si="1380"/>
        <v>3.9109999999999996</v>
      </c>
      <c r="P649" s="86">
        <f t="shared" si="1381"/>
        <v>2.2229999999999999</v>
      </c>
      <c r="Q649" s="2">
        <f t="shared" si="1381"/>
        <v>0.73</v>
      </c>
      <c r="R649" s="2">
        <f t="shared" si="1382"/>
        <v>-3.9409999999999998</v>
      </c>
      <c r="S649" s="2">
        <f t="shared" si="1382"/>
        <v>-0.27600000000000025</v>
      </c>
      <c r="T649" s="2">
        <f t="shared" si="1382"/>
        <v>2.7320000000000002</v>
      </c>
      <c r="U649" s="86">
        <f t="shared" si="1383"/>
        <v>-0.755</v>
      </c>
      <c r="V649" s="2">
        <f t="shared" si="1383"/>
        <v>-1.5329999999999999</v>
      </c>
      <c r="W649" s="2">
        <f t="shared" si="1384"/>
        <v>0.97199999999999986</v>
      </c>
      <c r="X649" s="2">
        <f t="shared" si="1384"/>
        <v>-0.96999999999999986</v>
      </c>
      <c r="Y649" s="2">
        <f t="shared" si="1384"/>
        <v>0.61499999999999988</v>
      </c>
      <c r="Z649" s="86">
        <f t="shared" si="1385"/>
        <v>-0.91600000000000004</v>
      </c>
      <c r="AA649" s="2">
        <f t="shared" si="1385"/>
        <v>-3.6150000000000002</v>
      </c>
      <c r="AB649" s="2">
        <f t="shared" si="1386"/>
        <v>-1.7050000000000001</v>
      </c>
      <c r="AC649" s="2">
        <f t="shared" si="1386"/>
        <v>-3.9489999999999998</v>
      </c>
      <c r="AD649" s="2">
        <f t="shared" si="1386"/>
        <v>1.6349999999999998</v>
      </c>
      <c r="AE649" s="86">
        <f t="shared" si="1387"/>
        <v>-7.6340000000000003</v>
      </c>
      <c r="AF649" s="2">
        <f t="shared" si="1387"/>
        <v>1.601</v>
      </c>
      <c r="AG649" s="2">
        <f t="shared" si="1388"/>
        <v>6.2640000000000002</v>
      </c>
      <c r="AH649" s="2">
        <f t="shared" si="1388"/>
        <v>-5.0760000000000005</v>
      </c>
      <c r="AI649" s="2">
        <f t="shared" si="1388"/>
        <v>0.87799999999999967</v>
      </c>
      <c r="AJ649" s="86">
        <f t="shared" si="1389"/>
        <v>3.6669999999999998</v>
      </c>
      <c r="AK649" s="2">
        <f t="shared" si="1389"/>
        <v>-3.1419999999999999</v>
      </c>
      <c r="AL649" s="2">
        <f t="shared" si="1390"/>
        <v>-3.98</v>
      </c>
      <c r="AM649" s="2">
        <f t="shared" si="1390"/>
        <v>-1.7680000000000007</v>
      </c>
      <c r="AN649" s="2">
        <f t="shared" si="1390"/>
        <v>3.1240000000000006</v>
      </c>
      <c r="AO649" s="86">
        <f t="shared" si="1391"/>
        <v>-5.766</v>
      </c>
      <c r="AP649" s="2">
        <f t="shared" si="1391"/>
        <v>-0.60499999999999998</v>
      </c>
      <c r="AQ649" s="2">
        <f t="shared" si="1392"/>
        <v>7.3140000000000001</v>
      </c>
      <c r="AR649" s="2">
        <f t="shared" si="1392"/>
        <v>2.7859999999999996</v>
      </c>
      <c r="AS649" s="2">
        <f t="shared" si="1392"/>
        <v>-1.573999999999999</v>
      </c>
      <c r="AT649" s="86">
        <f t="shared" si="1393"/>
        <v>7.9210000000000003</v>
      </c>
      <c r="AU649" s="2">
        <f t="shared" si="1393"/>
        <v>0.40799999999999997</v>
      </c>
      <c r="AV649" s="2">
        <f t="shared" si="1394"/>
        <v>-2.9119999999999999</v>
      </c>
      <c r="AW649" s="2">
        <f t="shared" si="1394"/>
        <v>-1.403</v>
      </c>
      <c r="AX649" s="2">
        <f t="shared" si="1394"/>
        <v>0.42899999999999983</v>
      </c>
      <c r="AY649" s="86">
        <f t="shared" si="1395"/>
        <v>-3.4780000000000002</v>
      </c>
      <c r="AZ649" s="2">
        <f t="shared" si="1395"/>
        <v>-3.839</v>
      </c>
      <c r="BA649" s="2">
        <f t="shared" si="1396"/>
        <v>-5.6079999999999988</v>
      </c>
      <c r="BB649" s="2">
        <f t="shared" si="1396"/>
        <v>-9.995000000000001</v>
      </c>
      <c r="BC649" s="2">
        <f t="shared" si="1396"/>
        <v>6.7170000000000005</v>
      </c>
      <c r="BD649" s="86">
        <f t="shared" si="1397"/>
        <v>-12.725</v>
      </c>
      <c r="BE649" s="2">
        <f t="shared" si="1397"/>
        <v>-3.4279999999999999</v>
      </c>
      <c r="BF649" s="2">
        <f t="shared" si="1398"/>
        <v>-1.8780000000000001</v>
      </c>
      <c r="BG649" s="2">
        <f t="shared" si="1398"/>
        <v>2.1930000000000001</v>
      </c>
      <c r="BH649" s="2">
        <f t="shared" si="1398"/>
        <v>1.0209999999999999</v>
      </c>
      <c r="BI649" s="90">
        <f t="shared" si="1399"/>
        <v>-2.0920000000000001</v>
      </c>
      <c r="BJ649" s="2">
        <f t="shared" ref="BJ649:BM649" si="1405">BI748-BJ748</f>
        <v>-3.1565165778431918</v>
      </c>
      <c r="BK649" s="2">
        <f t="shared" si="1405"/>
        <v>-2.3911753770259168</v>
      </c>
      <c r="BL649" s="2">
        <f t="shared" si="1405"/>
        <v>2.1086719748797975</v>
      </c>
      <c r="BM649" s="2">
        <f t="shared" si="1405"/>
        <v>-0.23678129850103602</v>
      </c>
      <c r="BN649" s="86">
        <f t="shared" si="1401"/>
        <v>-3.6758012784903471</v>
      </c>
      <c r="BO649" s="2">
        <f t="shared" ref="BO649:BR649" si="1406">BN748-BO748</f>
        <v>-3.4086050101882535</v>
      </c>
      <c r="BP649" s="2">
        <f t="shared" si="1406"/>
        <v>-2.2192459574431638</v>
      </c>
      <c r="BQ649" s="2">
        <f t="shared" si="1406"/>
        <v>2.5242522094802808</v>
      </c>
      <c r="BR649" s="2">
        <f t="shared" si="1406"/>
        <v>1.0506316184162756E-2</v>
      </c>
      <c r="BS649" s="86">
        <f t="shared" si="1403"/>
        <v>-3.0930924419669736</v>
      </c>
      <c r="BT649" s="86">
        <f t="shared" ref="BT649:BV649" si="1407">BS748-BT748</f>
        <v>-4.9243688709150462</v>
      </c>
      <c r="BU649" s="86">
        <f t="shared" si="1407"/>
        <v>-5.4510494414879673</v>
      </c>
      <c r="BV649" s="86">
        <f t="shared" si="1407"/>
        <v>-6.9474221839507493</v>
      </c>
      <c r="BW649" s="4"/>
    </row>
    <row r="650" spans="1:75" ht="15.75" customHeight="1" x14ac:dyDescent="0.2">
      <c r="A650" s="85" t="str">
        <f t="shared" si="1338"/>
        <v>Prepaid expenses</v>
      </c>
      <c r="B650" s="85"/>
      <c r="C650" s="86">
        <f t="shared" si="1377"/>
        <v>-3.2170000000000001</v>
      </c>
      <c r="D650" s="86">
        <f t="shared" si="1377"/>
        <v>-0.47399999999999998</v>
      </c>
      <c r="E650" s="86">
        <f t="shared" si="1377"/>
        <v>-8.1530000000000005</v>
      </c>
      <c r="F650" s="86">
        <f t="shared" si="1377"/>
        <v>-3.3889999999999998</v>
      </c>
      <c r="G650" s="2">
        <f t="shared" si="1377"/>
        <v>0.66700000000000004</v>
      </c>
      <c r="H650" s="2">
        <f t="shared" si="1378"/>
        <v>1.0979999999999999</v>
      </c>
      <c r="I650" s="2">
        <f t="shared" si="1378"/>
        <v>2.1959999999999997</v>
      </c>
      <c r="J650" s="2">
        <f t="shared" si="1378"/>
        <v>-6.6690000000000005</v>
      </c>
      <c r="K650" s="86">
        <f t="shared" si="1379"/>
        <v>-2.7080000000000002</v>
      </c>
      <c r="L650" s="2">
        <f t="shared" si="1379"/>
        <v>-0.29899999999999999</v>
      </c>
      <c r="M650" s="2">
        <f t="shared" si="1380"/>
        <v>0.873</v>
      </c>
      <c r="N650" s="2">
        <f t="shared" si="1380"/>
        <v>1.6779999999999999</v>
      </c>
      <c r="O650" s="2">
        <f t="shared" si="1380"/>
        <v>2.1100000000000003</v>
      </c>
      <c r="P650" s="86">
        <f t="shared" si="1381"/>
        <v>4.3620000000000001</v>
      </c>
      <c r="Q650" s="2">
        <f t="shared" si="1381"/>
        <v>-8.3460000000000001</v>
      </c>
      <c r="R650" s="2">
        <f t="shared" si="1382"/>
        <v>-4.2999999999999261E-2</v>
      </c>
      <c r="S650" s="2">
        <f t="shared" si="1382"/>
        <v>2.5419999999999989</v>
      </c>
      <c r="T650" s="2">
        <f t="shared" si="1382"/>
        <v>2.1040000000000005</v>
      </c>
      <c r="U650" s="86">
        <f t="shared" si="1383"/>
        <v>-3.7429999999999999</v>
      </c>
      <c r="V650" s="2">
        <f t="shared" si="1383"/>
        <v>1.339</v>
      </c>
      <c r="W650" s="2">
        <f t="shared" si="1384"/>
        <v>2.8130000000000002</v>
      </c>
      <c r="X650" s="2">
        <f t="shared" si="1384"/>
        <v>1.4870000000000001</v>
      </c>
      <c r="Y650" s="2">
        <f t="shared" si="1384"/>
        <v>-16.100999999999999</v>
      </c>
      <c r="Z650" s="86">
        <f t="shared" si="1385"/>
        <v>-10.462</v>
      </c>
      <c r="AA650" s="2">
        <f t="shared" si="1385"/>
        <v>-0.14699999999999999</v>
      </c>
      <c r="AB650" s="2">
        <f t="shared" si="1386"/>
        <v>1.6659999999999999</v>
      </c>
      <c r="AC650" s="2">
        <f t="shared" si="1386"/>
        <v>2.3979999999999997</v>
      </c>
      <c r="AD650" s="2">
        <f t="shared" si="1386"/>
        <v>-9.1440000000000001</v>
      </c>
      <c r="AE650" s="86">
        <f t="shared" si="1387"/>
        <v>-5.2270000000000003</v>
      </c>
      <c r="AF650" s="2">
        <f t="shared" si="1387"/>
        <v>3.63</v>
      </c>
      <c r="AG650" s="2">
        <f t="shared" si="1388"/>
        <v>1.0869999999999997</v>
      </c>
      <c r="AH650" s="2">
        <f t="shared" si="1388"/>
        <v>5.4460000000000006</v>
      </c>
      <c r="AI650" s="2">
        <f t="shared" si="1388"/>
        <v>-3.9010000000000007</v>
      </c>
      <c r="AJ650" s="86">
        <f t="shared" si="1389"/>
        <v>6.2619999999999996</v>
      </c>
      <c r="AK650" s="2">
        <f t="shared" si="1389"/>
        <v>-10.621</v>
      </c>
      <c r="AL650" s="2">
        <f t="shared" si="1390"/>
        <v>7.2490000000000006</v>
      </c>
      <c r="AM650" s="2">
        <f t="shared" si="1390"/>
        <v>0.62599999999999989</v>
      </c>
      <c r="AN650" s="2">
        <f t="shared" si="1390"/>
        <v>-1.387</v>
      </c>
      <c r="AO650" s="86">
        <f t="shared" si="1391"/>
        <v>-4.133</v>
      </c>
      <c r="AP650" s="2">
        <f t="shared" si="1391"/>
        <v>1.452</v>
      </c>
      <c r="AQ650" s="2">
        <f t="shared" si="1392"/>
        <v>6.1479999999999997</v>
      </c>
      <c r="AR650" s="2">
        <f t="shared" si="1392"/>
        <v>4.0950000000000006</v>
      </c>
      <c r="AS650" s="2">
        <f t="shared" si="1392"/>
        <v>-3.1319999999999997</v>
      </c>
      <c r="AT650" s="86">
        <f t="shared" si="1393"/>
        <v>8.5630000000000006</v>
      </c>
      <c r="AU650" s="2">
        <f t="shared" si="1393"/>
        <v>4.5839999999999996</v>
      </c>
      <c r="AV650" s="2">
        <f t="shared" si="1394"/>
        <v>-1.3099999999999996</v>
      </c>
      <c r="AW650" s="2">
        <f t="shared" si="1394"/>
        <v>2.3220000000000001</v>
      </c>
      <c r="AX650" s="2">
        <f t="shared" si="1394"/>
        <v>-6.7330000000000005</v>
      </c>
      <c r="AY650" s="86">
        <f t="shared" si="1395"/>
        <v>-1.137</v>
      </c>
      <c r="AZ650" s="2">
        <f t="shared" si="1395"/>
        <v>2.7069999999999999</v>
      </c>
      <c r="BA650" s="2">
        <f t="shared" si="1396"/>
        <v>0.36400000000000032</v>
      </c>
      <c r="BB650" s="2">
        <f t="shared" si="1396"/>
        <v>2.4159999999999999</v>
      </c>
      <c r="BC650" s="2">
        <f t="shared" si="1396"/>
        <v>-17.447000000000003</v>
      </c>
      <c r="BD650" s="86">
        <f t="shared" si="1397"/>
        <v>-11.96</v>
      </c>
      <c r="BE650" s="2">
        <f t="shared" si="1397"/>
        <v>1.4E-2</v>
      </c>
      <c r="BF650" s="2">
        <f t="shared" si="1398"/>
        <v>-4.2540000000000004</v>
      </c>
      <c r="BG650" s="2">
        <f t="shared" si="1398"/>
        <v>-2.9189999999999996</v>
      </c>
      <c r="BH650" s="2">
        <f t="shared" si="1398"/>
        <v>-7.535000000000001</v>
      </c>
      <c r="BI650" s="90">
        <f t="shared" si="1399"/>
        <v>-14.694000000000001</v>
      </c>
      <c r="BJ650" s="2"/>
      <c r="BK650" s="2"/>
      <c r="BL650" s="2"/>
      <c r="BM650" s="2"/>
      <c r="BN650" s="86">
        <f t="shared" si="1401"/>
        <v>0</v>
      </c>
      <c r="BO650" s="2"/>
      <c r="BP650" s="2"/>
      <c r="BQ650" s="2"/>
      <c r="BR650" s="2"/>
      <c r="BS650" s="86">
        <f t="shared" si="1403"/>
        <v>0</v>
      </c>
      <c r="BT650" s="86"/>
      <c r="BU650" s="86"/>
      <c r="BV650" s="86"/>
      <c r="BW650" s="4"/>
    </row>
    <row r="651" spans="1:75" ht="15.75" customHeight="1" x14ac:dyDescent="0.2">
      <c r="A651" s="85" t="str">
        <f t="shared" si="1338"/>
        <v>Operating lease assets/liabilities</v>
      </c>
      <c r="B651" s="85"/>
      <c r="C651" s="86">
        <f t="shared" si="1377"/>
        <v>0</v>
      </c>
      <c r="D651" s="86">
        <f t="shared" si="1377"/>
        <v>0</v>
      </c>
      <c r="E651" s="86">
        <f t="shared" si="1377"/>
        <v>0</v>
      </c>
      <c r="F651" s="86">
        <f t="shared" si="1377"/>
        <v>0</v>
      </c>
      <c r="G651" s="2">
        <f t="shared" si="1377"/>
        <v>0</v>
      </c>
      <c r="H651" s="2">
        <f t="shared" si="1378"/>
        <v>0</v>
      </c>
      <c r="I651" s="2">
        <f t="shared" si="1378"/>
        <v>0</v>
      </c>
      <c r="J651" s="2">
        <f t="shared" si="1378"/>
        <v>0</v>
      </c>
      <c r="K651" s="86">
        <f t="shared" si="1379"/>
        <v>0</v>
      </c>
      <c r="L651" s="2">
        <f t="shared" si="1379"/>
        <v>0</v>
      </c>
      <c r="M651" s="2">
        <f t="shared" si="1380"/>
        <v>0</v>
      </c>
      <c r="N651" s="2">
        <f t="shared" si="1380"/>
        <v>0</v>
      </c>
      <c r="O651" s="2">
        <f t="shared" si="1380"/>
        <v>0</v>
      </c>
      <c r="P651" s="86">
        <f t="shared" si="1381"/>
        <v>0</v>
      </c>
      <c r="Q651" s="2">
        <f t="shared" si="1381"/>
        <v>0</v>
      </c>
      <c r="R651" s="2">
        <f t="shared" si="1382"/>
        <v>0</v>
      </c>
      <c r="S651" s="2">
        <f t="shared" si="1382"/>
        <v>0</v>
      </c>
      <c r="T651" s="2">
        <f t="shared" si="1382"/>
        <v>0</v>
      </c>
      <c r="U651" s="86">
        <f t="shared" si="1383"/>
        <v>0</v>
      </c>
      <c r="V651" s="2">
        <f t="shared" si="1383"/>
        <v>0</v>
      </c>
      <c r="W651" s="2">
        <f t="shared" si="1384"/>
        <v>0</v>
      </c>
      <c r="X651" s="2">
        <f t="shared" si="1384"/>
        <v>0</v>
      </c>
      <c r="Y651" s="2">
        <f t="shared" si="1384"/>
        <v>0</v>
      </c>
      <c r="Z651" s="86">
        <f t="shared" si="1385"/>
        <v>0</v>
      </c>
      <c r="AA651" s="2">
        <f t="shared" si="1385"/>
        <v>0</v>
      </c>
      <c r="AB651" s="2">
        <f t="shared" si="1386"/>
        <v>0</v>
      </c>
      <c r="AC651" s="2">
        <f t="shared" si="1386"/>
        <v>0</v>
      </c>
      <c r="AD651" s="2">
        <f t="shared" si="1386"/>
        <v>0</v>
      </c>
      <c r="AE651" s="86">
        <f t="shared" si="1387"/>
        <v>0</v>
      </c>
      <c r="AF651" s="2">
        <f t="shared" si="1387"/>
        <v>0</v>
      </c>
      <c r="AG651" s="2">
        <f t="shared" si="1388"/>
        <v>0</v>
      </c>
      <c r="AH651" s="2">
        <f t="shared" si="1388"/>
        <v>0</v>
      </c>
      <c r="AI651" s="2">
        <f t="shared" si="1388"/>
        <v>0</v>
      </c>
      <c r="AJ651" s="86">
        <f t="shared" si="1389"/>
        <v>0</v>
      </c>
      <c r="AK651" s="2">
        <f t="shared" si="1389"/>
        <v>1.1299999999999999</v>
      </c>
      <c r="AL651" s="2">
        <f t="shared" si="1390"/>
        <v>-6.6339999999999995</v>
      </c>
      <c r="AM651" s="2">
        <f t="shared" si="1390"/>
        <v>0.26999999999999957</v>
      </c>
      <c r="AN651" s="2">
        <f t="shared" si="1390"/>
        <v>10.253</v>
      </c>
      <c r="AO651" s="86">
        <f t="shared" si="1391"/>
        <v>5.0190000000000001</v>
      </c>
      <c r="AP651" s="2">
        <f t="shared" si="1391"/>
        <v>1.851</v>
      </c>
      <c r="AQ651" s="2">
        <f t="shared" si="1392"/>
        <v>11.044</v>
      </c>
      <c r="AR651" s="2">
        <f t="shared" si="1392"/>
        <v>4.57</v>
      </c>
      <c r="AS651" s="2">
        <f t="shared" si="1392"/>
        <v>5.4929999999999986</v>
      </c>
      <c r="AT651" s="86">
        <f t="shared" si="1393"/>
        <v>22.957999999999998</v>
      </c>
      <c r="AU651" s="2">
        <f t="shared" si="1393"/>
        <v>-2.6840000000000002</v>
      </c>
      <c r="AV651" s="2">
        <f t="shared" si="1394"/>
        <v>-1.1989999999999998</v>
      </c>
      <c r="AW651" s="2">
        <f t="shared" si="1394"/>
        <v>-0.50300000000000011</v>
      </c>
      <c r="AX651" s="2">
        <f t="shared" si="1394"/>
        <v>0.28000000000000025</v>
      </c>
      <c r="AY651" s="86">
        <f t="shared" si="1395"/>
        <v>-4.1059999999999999</v>
      </c>
      <c r="AZ651" s="2">
        <f t="shared" si="1395"/>
        <v>-2.8519999999999999</v>
      </c>
      <c r="BA651" s="2">
        <f t="shared" si="1396"/>
        <v>-6.9610000000000003</v>
      </c>
      <c r="BB651" s="2">
        <f t="shared" si="1396"/>
        <v>-3.9449999999999985</v>
      </c>
      <c r="BC651" s="2">
        <f t="shared" si="1396"/>
        <v>-4.6460000000000008</v>
      </c>
      <c r="BD651" s="86">
        <f t="shared" si="1397"/>
        <v>-18.404</v>
      </c>
      <c r="BE651" s="2">
        <f t="shared" si="1397"/>
        <v>-3.7770000000000001</v>
      </c>
      <c r="BF651" s="2">
        <f t="shared" si="1398"/>
        <v>-8.4409999999999989</v>
      </c>
      <c r="BG651" s="2">
        <f t="shared" si="1398"/>
        <v>-6.3539999999999992</v>
      </c>
      <c r="BH651" s="2">
        <f t="shared" si="1398"/>
        <v>-8.5410000000000004</v>
      </c>
      <c r="BI651" s="90">
        <f t="shared" si="1399"/>
        <v>-27.113</v>
      </c>
      <c r="BJ651" s="2"/>
      <c r="BK651" s="2"/>
      <c r="BL651" s="2"/>
      <c r="BM651" s="2"/>
      <c r="BN651" s="86">
        <f t="shared" si="1401"/>
        <v>0</v>
      </c>
      <c r="BO651" s="2"/>
      <c r="BP651" s="2"/>
      <c r="BQ651" s="2"/>
      <c r="BR651" s="2"/>
      <c r="BS651" s="86">
        <f t="shared" si="1403"/>
        <v>0</v>
      </c>
      <c r="BT651" s="86"/>
      <c r="BU651" s="86"/>
      <c r="BV651" s="86"/>
      <c r="BW651" s="4"/>
    </row>
    <row r="652" spans="1:75" ht="15.75" customHeight="1" x14ac:dyDescent="0.2">
      <c r="A652" s="85" t="str">
        <f t="shared" si="1338"/>
        <v>Other assets</v>
      </c>
      <c r="B652" s="85"/>
      <c r="C652" s="86">
        <f t="shared" si="1377"/>
        <v>6.7249999999999996</v>
      </c>
      <c r="D652" s="86">
        <f t="shared" si="1377"/>
        <v>0.56200000000000006</v>
      </c>
      <c r="E652" s="86">
        <f t="shared" si="1377"/>
        <v>-0.54500000000000004</v>
      </c>
      <c r="F652" s="86">
        <f t="shared" si="1377"/>
        <v>-6.5330000000000004</v>
      </c>
      <c r="G652" s="2">
        <f t="shared" si="1377"/>
        <v>0.78600000000000003</v>
      </c>
      <c r="H652" s="2">
        <f t="shared" si="1378"/>
        <v>-0.17200000000000004</v>
      </c>
      <c r="I652" s="2">
        <f t="shared" si="1378"/>
        <v>-2.84</v>
      </c>
      <c r="J652" s="2">
        <f t="shared" si="1378"/>
        <v>-1.7709999999999999</v>
      </c>
      <c r="K652" s="86">
        <f t="shared" si="1379"/>
        <v>-3.9969999999999999</v>
      </c>
      <c r="L652" s="2">
        <f t="shared" si="1379"/>
        <v>-0.82399999999999995</v>
      </c>
      <c r="M652" s="2">
        <f t="shared" si="1380"/>
        <v>-2.121</v>
      </c>
      <c r="N652" s="2">
        <f t="shared" si="1380"/>
        <v>0.43699999999999983</v>
      </c>
      <c r="O652" s="2">
        <f t="shared" si="1380"/>
        <v>-1.137</v>
      </c>
      <c r="P652" s="86">
        <f t="shared" si="1381"/>
        <v>-3.645</v>
      </c>
      <c r="Q652" s="2">
        <f t="shared" si="1381"/>
        <v>-1.847</v>
      </c>
      <c r="R652" s="2">
        <f t="shared" si="1382"/>
        <v>-4.1630000000000003</v>
      </c>
      <c r="S652" s="2">
        <f t="shared" si="1382"/>
        <v>1.4729999999999999</v>
      </c>
      <c r="T652" s="2">
        <f t="shared" si="1382"/>
        <v>-1.2620000000000005</v>
      </c>
      <c r="U652" s="86">
        <f t="shared" si="1383"/>
        <v>-5.7990000000000004</v>
      </c>
      <c r="V652" s="2">
        <f t="shared" si="1383"/>
        <v>-0.61899999999999999</v>
      </c>
      <c r="W652" s="2">
        <f t="shared" si="1384"/>
        <v>-0.45199999999999996</v>
      </c>
      <c r="X652" s="2">
        <f t="shared" si="1384"/>
        <v>-1.1300000000000001</v>
      </c>
      <c r="Y652" s="2">
        <f t="shared" si="1384"/>
        <v>-0.61699999999999999</v>
      </c>
      <c r="Z652" s="86">
        <f t="shared" si="1385"/>
        <v>-2.8180000000000001</v>
      </c>
      <c r="AA652" s="2">
        <f t="shared" si="1385"/>
        <v>-2.65</v>
      </c>
      <c r="AB652" s="2">
        <f t="shared" si="1386"/>
        <v>-1.6300000000000003</v>
      </c>
      <c r="AC652" s="2">
        <f t="shared" si="1386"/>
        <v>-1.7649999999999997</v>
      </c>
      <c r="AD652" s="2">
        <f t="shared" si="1386"/>
        <v>-2.9890000000000008</v>
      </c>
      <c r="AE652" s="86">
        <f t="shared" si="1387"/>
        <v>-9.0340000000000007</v>
      </c>
      <c r="AF652" s="2">
        <f t="shared" si="1387"/>
        <v>1.276</v>
      </c>
      <c r="AG652" s="2">
        <f t="shared" si="1388"/>
        <v>-0.18700000000000006</v>
      </c>
      <c r="AH652" s="2">
        <f t="shared" si="1388"/>
        <v>1.8759999999999999</v>
      </c>
      <c r="AI652" s="2">
        <f t="shared" si="1388"/>
        <v>4.4409999999999998</v>
      </c>
      <c r="AJ652" s="86">
        <f t="shared" si="1389"/>
        <v>7.4059999999999997</v>
      </c>
      <c r="AK652" s="2">
        <f t="shared" si="1389"/>
        <v>-5.8959999999999999</v>
      </c>
      <c r="AL652" s="2">
        <f t="shared" si="1390"/>
        <v>-2.0880000000000001</v>
      </c>
      <c r="AM652" s="2">
        <f t="shared" si="1390"/>
        <v>-1.0009999999999994</v>
      </c>
      <c r="AN652" s="2">
        <f t="shared" si="1390"/>
        <v>-3.0040000000000013</v>
      </c>
      <c r="AO652" s="86">
        <f t="shared" si="1391"/>
        <v>-11.989000000000001</v>
      </c>
      <c r="AP652" s="2">
        <f t="shared" si="1391"/>
        <v>13.279</v>
      </c>
      <c r="AQ652" s="2">
        <f t="shared" si="1392"/>
        <v>-8.9849999999999994</v>
      </c>
      <c r="AR652" s="2">
        <f t="shared" si="1392"/>
        <v>-3.7539999999999996</v>
      </c>
      <c r="AS652" s="2">
        <f t="shared" si="1392"/>
        <v>-6.5590000000000002</v>
      </c>
      <c r="AT652" s="86">
        <f t="shared" si="1393"/>
        <v>-6.0190000000000001</v>
      </c>
      <c r="AU652" s="2">
        <f t="shared" si="1393"/>
        <v>-2.113</v>
      </c>
      <c r="AV652" s="2">
        <f t="shared" si="1394"/>
        <v>-4.4990000000000006</v>
      </c>
      <c r="AW652" s="2">
        <f t="shared" si="1394"/>
        <v>0.92999999999999972</v>
      </c>
      <c r="AX652" s="2">
        <f t="shared" si="1394"/>
        <v>-3.5449999999999999</v>
      </c>
      <c r="AY652" s="86">
        <f t="shared" si="1395"/>
        <v>-9.2270000000000003</v>
      </c>
      <c r="AZ652" s="2">
        <f t="shared" si="1395"/>
        <v>4.0490000000000004</v>
      </c>
      <c r="BA652" s="2">
        <f t="shared" si="1396"/>
        <v>10.943000000000001</v>
      </c>
      <c r="BB652" s="2">
        <f t="shared" si="1396"/>
        <v>3.4549999999999983</v>
      </c>
      <c r="BC652" s="2">
        <f t="shared" si="1396"/>
        <v>-4.7079999999999984</v>
      </c>
      <c r="BD652" s="86">
        <f t="shared" si="1397"/>
        <v>13.739000000000001</v>
      </c>
      <c r="BE652" s="2">
        <f t="shared" si="1397"/>
        <v>-3.5920000000000001</v>
      </c>
      <c r="BF652" s="2">
        <f t="shared" si="1398"/>
        <v>-3.5150000000000001</v>
      </c>
      <c r="BG652" s="2">
        <f t="shared" si="1398"/>
        <v>1.0209999999999999</v>
      </c>
      <c r="BH652" s="2">
        <f t="shared" si="1398"/>
        <v>-8.4179999999999993</v>
      </c>
      <c r="BI652" s="90">
        <f t="shared" si="1399"/>
        <v>-14.504</v>
      </c>
      <c r="BJ652" s="2"/>
      <c r="BK652" s="2"/>
      <c r="BL652" s="2"/>
      <c r="BM652" s="2"/>
      <c r="BN652" s="86">
        <f t="shared" si="1401"/>
        <v>0</v>
      </c>
      <c r="BO652" s="2"/>
      <c r="BP652" s="2"/>
      <c r="BQ652" s="2"/>
      <c r="BR652" s="2"/>
      <c r="BS652" s="86">
        <f t="shared" si="1403"/>
        <v>0</v>
      </c>
      <c r="BT652" s="86"/>
      <c r="BU652" s="86"/>
      <c r="BV652" s="86"/>
      <c r="BW652" s="4"/>
    </row>
    <row r="653" spans="1:75" ht="15.75" customHeight="1" x14ac:dyDescent="0.2">
      <c r="A653" s="85" t="str">
        <f t="shared" si="1338"/>
        <v>Accounts payable</v>
      </c>
      <c r="B653" s="85"/>
      <c r="C653" s="86">
        <f t="shared" si="1377"/>
        <v>-3.927</v>
      </c>
      <c r="D653" s="86">
        <f t="shared" si="1377"/>
        <v>-1.2969999999999999</v>
      </c>
      <c r="E653" s="86">
        <f t="shared" si="1377"/>
        <v>3.508</v>
      </c>
      <c r="F653" s="86">
        <f t="shared" si="1377"/>
        <v>10.839</v>
      </c>
      <c r="G653" s="2">
        <f t="shared" si="1377"/>
        <v>-11.628</v>
      </c>
      <c r="H653" s="2">
        <f t="shared" si="1378"/>
        <v>0.26500000000000057</v>
      </c>
      <c r="I653" s="2">
        <f t="shared" si="1378"/>
        <v>8.3469999999999995</v>
      </c>
      <c r="J653" s="2">
        <f t="shared" si="1378"/>
        <v>-8.5640000000000001</v>
      </c>
      <c r="K653" s="86">
        <f t="shared" si="1379"/>
        <v>-11.58</v>
      </c>
      <c r="L653" s="2">
        <f t="shared" si="1379"/>
        <v>13.763999999999999</v>
      </c>
      <c r="M653" s="2">
        <f t="shared" si="1380"/>
        <v>-1.6879999999999988</v>
      </c>
      <c r="N653" s="2">
        <f t="shared" si="1380"/>
        <v>3.1529999999999987</v>
      </c>
      <c r="O653" s="2">
        <f t="shared" si="1380"/>
        <v>2.9510000000000005</v>
      </c>
      <c r="P653" s="86">
        <f t="shared" si="1381"/>
        <v>18.18</v>
      </c>
      <c r="Q653" s="2">
        <f t="shared" si="1381"/>
        <v>-1.3340000000000001</v>
      </c>
      <c r="R653" s="2">
        <f t="shared" si="1382"/>
        <v>-7.2279999999999998</v>
      </c>
      <c r="S653" s="2">
        <f t="shared" si="1382"/>
        <v>-6.2960000000000012</v>
      </c>
      <c r="T653" s="2">
        <f t="shared" si="1382"/>
        <v>1.9270000000000014</v>
      </c>
      <c r="U653" s="86">
        <f t="shared" si="1383"/>
        <v>-12.930999999999999</v>
      </c>
      <c r="V653" s="2">
        <f t="shared" si="1383"/>
        <v>-0.50900000000000001</v>
      </c>
      <c r="W653" s="2">
        <f t="shared" si="1384"/>
        <v>-5.4829999999999997</v>
      </c>
      <c r="X653" s="2">
        <f t="shared" si="1384"/>
        <v>1.4660000000000002</v>
      </c>
      <c r="Y653" s="2">
        <f t="shared" si="1384"/>
        <v>5.2779999999999996</v>
      </c>
      <c r="Z653" s="86">
        <f t="shared" si="1385"/>
        <v>0.752</v>
      </c>
      <c r="AA653" s="2">
        <f t="shared" si="1385"/>
        <v>-3.56</v>
      </c>
      <c r="AB653" s="2">
        <f t="shared" si="1386"/>
        <v>7.327</v>
      </c>
      <c r="AC653" s="2">
        <f t="shared" si="1386"/>
        <v>-5.8089999999999993</v>
      </c>
      <c r="AD653" s="2">
        <f t="shared" si="1386"/>
        <v>5.8129999999999997</v>
      </c>
      <c r="AE653" s="86">
        <f t="shared" si="1387"/>
        <v>3.7709999999999999</v>
      </c>
      <c r="AF653" s="2">
        <f t="shared" si="1387"/>
        <v>-3.645</v>
      </c>
      <c r="AG653" s="2">
        <f t="shared" si="1388"/>
        <v>-1.1940000000000004</v>
      </c>
      <c r="AH653" s="2">
        <f t="shared" si="1388"/>
        <v>-3.552999999999999</v>
      </c>
      <c r="AI653" s="2">
        <f t="shared" si="1388"/>
        <v>13.992999999999999</v>
      </c>
      <c r="AJ653" s="86">
        <f t="shared" si="1389"/>
        <v>5.601</v>
      </c>
      <c r="AK653" s="2">
        <f t="shared" si="1389"/>
        <v>-11.622999999999999</v>
      </c>
      <c r="AL653" s="2">
        <f t="shared" si="1390"/>
        <v>-1.7940000000000005</v>
      </c>
      <c r="AM653" s="2">
        <f t="shared" si="1390"/>
        <v>-2.2370000000000001</v>
      </c>
      <c r="AN653" s="2">
        <f t="shared" si="1390"/>
        <v>17.98</v>
      </c>
      <c r="AO653" s="86">
        <f t="shared" si="1391"/>
        <v>2.3260000000000001</v>
      </c>
      <c r="AP653" s="2">
        <f t="shared" si="1391"/>
        <v>-3.464</v>
      </c>
      <c r="AQ653" s="2">
        <f t="shared" si="1392"/>
        <v>3.69</v>
      </c>
      <c r="AR653" s="2">
        <f t="shared" si="1392"/>
        <v>2.875</v>
      </c>
      <c r="AS653" s="2">
        <f t="shared" si="1392"/>
        <v>-5.1059999999999999</v>
      </c>
      <c r="AT653" s="86">
        <f t="shared" si="1393"/>
        <v>-2.0049999999999999</v>
      </c>
      <c r="AU653" s="2">
        <f t="shared" si="1393"/>
        <v>-1.5880000000000001</v>
      </c>
      <c r="AV653" s="2">
        <f t="shared" si="1394"/>
        <v>-1.484</v>
      </c>
      <c r="AW653" s="2">
        <f t="shared" si="1394"/>
        <v>-0.69899999999999984</v>
      </c>
      <c r="AX653" s="2">
        <f t="shared" si="1394"/>
        <v>9.2999999999999972E-2</v>
      </c>
      <c r="AY653" s="86">
        <f t="shared" si="1395"/>
        <v>-3.6779999999999999</v>
      </c>
      <c r="AZ653" s="2">
        <f t="shared" si="1395"/>
        <v>12.106</v>
      </c>
      <c r="BA653" s="2">
        <f t="shared" si="1396"/>
        <v>-3.1690000000000005</v>
      </c>
      <c r="BB653" s="2">
        <f t="shared" si="1396"/>
        <v>2.2400000000000002</v>
      </c>
      <c r="BC653" s="2">
        <f t="shared" si="1396"/>
        <v>6.4089999999999989</v>
      </c>
      <c r="BD653" s="86">
        <f t="shared" si="1397"/>
        <v>17.585999999999999</v>
      </c>
      <c r="BE653" s="2">
        <f t="shared" si="1397"/>
        <v>-4.5430000000000001</v>
      </c>
      <c r="BF653" s="2">
        <f t="shared" si="1398"/>
        <v>5.17</v>
      </c>
      <c r="BG653" s="2">
        <f t="shared" si="1398"/>
        <v>-11.612</v>
      </c>
      <c r="BH653" s="2">
        <f t="shared" si="1398"/>
        <v>14.956</v>
      </c>
      <c r="BI653" s="90">
        <f t="shared" si="1399"/>
        <v>3.9710000000000001</v>
      </c>
      <c r="BJ653" s="2">
        <f t="shared" ref="BJ653:BM653" si="1408">BJ764-BI764</f>
        <v>-4.3908707139697185</v>
      </c>
      <c r="BK653" s="2">
        <f t="shared" si="1408"/>
        <v>16.707513919985956</v>
      </c>
      <c r="BL653" s="2">
        <f t="shared" si="1408"/>
        <v>-19.873495217681253</v>
      </c>
      <c r="BM653" s="2">
        <f t="shared" si="1408"/>
        <v>11.583185003985108</v>
      </c>
      <c r="BN653" s="86">
        <f t="shared" si="1401"/>
        <v>4.0263329923200928</v>
      </c>
      <c r="BO653" s="2">
        <f t="shared" ref="BO653:BR653" si="1409">BO764-BN764</f>
        <v>-4.6216885863974753</v>
      </c>
      <c r="BP653" s="2">
        <f t="shared" si="1409"/>
        <v>17.39696143873504</v>
      </c>
      <c r="BQ653" s="2">
        <f t="shared" si="1409"/>
        <v>-21.318684676871278</v>
      </c>
      <c r="BR653" s="2">
        <f t="shared" si="1409"/>
        <v>11.931467707821916</v>
      </c>
      <c r="BS653" s="86">
        <f t="shared" si="1403"/>
        <v>3.3880558832882031</v>
      </c>
      <c r="BT653" s="86">
        <f t="shared" ref="BT653:BV653" si="1410">BT764-BS764</f>
        <v>5.3939664712947462</v>
      </c>
      <c r="BU653" s="86">
        <f t="shared" si="1410"/>
        <v>5.970872347605507</v>
      </c>
      <c r="BV653" s="86">
        <f t="shared" si="1410"/>
        <v>7.609942168121151</v>
      </c>
      <c r="BW653" s="4"/>
    </row>
    <row r="654" spans="1:75" ht="15.75" customHeight="1" x14ac:dyDescent="0.2">
      <c r="A654" s="85" t="str">
        <f t="shared" si="1338"/>
        <v>Gift card liabilities</v>
      </c>
      <c r="B654" s="85"/>
      <c r="C654" s="86">
        <f t="shared" si="1377"/>
        <v>0</v>
      </c>
      <c r="D654" s="86">
        <f t="shared" si="1377"/>
        <v>0</v>
      </c>
      <c r="E654" s="86">
        <f t="shared" si="1377"/>
        <v>0</v>
      </c>
      <c r="F654" s="86">
        <f t="shared" si="1377"/>
        <v>0</v>
      </c>
      <c r="G654" s="2">
        <f t="shared" si="1377"/>
        <v>0</v>
      </c>
      <c r="H654" s="2">
        <f t="shared" si="1378"/>
        <v>0</v>
      </c>
      <c r="I654" s="2">
        <f t="shared" si="1378"/>
        <v>0</v>
      </c>
      <c r="J654" s="2">
        <f t="shared" si="1378"/>
        <v>0</v>
      </c>
      <c r="K654" s="86">
        <f t="shared" si="1379"/>
        <v>0</v>
      </c>
      <c r="L654" s="2">
        <f t="shared" si="1379"/>
        <v>0</v>
      </c>
      <c r="M654" s="2">
        <f t="shared" si="1380"/>
        <v>0</v>
      </c>
      <c r="N654" s="2">
        <f t="shared" si="1380"/>
        <v>0</v>
      </c>
      <c r="O654" s="2">
        <f t="shared" si="1380"/>
        <v>0</v>
      </c>
      <c r="P654" s="86">
        <f t="shared" si="1381"/>
        <v>0</v>
      </c>
      <c r="Q654" s="2">
        <f t="shared" si="1381"/>
        <v>0</v>
      </c>
      <c r="R654" s="2">
        <f t="shared" si="1382"/>
        <v>0</v>
      </c>
      <c r="S654" s="2">
        <f t="shared" si="1382"/>
        <v>0</v>
      </c>
      <c r="T654" s="2">
        <f t="shared" si="1382"/>
        <v>0</v>
      </c>
      <c r="U654" s="86">
        <f t="shared" si="1383"/>
        <v>0</v>
      </c>
      <c r="V654" s="2">
        <f t="shared" si="1383"/>
        <v>0</v>
      </c>
      <c r="W654" s="2">
        <f t="shared" si="1384"/>
        <v>0</v>
      </c>
      <c r="X654" s="2">
        <f t="shared" si="1384"/>
        <v>0</v>
      </c>
      <c r="Y654" s="2">
        <f t="shared" si="1384"/>
        <v>0</v>
      </c>
      <c r="Z654" s="86">
        <f t="shared" si="1385"/>
        <v>0</v>
      </c>
      <c r="AA654" s="2">
        <f t="shared" si="1385"/>
        <v>0</v>
      </c>
      <c r="AB654" s="2">
        <f t="shared" si="1386"/>
        <v>0</v>
      </c>
      <c r="AC654" s="2">
        <f t="shared" si="1386"/>
        <v>0</v>
      </c>
      <c r="AD654" s="2">
        <f t="shared" si="1386"/>
        <v>0</v>
      </c>
      <c r="AE654" s="86">
        <f t="shared" si="1387"/>
        <v>0</v>
      </c>
      <c r="AF654" s="2">
        <f t="shared" si="1387"/>
        <v>0</v>
      </c>
      <c r="AG654" s="2">
        <f t="shared" si="1388"/>
        <v>0</v>
      </c>
      <c r="AH654" s="2">
        <f t="shared" si="1388"/>
        <v>0</v>
      </c>
      <c r="AI654" s="2">
        <f t="shared" si="1388"/>
        <v>0</v>
      </c>
      <c r="AJ654" s="86">
        <f t="shared" si="1389"/>
        <v>0</v>
      </c>
      <c r="AK654" s="2">
        <f t="shared" si="1389"/>
        <v>-26.594000000000001</v>
      </c>
      <c r="AL654" s="2">
        <f t="shared" si="1390"/>
        <v>-3.3859999999999992</v>
      </c>
      <c r="AM654" s="2">
        <f t="shared" si="1390"/>
        <v>-6.7940000000000005</v>
      </c>
      <c r="AN654" s="2">
        <f t="shared" si="1390"/>
        <v>46.469000000000001</v>
      </c>
      <c r="AO654" s="86">
        <f t="shared" si="1391"/>
        <v>9.6950000000000003</v>
      </c>
      <c r="AP654" s="2">
        <f t="shared" si="1391"/>
        <v>-26.753</v>
      </c>
      <c r="AQ654" s="2">
        <f t="shared" si="1392"/>
        <v>1.0219999999999985</v>
      </c>
      <c r="AR654" s="2">
        <f t="shared" si="1392"/>
        <v>-6.7569999999999979</v>
      </c>
      <c r="AS654" s="2">
        <f t="shared" si="1392"/>
        <v>29.164000000000001</v>
      </c>
      <c r="AT654" s="86">
        <f t="shared" si="1393"/>
        <v>-3.3239999999999998</v>
      </c>
      <c r="AU654" s="2">
        <f t="shared" si="1393"/>
        <v>-18.48</v>
      </c>
      <c r="AV654" s="2">
        <f t="shared" si="1394"/>
        <v>2.918000000000001</v>
      </c>
      <c r="AW654" s="2">
        <f t="shared" si="1394"/>
        <v>-7.5810000000000013</v>
      </c>
      <c r="AX654" s="2">
        <f t="shared" si="1394"/>
        <v>49.67</v>
      </c>
      <c r="AY654" s="86">
        <f t="shared" si="1395"/>
        <v>26.527000000000001</v>
      </c>
      <c r="AZ654" s="2">
        <f t="shared" si="1395"/>
        <v>-25.673999999999999</v>
      </c>
      <c r="BA654" s="2">
        <f t="shared" si="1396"/>
        <v>-3.213000000000001</v>
      </c>
      <c r="BB654" s="2">
        <f t="shared" si="1396"/>
        <v>-7.5609999999999999</v>
      </c>
      <c r="BC654" s="2">
        <f t="shared" si="1396"/>
        <v>45.082000000000001</v>
      </c>
      <c r="BD654" s="86">
        <f t="shared" si="1397"/>
        <v>8.6340000000000003</v>
      </c>
      <c r="BE654" s="2">
        <f t="shared" si="1397"/>
        <v>-27.902000000000001</v>
      </c>
      <c r="BF654" s="2">
        <f t="shared" si="1398"/>
        <v>-4.4260000000000019</v>
      </c>
      <c r="BG654" s="2">
        <f t="shared" si="1398"/>
        <v>-7.279999999999994</v>
      </c>
      <c r="BH654" s="2">
        <f t="shared" si="1398"/>
        <v>42.711999999999996</v>
      </c>
      <c r="BI654" s="90">
        <f t="shared" si="1399"/>
        <v>3.1040000000000001</v>
      </c>
      <c r="BJ654" s="2">
        <f t="shared" ref="BJ654:BM654" si="1411">BJ766-BI766</f>
        <v>-25.081088331371404</v>
      </c>
      <c r="BK654" s="2">
        <f t="shared" si="1411"/>
        <v>-3.1627739152158654</v>
      </c>
      <c r="BL654" s="2">
        <f t="shared" si="1411"/>
        <v>-7.0354307655126149</v>
      </c>
      <c r="BM654" s="2">
        <f t="shared" si="1411"/>
        <v>49.49151145305234</v>
      </c>
      <c r="BN654" s="86">
        <f t="shared" si="1401"/>
        <v>14.212218440952455</v>
      </c>
      <c r="BO654" s="2">
        <f t="shared" ref="BO654:BR654" si="1412">BO766-BN766</f>
        <v>-26.514764016437141</v>
      </c>
      <c r="BP654" s="2">
        <f t="shared" si="1412"/>
        <v>-4.3723690584831161</v>
      </c>
      <c r="BQ654" s="2">
        <f t="shared" si="1412"/>
        <v>-8.3450300312422598</v>
      </c>
      <c r="BR654" s="2">
        <f t="shared" si="1412"/>
        <v>51.191380189124118</v>
      </c>
      <c r="BS654" s="86">
        <f t="shared" si="1403"/>
        <v>11.959217082961601</v>
      </c>
      <c r="BT654" s="86">
        <f t="shared" ref="BT654:BV654" si="1413">BT766-BS766</f>
        <v>0</v>
      </c>
      <c r="BU654" s="86">
        <f t="shared" si="1413"/>
        <v>0</v>
      </c>
      <c r="BV654" s="86">
        <f t="shared" si="1413"/>
        <v>0</v>
      </c>
      <c r="BW654" s="4"/>
    </row>
    <row r="655" spans="1:75" ht="15.75" customHeight="1" x14ac:dyDescent="0.2">
      <c r="A655" s="85" t="str">
        <f t="shared" si="1338"/>
        <v>Other accrued expenses</v>
      </c>
      <c r="B655" s="85"/>
      <c r="C655" s="86">
        <f t="shared" si="1377"/>
        <v>29.587</v>
      </c>
      <c r="D655" s="86">
        <f t="shared" si="1377"/>
        <v>17.984000000000002</v>
      </c>
      <c r="E655" s="86">
        <f t="shared" si="1377"/>
        <v>20.117000000000001</v>
      </c>
      <c r="F655" s="86">
        <f t="shared" si="1377"/>
        <v>30.324999999999999</v>
      </c>
      <c r="G655" s="2">
        <f t="shared" si="1377"/>
        <v>-19.946999999999999</v>
      </c>
      <c r="H655" s="2">
        <f t="shared" si="1378"/>
        <v>-7.400000000000162E-2</v>
      </c>
      <c r="I655" s="2">
        <f t="shared" si="1378"/>
        <v>5.0210000000000008</v>
      </c>
      <c r="J655" s="2">
        <f t="shared" si="1378"/>
        <v>38.557000000000002</v>
      </c>
      <c r="K655" s="86">
        <f t="shared" si="1379"/>
        <v>23.556999999999999</v>
      </c>
      <c r="L655" s="2">
        <f t="shared" si="1379"/>
        <v>-13.022</v>
      </c>
      <c r="M655" s="2">
        <f t="shared" si="1380"/>
        <v>-2.8379999999999992</v>
      </c>
      <c r="N655" s="2">
        <f t="shared" si="1380"/>
        <v>0.50199999999999889</v>
      </c>
      <c r="O655" s="2">
        <f t="shared" si="1380"/>
        <v>55.206000000000003</v>
      </c>
      <c r="P655" s="86">
        <f t="shared" si="1381"/>
        <v>39.847999999999999</v>
      </c>
      <c r="Q655" s="2">
        <f t="shared" si="1381"/>
        <v>-20</v>
      </c>
      <c r="R655" s="2">
        <f t="shared" si="1382"/>
        <v>2.7360000000000007</v>
      </c>
      <c r="S655" s="2">
        <f t="shared" si="1382"/>
        <v>-2.1690000000000005</v>
      </c>
      <c r="T655" s="2">
        <f t="shared" si="1382"/>
        <v>56.619</v>
      </c>
      <c r="U655" s="86">
        <f t="shared" si="1383"/>
        <v>37.186</v>
      </c>
      <c r="V655" s="2">
        <f t="shared" si="1383"/>
        <v>-32.741999999999997</v>
      </c>
      <c r="W655" s="2">
        <f t="shared" si="1384"/>
        <v>-0.84400000000000119</v>
      </c>
      <c r="X655" s="2">
        <f t="shared" si="1384"/>
        <v>1.0659999999999954</v>
      </c>
      <c r="Y655" s="2">
        <f t="shared" si="1384"/>
        <v>68.515000000000001</v>
      </c>
      <c r="Z655" s="86">
        <f t="shared" si="1385"/>
        <v>35.994999999999997</v>
      </c>
      <c r="AA655" s="2">
        <f t="shared" si="1385"/>
        <v>-47.35</v>
      </c>
      <c r="AB655" s="2">
        <f t="shared" si="1386"/>
        <v>7.402000000000001</v>
      </c>
      <c r="AC655" s="2">
        <f t="shared" si="1386"/>
        <v>-5.0409999999999968</v>
      </c>
      <c r="AD655" s="2">
        <f t="shared" si="1386"/>
        <v>74.427999999999997</v>
      </c>
      <c r="AE655" s="86">
        <f t="shared" si="1387"/>
        <v>29.439</v>
      </c>
      <c r="AF655" s="2">
        <f t="shared" si="1387"/>
        <v>-43.381999999999998</v>
      </c>
      <c r="AG655" s="2">
        <f t="shared" si="1388"/>
        <v>8.2809999999999988</v>
      </c>
      <c r="AH655" s="2">
        <f t="shared" si="1388"/>
        <v>-11.828000000000003</v>
      </c>
      <c r="AI655" s="2">
        <f t="shared" si="1388"/>
        <v>65.245000000000005</v>
      </c>
      <c r="AJ655" s="86">
        <f t="shared" si="1389"/>
        <v>18.315999999999999</v>
      </c>
      <c r="AK655" s="2">
        <f t="shared" si="1389"/>
        <v>-9.7870000000000008</v>
      </c>
      <c r="AL655" s="2">
        <f t="shared" si="1390"/>
        <v>4.0990000000000011</v>
      </c>
      <c r="AM655" s="2">
        <f t="shared" si="1390"/>
        <v>-0.20999999999999996</v>
      </c>
      <c r="AN655" s="2">
        <f t="shared" si="1390"/>
        <v>21.475999999999999</v>
      </c>
      <c r="AO655" s="86">
        <f t="shared" si="1391"/>
        <v>15.578000000000001</v>
      </c>
      <c r="AP655" s="2">
        <f t="shared" si="1391"/>
        <v>-85.745000000000005</v>
      </c>
      <c r="AQ655" s="2">
        <f t="shared" si="1392"/>
        <v>30.268000000000008</v>
      </c>
      <c r="AR655" s="2">
        <f t="shared" si="1392"/>
        <v>7.1599999999999966</v>
      </c>
      <c r="AS655" s="2">
        <f t="shared" si="1392"/>
        <v>40.008000000000003</v>
      </c>
      <c r="AT655" s="86">
        <f t="shared" si="1393"/>
        <v>-8.3089999999999993</v>
      </c>
      <c r="AU655" s="2">
        <f t="shared" si="1393"/>
        <v>-6.1589999999999998</v>
      </c>
      <c r="AV655" s="2">
        <f t="shared" si="1394"/>
        <v>56.555999999999997</v>
      </c>
      <c r="AW655" s="2">
        <f t="shared" si="1394"/>
        <v>-48.879999999999995</v>
      </c>
      <c r="AX655" s="2">
        <f t="shared" si="1394"/>
        <v>48.585999999999999</v>
      </c>
      <c r="AY655" s="86">
        <f t="shared" si="1395"/>
        <v>50.103000000000002</v>
      </c>
      <c r="AZ655" s="2">
        <f t="shared" si="1395"/>
        <v>-40.756</v>
      </c>
      <c r="BA655" s="2">
        <f t="shared" si="1396"/>
        <v>24.189</v>
      </c>
      <c r="BB655" s="2">
        <f t="shared" si="1396"/>
        <v>-14.337</v>
      </c>
      <c r="BC655" s="2">
        <f t="shared" si="1396"/>
        <v>20.965</v>
      </c>
      <c r="BD655" s="86">
        <f t="shared" si="1397"/>
        <v>-9.9390000000000001</v>
      </c>
      <c r="BE655" s="2">
        <f t="shared" si="1397"/>
        <v>10.282999999999999</v>
      </c>
      <c r="BF655" s="2">
        <f t="shared" si="1398"/>
        <v>-9.6589999999999989</v>
      </c>
      <c r="BG655" s="2">
        <f t="shared" si="1398"/>
        <v>28.235000000000003</v>
      </c>
      <c r="BH655" s="2">
        <f t="shared" si="1398"/>
        <v>8.5649999999999977</v>
      </c>
      <c r="BI655" s="90">
        <f t="shared" si="1399"/>
        <v>37.423999999999999</v>
      </c>
      <c r="BJ655" s="2">
        <f t="shared" ref="BJ655:BM655" si="1414">BJ768-BI768</f>
        <v>4.921351426641337</v>
      </c>
      <c r="BK655" s="2">
        <f t="shared" si="1414"/>
        <v>-15.23334706320216</v>
      </c>
      <c r="BL655" s="2">
        <f t="shared" si="1414"/>
        <v>20.974423983790018</v>
      </c>
      <c r="BM655" s="2">
        <f t="shared" si="1414"/>
        <v>4.6198745398707217</v>
      </c>
      <c r="BN655" s="86">
        <f t="shared" si="1401"/>
        <v>15.282302887099917</v>
      </c>
      <c r="BO655" s="2">
        <f t="shared" ref="BO655:BR655" si="1415">BO768-BN768</f>
        <v>5.4396339563694198</v>
      </c>
      <c r="BP655" s="2">
        <f t="shared" si="1415"/>
        <v>-17.401884775773993</v>
      </c>
      <c r="BQ655" s="2">
        <f t="shared" si="1415"/>
        <v>21.0313758163052</v>
      </c>
      <c r="BR655" s="2">
        <f t="shared" si="1415"/>
        <v>3.7905406853944328</v>
      </c>
      <c r="BS655" s="86">
        <f t="shared" si="1403"/>
        <v>12.859665682295059</v>
      </c>
      <c r="BT655" s="86">
        <f t="shared" ref="BT655:BV655" si="1416">BT768-BS768</f>
        <v>20.473276684869518</v>
      </c>
      <c r="BU655" s="86">
        <f t="shared" si="1416"/>
        <v>22.662973949339573</v>
      </c>
      <c r="BV655" s="86">
        <f t="shared" si="1416"/>
        <v>28.884208382259828</v>
      </c>
      <c r="BW655" s="4"/>
    </row>
    <row r="656" spans="1:75" ht="15.75" customHeight="1" x14ac:dyDescent="0.2">
      <c r="A656" s="85" t="str">
        <f t="shared" si="1338"/>
        <v>Lease terminations</v>
      </c>
      <c r="B656" s="85"/>
      <c r="C656" s="86">
        <f t="shared" si="1377"/>
        <v>-7.4210000000000003</v>
      </c>
      <c r="D656" s="86">
        <f t="shared" si="1377"/>
        <v>-7.3760000000000003</v>
      </c>
      <c r="E656" s="86">
        <f t="shared" si="1377"/>
        <v>0</v>
      </c>
      <c r="F656" s="86">
        <f t="shared" si="1377"/>
        <v>0</v>
      </c>
      <c r="G656" s="2">
        <f t="shared" si="1377"/>
        <v>0</v>
      </c>
      <c r="H656" s="2">
        <f t="shared" si="1378"/>
        <v>0</v>
      </c>
      <c r="I656" s="2">
        <f t="shared" si="1378"/>
        <v>0</v>
      </c>
      <c r="J656" s="2">
        <f t="shared" si="1378"/>
        <v>0</v>
      </c>
      <c r="K656" s="86">
        <f t="shared" si="1379"/>
        <v>0</v>
      </c>
      <c r="L656" s="2">
        <f t="shared" si="1379"/>
        <v>0</v>
      </c>
      <c r="M656" s="2">
        <f t="shared" si="1380"/>
        <v>0</v>
      </c>
      <c r="N656" s="2">
        <f t="shared" si="1380"/>
        <v>0</v>
      </c>
      <c r="O656" s="2">
        <f t="shared" si="1380"/>
        <v>0</v>
      </c>
      <c r="P656" s="86">
        <f t="shared" si="1381"/>
        <v>0</v>
      </c>
      <c r="Q656" s="2">
        <f t="shared" si="1381"/>
        <v>0</v>
      </c>
      <c r="R656" s="2">
        <f t="shared" si="1382"/>
        <v>0</v>
      </c>
      <c r="S656" s="2">
        <f t="shared" si="1382"/>
        <v>0</v>
      </c>
      <c r="T656" s="2">
        <f t="shared" si="1382"/>
        <v>0</v>
      </c>
      <c r="U656" s="86">
        <f t="shared" si="1383"/>
        <v>0</v>
      </c>
      <c r="V656" s="2">
        <f t="shared" si="1383"/>
        <v>0</v>
      </c>
      <c r="W656" s="2">
        <f t="shared" si="1384"/>
        <v>0</v>
      </c>
      <c r="X656" s="2">
        <f t="shared" si="1384"/>
        <v>0</v>
      </c>
      <c r="Y656" s="2">
        <f t="shared" si="1384"/>
        <v>0</v>
      </c>
      <c r="Z656" s="86">
        <f t="shared" si="1385"/>
        <v>0</v>
      </c>
      <c r="AA656" s="2">
        <f t="shared" si="1385"/>
        <v>0</v>
      </c>
      <c r="AB656" s="2">
        <f t="shared" si="1386"/>
        <v>0</v>
      </c>
      <c r="AC656" s="2">
        <f t="shared" si="1386"/>
        <v>0</v>
      </c>
      <c r="AD656" s="2">
        <f t="shared" si="1386"/>
        <v>0</v>
      </c>
      <c r="AE656" s="86">
        <f t="shared" si="1387"/>
        <v>0</v>
      </c>
      <c r="AF656" s="2">
        <f t="shared" si="1387"/>
        <v>0</v>
      </c>
      <c r="AG656" s="2">
        <f t="shared" si="1388"/>
        <v>0</v>
      </c>
      <c r="AH656" s="2">
        <f t="shared" si="1388"/>
        <v>0</v>
      </c>
      <c r="AI656" s="2">
        <f t="shared" si="1388"/>
        <v>0</v>
      </c>
      <c r="AJ656" s="86">
        <f t="shared" si="1389"/>
        <v>0</v>
      </c>
      <c r="AK656" s="2">
        <f t="shared" si="1389"/>
        <v>0</v>
      </c>
      <c r="AL656" s="2">
        <f t="shared" si="1390"/>
        <v>0</v>
      </c>
      <c r="AM656" s="2">
        <f t="shared" si="1390"/>
        <v>0</v>
      </c>
      <c r="AN656" s="2">
        <f t="shared" si="1390"/>
        <v>0</v>
      </c>
      <c r="AO656" s="86">
        <f t="shared" si="1391"/>
        <v>0</v>
      </c>
      <c r="AP656" s="2">
        <f t="shared" si="1391"/>
        <v>0</v>
      </c>
      <c r="AQ656" s="2">
        <f t="shared" si="1392"/>
        <v>0</v>
      </c>
      <c r="AR656" s="2">
        <f t="shared" si="1392"/>
        <v>0</v>
      </c>
      <c r="AS656" s="2">
        <f t="shared" si="1392"/>
        <v>0</v>
      </c>
      <c r="AT656" s="86">
        <f t="shared" si="1393"/>
        <v>0</v>
      </c>
      <c r="AU656" s="2">
        <f t="shared" si="1393"/>
        <v>0</v>
      </c>
      <c r="AV656" s="2">
        <f t="shared" si="1394"/>
        <v>0</v>
      </c>
      <c r="AW656" s="2">
        <f t="shared" si="1394"/>
        <v>0</v>
      </c>
      <c r="AX656" s="2">
        <f t="shared" si="1394"/>
        <v>0</v>
      </c>
      <c r="AY656" s="86">
        <f t="shared" si="1395"/>
        <v>0</v>
      </c>
      <c r="AZ656" s="2">
        <f t="shared" si="1395"/>
        <v>0</v>
      </c>
      <c r="BA656" s="2">
        <f t="shared" si="1396"/>
        <v>0</v>
      </c>
      <c r="BB656" s="2">
        <f t="shared" si="1396"/>
        <v>0</v>
      </c>
      <c r="BC656" s="2">
        <f t="shared" si="1396"/>
        <v>0</v>
      </c>
      <c r="BD656" s="86">
        <f t="shared" si="1397"/>
        <v>0</v>
      </c>
      <c r="BE656" s="2">
        <f t="shared" si="1397"/>
        <v>0</v>
      </c>
      <c r="BF656" s="2">
        <f t="shared" si="1398"/>
        <v>0</v>
      </c>
      <c r="BG656" s="2">
        <f t="shared" si="1398"/>
        <v>0</v>
      </c>
      <c r="BH656" s="2">
        <f t="shared" si="1398"/>
        <v>0</v>
      </c>
      <c r="BI656" s="90">
        <f t="shared" si="1399"/>
        <v>0</v>
      </c>
      <c r="BJ656" s="2"/>
      <c r="BK656" s="2"/>
      <c r="BL656" s="2"/>
      <c r="BM656" s="2"/>
      <c r="BN656" s="86">
        <f t="shared" si="1401"/>
        <v>0</v>
      </c>
      <c r="BO656" s="2"/>
      <c r="BP656" s="2"/>
      <c r="BQ656" s="2"/>
      <c r="BR656" s="2"/>
      <c r="BS656" s="86">
        <f t="shared" si="1403"/>
        <v>0</v>
      </c>
      <c r="BT656" s="86"/>
      <c r="BU656" s="86"/>
      <c r="BV656" s="86"/>
      <c r="BW656" s="4"/>
    </row>
    <row r="657" spans="1:75" ht="15.75" customHeight="1" x14ac:dyDescent="0.2">
      <c r="A657" s="92" t="str">
        <f t="shared" si="1338"/>
        <v>Realized loss on derivative financial instruments</v>
      </c>
      <c r="B657" s="92"/>
      <c r="C657" s="93">
        <f t="shared" si="1377"/>
        <v>7.4210000000000003</v>
      </c>
      <c r="D657" s="93">
        <f t="shared" si="1377"/>
        <v>7.3760000000000003</v>
      </c>
      <c r="E657" s="93">
        <f t="shared" si="1377"/>
        <v>0</v>
      </c>
      <c r="F657" s="93">
        <f t="shared" si="1377"/>
        <v>0</v>
      </c>
      <c r="G657" s="94">
        <f t="shared" si="1377"/>
        <v>0</v>
      </c>
      <c r="H657" s="94">
        <f t="shared" si="1378"/>
        <v>0</v>
      </c>
      <c r="I657" s="94">
        <f t="shared" si="1378"/>
        <v>0</v>
      </c>
      <c r="J657" s="94">
        <f t="shared" si="1378"/>
        <v>0</v>
      </c>
      <c r="K657" s="93">
        <f t="shared" si="1379"/>
        <v>0</v>
      </c>
      <c r="L657" s="94">
        <f t="shared" si="1379"/>
        <v>0</v>
      </c>
      <c r="M657" s="94">
        <f t="shared" si="1380"/>
        <v>0</v>
      </c>
      <c r="N657" s="94">
        <f t="shared" si="1380"/>
        <v>0</v>
      </c>
      <c r="O657" s="94">
        <f t="shared" si="1380"/>
        <v>0</v>
      </c>
      <c r="P657" s="93">
        <f t="shared" si="1381"/>
        <v>0</v>
      </c>
      <c r="Q657" s="94">
        <f t="shared" si="1381"/>
        <v>0</v>
      </c>
      <c r="R657" s="94">
        <f t="shared" si="1382"/>
        <v>0</v>
      </c>
      <c r="S657" s="94">
        <f t="shared" si="1382"/>
        <v>0</v>
      </c>
      <c r="T657" s="94">
        <f t="shared" si="1382"/>
        <v>0</v>
      </c>
      <c r="U657" s="93">
        <f t="shared" si="1383"/>
        <v>0</v>
      </c>
      <c r="V657" s="94">
        <f t="shared" si="1383"/>
        <v>0</v>
      </c>
      <c r="W657" s="94">
        <f t="shared" si="1384"/>
        <v>0</v>
      </c>
      <c r="X657" s="94">
        <f t="shared" si="1384"/>
        <v>0</v>
      </c>
      <c r="Y657" s="94">
        <f t="shared" si="1384"/>
        <v>0</v>
      </c>
      <c r="Z657" s="93">
        <f t="shared" si="1385"/>
        <v>0</v>
      </c>
      <c r="AA657" s="94">
        <f t="shared" si="1385"/>
        <v>0</v>
      </c>
      <c r="AB657" s="94">
        <f t="shared" si="1386"/>
        <v>0</v>
      </c>
      <c r="AC657" s="94">
        <f t="shared" si="1386"/>
        <v>0</v>
      </c>
      <c r="AD657" s="94">
        <f t="shared" si="1386"/>
        <v>0</v>
      </c>
      <c r="AE657" s="93">
        <f t="shared" si="1387"/>
        <v>0</v>
      </c>
      <c r="AF657" s="94">
        <f t="shared" si="1387"/>
        <v>0</v>
      </c>
      <c r="AG657" s="94">
        <f t="shared" si="1388"/>
        <v>0</v>
      </c>
      <c r="AH657" s="94">
        <f t="shared" si="1388"/>
        <v>0</v>
      </c>
      <c r="AI657" s="94">
        <f t="shared" si="1388"/>
        <v>0</v>
      </c>
      <c r="AJ657" s="93">
        <f t="shared" si="1389"/>
        <v>0</v>
      </c>
      <c r="AK657" s="94">
        <f t="shared" si="1389"/>
        <v>0</v>
      </c>
      <c r="AL657" s="94">
        <f t="shared" si="1390"/>
        <v>0</v>
      </c>
      <c r="AM657" s="94">
        <f t="shared" si="1390"/>
        <v>0</v>
      </c>
      <c r="AN657" s="94">
        <f t="shared" si="1390"/>
        <v>0</v>
      </c>
      <c r="AO657" s="93">
        <f t="shared" si="1391"/>
        <v>0</v>
      </c>
      <c r="AP657" s="94">
        <f t="shared" si="1391"/>
        <v>0</v>
      </c>
      <c r="AQ657" s="94">
        <f t="shared" si="1392"/>
        <v>0</v>
      </c>
      <c r="AR657" s="94">
        <f t="shared" si="1392"/>
        <v>0</v>
      </c>
      <c r="AS657" s="94">
        <f t="shared" si="1392"/>
        <v>0</v>
      </c>
      <c r="AT657" s="93">
        <f t="shared" si="1393"/>
        <v>0</v>
      </c>
      <c r="AU657" s="94">
        <f t="shared" si="1393"/>
        <v>0</v>
      </c>
      <c r="AV657" s="94">
        <f t="shared" si="1394"/>
        <v>0</v>
      </c>
      <c r="AW657" s="94">
        <f t="shared" si="1394"/>
        <v>0</v>
      </c>
      <c r="AX657" s="94">
        <f t="shared" si="1394"/>
        <v>0</v>
      </c>
      <c r="AY657" s="93">
        <f t="shared" si="1395"/>
        <v>0</v>
      </c>
      <c r="AZ657" s="94">
        <f t="shared" si="1395"/>
        <v>0</v>
      </c>
      <c r="BA657" s="94">
        <f t="shared" si="1396"/>
        <v>0</v>
      </c>
      <c r="BB657" s="94">
        <f t="shared" si="1396"/>
        <v>0</v>
      </c>
      <c r="BC657" s="94">
        <f t="shared" si="1396"/>
        <v>0</v>
      </c>
      <c r="BD657" s="93">
        <f t="shared" si="1397"/>
        <v>0</v>
      </c>
      <c r="BE657" s="94">
        <f t="shared" si="1397"/>
        <v>0</v>
      </c>
      <c r="BF657" s="94">
        <f t="shared" si="1398"/>
        <v>0</v>
      </c>
      <c r="BG657" s="94">
        <f t="shared" si="1398"/>
        <v>0</v>
      </c>
      <c r="BH657" s="94">
        <f t="shared" si="1398"/>
        <v>0</v>
      </c>
      <c r="BI657" s="97">
        <f t="shared" si="1399"/>
        <v>0</v>
      </c>
      <c r="BJ657" s="94"/>
      <c r="BK657" s="94"/>
      <c r="BL657" s="94"/>
      <c r="BM657" s="94"/>
      <c r="BN657" s="93">
        <f t="shared" si="1401"/>
        <v>0</v>
      </c>
      <c r="BO657" s="94"/>
      <c r="BP657" s="94"/>
      <c r="BQ657" s="94"/>
      <c r="BR657" s="94"/>
      <c r="BS657" s="93">
        <f t="shared" si="1403"/>
        <v>0</v>
      </c>
      <c r="BT657" s="93"/>
      <c r="BU657" s="93"/>
      <c r="BV657" s="93"/>
      <c r="BW657" s="4"/>
    </row>
    <row r="658" spans="1:75" ht="15.75" customHeight="1" x14ac:dyDescent="0.2">
      <c r="A658" s="102" t="str">
        <f t="shared" si="1338"/>
        <v>Net CFO</v>
      </c>
      <c r="B658" s="102"/>
      <c r="C658" s="103">
        <f t="shared" ref="C658:BV658" si="1417">SUM(C644:C657)</f>
        <v>198.84700000000001</v>
      </c>
      <c r="D658" s="103">
        <f t="shared" si="1417"/>
        <v>167.05700000000007</v>
      </c>
      <c r="E658" s="103">
        <f t="shared" si="1417"/>
        <v>196.06399999999996</v>
      </c>
      <c r="F658" s="103">
        <f t="shared" si="1417"/>
        <v>195.37099999999998</v>
      </c>
      <c r="G658" s="106">
        <f t="shared" si="1417"/>
        <v>45.132000000000005</v>
      </c>
      <c r="H658" s="106">
        <f t="shared" si="1417"/>
        <v>43.513999999999996</v>
      </c>
      <c r="I658" s="106">
        <f t="shared" si="1417"/>
        <v>61.670999999999999</v>
      </c>
      <c r="J658" s="106">
        <f t="shared" si="1417"/>
        <v>54.468000000000004</v>
      </c>
      <c r="K658" s="103">
        <f t="shared" si="1417"/>
        <v>204.78500000000003</v>
      </c>
      <c r="L658" s="106">
        <f t="shared" si="1417"/>
        <v>77.115999999999985</v>
      </c>
      <c r="M658" s="106">
        <f t="shared" si="1417"/>
        <v>44.991999999999997</v>
      </c>
      <c r="N658" s="106">
        <f t="shared" si="1417"/>
        <v>38.870000000000005</v>
      </c>
      <c r="O658" s="106">
        <f t="shared" si="1417"/>
        <v>78.670999999999978</v>
      </c>
      <c r="P658" s="103">
        <f t="shared" si="1417"/>
        <v>239.64900000000006</v>
      </c>
      <c r="Q658" s="106">
        <f t="shared" si="1417"/>
        <v>65.347999999999985</v>
      </c>
      <c r="R658" s="106">
        <f t="shared" si="1417"/>
        <v>55.617999999999995</v>
      </c>
      <c r="S658" s="106">
        <f t="shared" si="1417"/>
        <v>40.11999999999999</v>
      </c>
      <c r="T658" s="106">
        <f t="shared" si="1417"/>
        <v>74.337000000000018</v>
      </c>
      <c r="U658" s="103">
        <f t="shared" si="1417"/>
        <v>235.42300000000003</v>
      </c>
      <c r="V658" s="106">
        <f t="shared" si="1417"/>
        <v>76.307999999999993</v>
      </c>
      <c r="W658" s="106">
        <f t="shared" si="1417"/>
        <v>75.478000000000009</v>
      </c>
      <c r="X658" s="106">
        <f t="shared" si="1417"/>
        <v>64.743999999999986</v>
      </c>
      <c r="Y658" s="106">
        <f t="shared" si="1417"/>
        <v>85.99</v>
      </c>
      <c r="Z658" s="103">
        <f t="shared" si="1417"/>
        <v>302.52000000000004</v>
      </c>
      <c r="AA658" s="106">
        <f t="shared" si="1417"/>
        <v>48.103999999999992</v>
      </c>
      <c r="AB658" s="106">
        <f t="shared" si="1417"/>
        <v>65.835000000000008</v>
      </c>
      <c r="AC658" s="106">
        <f t="shared" si="1417"/>
        <v>40.271000000000001</v>
      </c>
      <c r="AD658" s="106">
        <f t="shared" si="1417"/>
        <v>84.585999999999984</v>
      </c>
      <c r="AE658" s="103">
        <f t="shared" si="1417"/>
        <v>238.79599999999996</v>
      </c>
      <c r="AF658" s="106">
        <f t="shared" si="1417"/>
        <v>74.942999999999984</v>
      </c>
      <c r="AG658" s="106">
        <f t="shared" si="1417"/>
        <v>65.60499999999999</v>
      </c>
      <c r="AH658" s="106">
        <f t="shared" si="1417"/>
        <v>41.558</v>
      </c>
      <c r="AI658" s="106">
        <f t="shared" si="1417"/>
        <v>109.20899999999999</v>
      </c>
      <c r="AJ658" s="103">
        <f t="shared" si="1417"/>
        <v>291.31499999999994</v>
      </c>
      <c r="AK658" s="106">
        <f t="shared" si="1417"/>
        <v>33.51600000000002</v>
      </c>
      <c r="AL658" s="106">
        <f t="shared" si="1417"/>
        <v>50.253</v>
      </c>
      <c r="AM658" s="106">
        <f t="shared" si="1417"/>
        <v>32.438000000000009</v>
      </c>
      <c r="AN658" s="106">
        <f t="shared" si="1417"/>
        <v>102.554</v>
      </c>
      <c r="AO658" s="103">
        <f t="shared" si="1417"/>
        <v>218.76099999999997</v>
      </c>
      <c r="AP658" s="106">
        <f t="shared" si="1417"/>
        <v>-32.980000000000018</v>
      </c>
      <c r="AQ658" s="106">
        <f t="shared" si="1417"/>
        <v>-2.7039999999999651</v>
      </c>
      <c r="AR658" s="106">
        <f t="shared" si="1417"/>
        <v>2.9479999999999773</v>
      </c>
      <c r="AS658" s="106">
        <f t="shared" si="1417"/>
        <v>35.64400000000002</v>
      </c>
      <c r="AT658" s="103">
        <f t="shared" si="1417"/>
        <v>2.9080000000000226</v>
      </c>
      <c r="AU658" s="106">
        <f t="shared" si="1417"/>
        <v>21.641999999999999</v>
      </c>
      <c r="AV658" s="106">
        <f t="shared" si="1417"/>
        <v>108.79599999999999</v>
      </c>
      <c r="AW658" s="106">
        <f t="shared" si="1417"/>
        <v>-11.277999999999977</v>
      </c>
      <c r="AX658" s="106">
        <f t="shared" si="1417"/>
        <v>93.846000000000004</v>
      </c>
      <c r="AY658" s="103">
        <f t="shared" si="1417"/>
        <v>213.00600000000003</v>
      </c>
      <c r="AZ658" s="106">
        <f t="shared" si="1417"/>
        <v>33.512</v>
      </c>
      <c r="BA658" s="106">
        <f t="shared" si="1417"/>
        <v>54.004999999999995</v>
      </c>
      <c r="BB658" s="106">
        <f t="shared" si="1417"/>
        <v>11.379999999999999</v>
      </c>
      <c r="BC658" s="106">
        <f t="shared" si="1417"/>
        <v>63.028999999999996</v>
      </c>
      <c r="BD658" s="103">
        <f t="shared" si="1417"/>
        <v>161.92600000000002</v>
      </c>
      <c r="BE658" s="106">
        <f t="shared" si="1417"/>
        <v>65.034999999999982</v>
      </c>
      <c r="BF658" s="106">
        <f t="shared" si="1417"/>
        <v>36.481000000000016</v>
      </c>
      <c r="BG658" s="106">
        <f t="shared" si="1417"/>
        <v>49.030000000000015</v>
      </c>
      <c r="BH658" s="106">
        <f t="shared" si="1417"/>
        <v>67.85499999999999</v>
      </c>
      <c r="BI658" s="115">
        <f t="shared" si="1417"/>
        <v>218.40100000000001</v>
      </c>
      <c r="BJ658" s="106">
        <f t="shared" si="1417"/>
        <v>65.976569401224751</v>
      </c>
      <c r="BK658" s="106">
        <f t="shared" ca="1" si="1417"/>
        <v>73.789999138042987</v>
      </c>
      <c r="BL658" s="106">
        <f t="shared" ca="1" si="1417"/>
        <v>51.878970443589814</v>
      </c>
      <c r="BM658" s="106">
        <f t="shared" ca="1" si="1417"/>
        <v>106.30656580997922</v>
      </c>
      <c r="BN658" s="103">
        <f t="shared" ca="1" si="1417"/>
        <v>297.95210479283674</v>
      </c>
      <c r="BO658" s="106">
        <f t="shared" ca="1" si="1417"/>
        <v>69.349634211368198</v>
      </c>
      <c r="BP658" s="106">
        <f t="shared" ca="1" si="1417"/>
        <v>75.155179232782189</v>
      </c>
      <c r="BQ658" s="106">
        <f t="shared" ca="1" si="1417"/>
        <v>55.971490324525043</v>
      </c>
      <c r="BR658" s="106">
        <f t="shared" ca="1" si="1417"/>
        <v>113.43496909808718</v>
      </c>
      <c r="BS658" s="103">
        <f t="shared" ca="1" si="1417"/>
        <v>313.9112728667626</v>
      </c>
      <c r="BT658" s="103">
        <f t="shared" ca="1" si="1417"/>
        <v>326.40096598449685</v>
      </c>
      <c r="BU658" s="103">
        <f t="shared" ca="1" si="1417"/>
        <v>348.84802679112107</v>
      </c>
      <c r="BV658" s="103">
        <f t="shared" ca="1" si="1417"/>
        <v>378.97558395499408</v>
      </c>
      <c r="BW658" s="83"/>
    </row>
    <row r="659" spans="1:75" ht="15.75" customHeight="1" x14ac:dyDescent="0.2">
      <c r="A659" s="108"/>
      <c r="B659" s="108"/>
      <c r="C659" s="109"/>
      <c r="D659" s="109"/>
      <c r="E659" s="109"/>
      <c r="F659" s="109"/>
      <c r="G659" s="110"/>
      <c r="H659" s="110"/>
      <c r="I659" s="110"/>
      <c r="J659" s="110"/>
      <c r="K659" s="109"/>
      <c r="L659" s="110"/>
      <c r="M659" s="110"/>
      <c r="N659" s="110"/>
      <c r="O659" s="110"/>
      <c r="P659" s="109"/>
      <c r="Q659" s="110"/>
      <c r="R659" s="110"/>
      <c r="S659" s="110"/>
      <c r="T659" s="110"/>
      <c r="U659" s="109"/>
      <c r="V659" s="110"/>
      <c r="W659" s="110"/>
      <c r="X659" s="110"/>
      <c r="Y659" s="110"/>
      <c r="Z659" s="109"/>
      <c r="AA659" s="110"/>
      <c r="AB659" s="110"/>
      <c r="AC659" s="110"/>
      <c r="AD659" s="110"/>
      <c r="AE659" s="109"/>
      <c r="AF659" s="110"/>
      <c r="AG659" s="110"/>
      <c r="AH659" s="110"/>
      <c r="AI659" s="110"/>
      <c r="AJ659" s="109"/>
      <c r="AK659" s="110"/>
      <c r="AL659" s="110"/>
      <c r="AM659" s="110"/>
      <c r="AN659" s="110"/>
      <c r="AO659" s="109"/>
      <c r="AP659" s="110"/>
      <c r="AQ659" s="110"/>
      <c r="AR659" s="110"/>
      <c r="AS659" s="110"/>
      <c r="AT659" s="109"/>
      <c r="AU659" s="110"/>
      <c r="AV659" s="110"/>
      <c r="AW659" s="110"/>
      <c r="AX659" s="110"/>
      <c r="AY659" s="109"/>
      <c r="AZ659" s="110"/>
      <c r="BA659" s="110"/>
      <c r="BB659" s="110"/>
      <c r="BC659" s="110"/>
      <c r="BD659" s="109"/>
      <c r="BE659" s="110"/>
      <c r="BF659" s="110"/>
      <c r="BG659" s="110"/>
      <c r="BH659" s="110"/>
      <c r="BI659" s="107"/>
      <c r="BJ659" s="110"/>
      <c r="BK659" s="110"/>
      <c r="BL659" s="110"/>
      <c r="BM659" s="110"/>
      <c r="BN659" s="109"/>
      <c r="BO659" s="110"/>
      <c r="BP659" s="110"/>
      <c r="BQ659" s="110"/>
      <c r="BR659" s="110"/>
      <c r="BS659" s="109"/>
      <c r="BT659" s="109"/>
      <c r="BU659" s="109"/>
      <c r="BV659" s="109"/>
      <c r="BW659" s="83"/>
    </row>
    <row r="660" spans="1:75" ht="15.75" customHeight="1" x14ac:dyDescent="0.2">
      <c r="A660" s="108" t="str">
        <f t="shared" ref="A660:A670" si="1418">A589</f>
        <v>CFI</v>
      </c>
      <c r="B660" s="108"/>
      <c r="C660" s="109"/>
      <c r="D660" s="109"/>
      <c r="E660" s="109"/>
      <c r="F660" s="109"/>
      <c r="G660" s="110"/>
      <c r="H660" s="110"/>
      <c r="I660" s="110"/>
      <c r="J660" s="110"/>
      <c r="K660" s="109"/>
      <c r="L660" s="110"/>
      <c r="M660" s="110"/>
      <c r="N660" s="110"/>
      <c r="O660" s="110"/>
      <c r="P660" s="109"/>
      <c r="Q660" s="110"/>
      <c r="R660" s="110"/>
      <c r="S660" s="110"/>
      <c r="T660" s="110"/>
      <c r="U660" s="109"/>
      <c r="V660" s="110"/>
      <c r="W660" s="110"/>
      <c r="X660" s="110"/>
      <c r="Y660" s="110"/>
      <c r="Z660" s="109"/>
      <c r="AA660" s="110"/>
      <c r="AB660" s="110"/>
      <c r="AC660" s="110"/>
      <c r="AD660" s="110"/>
      <c r="AE660" s="109"/>
      <c r="AF660" s="110"/>
      <c r="AG660" s="110"/>
      <c r="AH660" s="110"/>
      <c r="AI660" s="110"/>
      <c r="AJ660" s="109"/>
      <c r="AK660" s="110"/>
      <c r="AL660" s="110"/>
      <c r="AM660" s="110"/>
      <c r="AN660" s="110"/>
      <c r="AO660" s="109"/>
      <c r="AP660" s="110"/>
      <c r="AQ660" s="110"/>
      <c r="AR660" s="110"/>
      <c r="AS660" s="110"/>
      <c r="AT660" s="109"/>
      <c r="AU660" s="110"/>
      <c r="AV660" s="110"/>
      <c r="AW660" s="110"/>
      <c r="AX660" s="110"/>
      <c r="AY660" s="109"/>
      <c r="AZ660" s="110"/>
      <c r="BA660" s="110"/>
      <c r="BB660" s="110"/>
      <c r="BC660" s="110"/>
      <c r="BD660" s="109"/>
      <c r="BE660" s="110"/>
      <c r="BF660" s="110"/>
      <c r="BG660" s="110"/>
      <c r="BH660" s="110"/>
      <c r="BI660" s="107"/>
      <c r="BJ660" s="110"/>
      <c r="BK660" s="110"/>
      <c r="BL660" s="110"/>
      <c r="BM660" s="110"/>
      <c r="BN660" s="109"/>
      <c r="BO660" s="110"/>
      <c r="BP660" s="110"/>
      <c r="BQ660" s="110"/>
      <c r="BR660" s="110"/>
      <c r="BS660" s="109"/>
      <c r="BT660" s="109"/>
      <c r="BU660" s="109"/>
      <c r="BV660" s="109"/>
      <c r="BW660" s="83"/>
    </row>
    <row r="661" spans="1:75" ht="15.75" customHeight="1" x14ac:dyDescent="0.2">
      <c r="A661" s="85" t="str">
        <f t="shared" si="1418"/>
        <v>Additions to property and equipment</v>
      </c>
      <c r="B661" s="2"/>
      <c r="C661" s="86">
        <f t="shared" ref="C661:G669" si="1419">C590</f>
        <v>-37.243000000000002</v>
      </c>
      <c r="D661" s="86">
        <f t="shared" si="1419"/>
        <v>-41.847000000000001</v>
      </c>
      <c r="E661" s="86">
        <f t="shared" si="1419"/>
        <v>-76.745999999999995</v>
      </c>
      <c r="F661" s="86">
        <f t="shared" si="1419"/>
        <v>-86.441999999999993</v>
      </c>
      <c r="G661" s="2">
        <f t="shared" si="1419"/>
        <v>-14.581</v>
      </c>
      <c r="H661" s="2">
        <f t="shared" ref="H661:J669" si="1420">H590-G590</f>
        <v>-22.936000000000003</v>
      </c>
      <c r="I661" s="2">
        <f t="shared" si="1420"/>
        <v>-29.580999999999996</v>
      </c>
      <c r="J661" s="2">
        <f t="shared" si="1420"/>
        <v>-39.191000000000003</v>
      </c>
      <c r="K661" s="86">
        <f t="shared" ref="K661:L669" si="1421">K590</f>
        <v>-106.289</v>
      </c>
      <c r="L661" s="2">
        <f t="shared" si="1421"/>
        <v>-30.1</v>
      </c>
      <c r="M661" s="2">
        <f t="shared" ref="M661:O669" si="1422">M590-L590</f>
        <v>-27.71</v>
      </c>
      <c r="N661" s="2">
        <f t="shared" si="1422"/>
        <v>-30.063000000000002</v>
      </c>
      <c r="O661" s="2">
        <f t="shared" si="1422"/>
        <v>-26.108999999999995</v>
      </c>
      <c r="P661" s="86">
        <f t="shared" ref="P661:Q669" si="1423">P590</f>
        <v>-113.982</v>
      </c>
      <c r="Q661" s="2">
        <f t="shared" si="1423"/>
        <v>-24.151</v>
      </c>
      <c r="R661" s="2">
        <f t="shared" ref="R661:T669" si="1424">R590-Q590</f>
        <v>-35.322000000000003</v>
      </c>
      <c r="S661" s="2">
        <f t="shared" si="1424"/>
        <v>-49.120000000000005</v>
      </c>
      <c r="T661" s="2">
        <f t="shared" si="1424"/>
        <v>-45.347999999999999</v>
      </c>
      <c r="U661" s="86">
        <f t="shared" ref="U661:V669" si="1425">U590</f>
        <v>-153.941</v>
      </c>
      <c r="V661" s="2">
        <f t="shared" si="1425"/>
        <v>-22.440999999999999</v>
      </c>
      <c r="W661" s="2">
        <f t="shared" ref="W661:Y669" si="1426">W590-V590</f>
        <v>-17.766999999999999</v>
      </c>
      <c r="X661" s="2">
        <f t="shared" si="1426"/>
        <v>-30.399000000000001</v>
      </c>
      <c r="Y661" s="2">
        <f t="shared" si="1426"/>
        <v>-45.213999999999999</v>
      </c>
      <c r="Z661" s="86">
        <f t="shared" ref="Z661:AA669" si="1427">Z590</f>
        <v>-115.821</v>
      </c>
      <c r="AA661" s="2">
        <f t="shared" si="1427"/>
        <v>-19.222999999999999</v>
      </c>
      <c r="AB661" s="2">
        <f t="shared" ref="AB661:AD669" si="1428">AB590-AA590</f>
        <v>-24.475999999999999</v>
      </c>
      <c r="AC661" s="2">
        <f t="shared" si="1428"/>
        <v>-29.718000000000004</v>
      </c>
      <c r="AD661" s="2">
        <f t="shared" si="1428"/>
        <v>-47.361999999999995</v>
      </c>
      <c r="AE661" s="86">
        <f t="shared" ref="AE661:AF669" si="1429">AE590</f>
        <v>-120.779</v>
      </c>
      <c r="AF661" s="2">
        <f t="shared" si="1429"/>
        <v>-30.687999999999999</v>
      </c>
      <c r="AG661" s="2">
        <f t="shared" ref="AG661:AI669" si="1430">AG590-AF590</f>
        <v>-21.181999999999999</v>
      </c>
      <c r="AH661" s="2">
        <f t="shared" si="1430"/>
        <v>-26.845999999999997</v>
      </c>
      <c r="AI661" s="2">
        <f t="shared" si="1430"/>
        <v>-24.193000000000012</v>
      </c>
      <c r="AJ661" s="86">
        <f t="shared" ref="AJ661:AK669" si="1431">AJ590</f>
        <v>-102.90900000000001</v>
      </c>
      <c r="AK661" s="2">
        <f t="shared" si="1431"/>
        <v>-13.351000000000001</v>
      </c>
      <c r="AL661" s="2">
        <f t="shared" ref="AL661:AN669" si="1432">AL590-AK590</f>
        <v>-16.019999999999996</v>
      </c>
      <c r="AM661" s="2">
        <f t="shared" si="1432"/>
        <v>-17.331</v>
      </c>
      <c r="AN661" s="2">
        <f t="shared" si="1432"/>
        <v>-27.063000000000002</v>
      </c>
      <c r="AO661" s="86">
        <f t="shared" ref="AO661:AP669" si="1433">AO590</f>
        <v>-73.765000000000001</v>
      </c>
      <c r="AP661" s="2">
        <f t="shared" si="1433"/>
        <v>-15.775</v>
      </c>
      <c r="AQ661" s="2">
        <f t="shared" ref="AQ661:AS669" si="1434">AQ590-AP590</f>
        <v>-13.648999999999999</v>
      </c>
      <c r="AR661" s="2">
        <f t="shared" si="1434"/>
        <v>-8.8460000000000036</v>
      </c>
      <c r="AS661" s="2">
        <f t="shared" si="1434"/>
        <v>-12.058999999999997</v>
      </c>
      <c r="AT661" s="86">
        <f t="shared" ref="AT661:AU669" si="1435">AT590</f>
        <v>-50.329000000000001</v>
      </c>
      <c r="AU661" s="2">
        <f t="shared" si="1435"/>
        <v>-7.2270000000000003</v>
      </c>
      <c r="AV661" s="2">
        <f t="shared" ref="AV661:AX669" si="1436">AV590-AU590</f>
        <v>-23.675000000000001</v>
      </c>
      <c r="AW661" s="2">
        <f t="shared" si="1436"/>
        <v>-18.256</v>
      </c>
      <c r="AX661" s="2">
        <f t="shared" si="1436"/>
        <v>-17.784999999999997</v>
      </c>
      <c r="AY661" s="86">
        <f t="shared" ref="AY661:AZ669" si="1437">AY590</f>
        <v>-66.942999999999998</v>
      </c>
      <c r="AZ661" s="2">
        <f t="shared" si="1437"/>
        <v>-29.093</v>
      </c>
      <c r="BA661" s="2">
        <f t="shared" ref="BA661:BC669" si="1438">BA590-AZ590</f>
        <v>-17.288999999999998</v>
      </c>
      <c r="BB661" s="2">
        <f t="shared" si="1438"/>
        <v>-31.670999999999999</v>
      </c>
      <c r="BC661" s="2">
        <f t="shared" si="1438"/>
        <v>-34.411000000000001</v>
      </c>
      <c r="BD661" s="86">
        <f t="shared" ref="BD661:BE669" si="1439">BD590</f>
        <v>-112.464</v>
      </c>
      <c r="BE661" s="2">
        <f t="shared" si="1439"/>
        <v>-37.962000000000003</v>
      </c>
      <c r="BF661" s="2">
        <f t="shared" ref="BF661:BH669" si="1440">BF590-BE590</f>
        <v>-24.697999999999993</v>
      </c>
      <c r="BG661" s="2">
        <f t="shared" si="1440"/>
        <v>-37.263000000000005</v>
      </c>
      <c r="BH661" s="2">
        <f t="shared" si="1440"/>
        <v>-51.641999999999996</v>
      </c>
      <c r="BI661" s="90">
        <f t="shared" ref="BI661:BI669" si="1441">BI590</f>
        <v>-151.565</v>
      </c>
      <c r="BJ661" s="2">
        <f t="shared" ref="BJ661:BM661" si="1442">-BJ722</f>
        <v>-44.55</v>
      </c>
      <c r="BK661" s="2">
        <f t="shared" si="1442"/>
        <v>-47.024999999999999</v>
      </c>
      <c r="BL661" s="2">
        <f t="shared" si="1442"/>
        <v>-47.024999999999999</v>
      </c>
      <c r="BM661" s="2">
        <f t="shared" si="1442"/>
        <v>-47.024999999999999</v>
      </c>
      <c r="BN661" s="86">
        <f t="shared" ref="BN661:BN669" si="1443">SUM(BJ661,BK661,BL661,BM661)</f>
        <v>-185.625</v>
      </c>
      <c r="BO661" s="2">
        <f t="shared" ref="BO661:BR661" si="1444">-BO722</f>
        <v>-44.55</v>
      </c>
      <c r="BP661" s="2">
        <f t="shared" si="1444"/>
        <v>-47.024999999999999</v>
      </c>
      <c r="BQ661" s="2">
        <f t="shared" si="1444"/>
        <v>-47.024999999999999</v>
      </c>
      <c r="BR661" s="2">
        <f t="shared" si="1444"/>
        <v>-47.024999999999999</v>
      </c>
      <c r="BS661" s="86">
        <f t="shared" ref="BS661:BS669" si="1445">SUM(BO661,BP661,BQ661,BR661)</f>
        <v>-185.625</v>
      </c>
      <c r="BT661" s="86">
        <f t="shared" ref="BT661:BV661" si="1446">-BT722</f>
        <v>-163.35</v>
      </c>
      <c r="BU661" s="86">
        <f t="shared" si="1446"/>
        <v>-163.35</v>
      </c>
      <c r="BV661" s="86">
        <f t="shared" si="1446"/>
        <v>-163.35</v>
      </c>
      <c r="BW661" s="4"/>
    </row>
    <row r="662" spans="1:75" ht="15.75" customHeight="1" x14ac:dyDescent="0.2">
      <c r="A662" s="85" t="str">
        <f t="shared" si="1418"/>
        <v>Additions to intangible assets</v>
      </c>
      <c r="B662" s="2"/>
      <c r="C662" s="86">
        <f t="shared" si="1419"/>
        <v>-1.712</v>
      </c>
      <c r="D662" s="86">
        <f t="shared" si="1419"/>
        <v>-1.821</v>
      </c>
      <c r="E662" s="86">
        <f t="shared" si="1419"/>
        <v>-0.87</v>
      </c>
      <c r="F662" s="86">
        <f t="shared" si="1419"/>
        <v>-1.712</v>
      </c>
      <c r="G662" s="2">
        <f t="shared" si="1419"/>
        <v>-0.439</v>
      </c>
      <c r="H662" s="2">
        <f t="shared" si="1420"/>
        <v>-0.37200000000000005</v>
      </c>
      <c r="I662" s="2">
        <f t="shared" si="1420"/>
        <v>-0.41400000000000003</v>
      </c>
      <c r="J662" s="2">
        <f t="shared" si="1420"/>
        <v>-0.42899999999999983</v>
      </c>
      <c r="K662" s="86">
        <f t="shared" si="1421"/>
        <v>-1.6539999999999999</v>
      </c>
      <c r="L662" s="2">
        <f t="shared" si="1421"/>
        <v>-0.33900000000000002</v>
      </c>
      <c r="M662" s="2">
        <f t="shared" si="1422"/>
        <v>-0.307</v>
      </c>
      <c r="N662" s="2">
        <f t="shared" si="1422"/>
        <v>-0.82300000000000006</v>
      </c>
      <c r="O662" s="2">
        <f t="shared" si="1422"/>
        <v>-0.40999999999999992</v>
      </c>
      <c r="P662" s="86">
        <f t="shared" si="1423"/>
        <v>-1.879</v>
      </c>
      <c r="Q662" s="2">
        <f t="shared" si="1423"/>
        <v>-0.54700000000000004</v>
      </c>
      <c r="R662" s="2">
        <f t="shared" si="1424"/>
        <v>-0.40099999999999991</v>
      </c>
      <c r="S662" s="2">
        <f t="shared" si="1424"/>
        <v>-0.32800000000000007</v>
      </c>
      <c r="T662" s="2">
        <f t="shared" si="1424"/>
        <v>-0.48399999999999999</v>
      </c>
      <c r="U662" s="86">
        <f t="shared" si="1425"/>
        <v>-1.76</v>
      </c>
      <c r="V662" s="2">
        <f t="shared" si="1425"/>
        <v>-0.62</v>
      </c>
      <c r="W662" s="2">
        <f t="shared" si="1426"/>
        <v>-0.30400000000000005</v>
      </c>
      <c r="X662" s="2">
        <f t="shared" si="1426"/>
        <v>-0.37</v>
      </c>
      <c r="Y662" s="2">
        <f t="shared" si="1426"/>
        <v>-0.34600000000000009</v>
      </c>
      <c r="Z662" s="86">
        <f t="shared" si="1427"/>
        <v>-1.6400000000000001</v>
      </c>
      <c r="AA662" s="2">
        <f t="shared" si="1427"/>
        <v>-0.30199999999999999</v>
      </c>
      <c r="AB662" s="2">
        <f t="shared" si="1428"/>
        <v>-0.317</v>
      </c>
      <c r="AC662" s="2">
        <f t="shared" si="1428"/>
        <v>-0.28400000000000003</v>
      </c>
      <c r="AD662" s="2">
        <f t="shared" si="1428"/>
        <v>-0.75099999999999989</v>
      </c>
      <c r="AE662" s="86">
        <f t="shared" si="1429"/>
        <v>-1.6539999999999999</v>
      </c>
      <c r="AF662" s="2">
        <f t="shared" si="1429"/>
        <v>-0.307</v>
      </c>
      <c r="AG662" s="2">
        <f t="shared" si="1430"/>
        <v>-0.42799999999999999</v>
      </c>
      <c r="AH662" s="2">
        <f t="shared" si="1430"/>
        <v>-1.9420000000000002</v>
      </c>
      <c r="AI662" s="2">
        <f t="shared" si="1430"/>
        <v>-0.34299999999999997</v>
      </c>
      <c r="AJ662" s="86">
        <f t="shared" si="1431"/>
        <v>-3.02</v>
      </c>
      <c r="AK662" s="2">
        <f t="shared" si="1431"/>
        <v>-9.6000000000000002E-2</v>
      </c>
      <c r="AL662" s="2">
        <f t="shared" si="1432"/>
        <v>-0.10200000000000001</v>
      </c>
      <c r="AM662" s="2">
        <f t="shared" si="1432"/>
        <v>-0.15499999999999997</v>
      </c>
      <c r="AN662" s="2">
        <f t="shared" si="1432"/>
        <v>-1.7470000000000001</v>
      </c>
      <c r="AO662" s="86">
        <f t="shared" si="1433"/>
        <v>-2.1</v>
      </c>
      <c r="AP662" s="2">
        <f t="shared" si="1433"/>
        <v>-0.128</v>
      </c>
      <c r="AQ662" s="2">
        <f t="shared" si="1434"/>
        <v>-9.9000000000000005E-2</v>
      </c>
      <c r="AR662" s="2">
        <f t="shared" si="1434"/>
        <v>-0.13799999999999998</v>
      </c>
      <c r="AS662" s="2">
        <f t="shared" si="1434"/>
        <v>-0.21999999999999997</v>
      </c>
      <c r="AT662" s="86">
        <f t="shared" si="1435"/>
        <v>-0.58499999999999996</v>
      </c>
      <c r="AU662" s="2">
        <f t="shared" si="1435"/>
        <v>-0.48</v>
      </c>
      <c r="AV662" s="2">
        <f t="shared" si="1436"/>
        <v>0.16799999999999998</v>
      </c>
      <c r="AW662" s="2">
        <f t="shared" si="1436"/>
        <v>-0.16999999999999998</v>
      </c>
      <c r="AX662" s="2">
        <f t="shared" si="1436"/>
        <v>-0.124</v>
      </c>
      <c r="AY662" s="86">
        <f t="shared" si="1437"/>
        <v>-0.60599999999999998</v>
      </c>
      <c r="AZ662" s="2">
        <f t="shared" si="1437"/>
        <v>-0.13900000000000001</v>
      </c>
      <c r="BA662" s="2">
        <f t="shared" si="1438"/>
        <v>-0.14299999999999996</v>
      </c>
      <c r="BB662" s="2">
        <f t="shared" si="1438"/>
        <v>-0.20700000000000002</v>
      </c>
      <c r="BC662" s="2">
        <f t="shared" si="1438"/>
        <v>-0.19100000000000006</v>
      </c>
      <c r="BD662" s="86">
        <f t="shared" si="1439"/>
        <v>-0.68</v>
      </c>
      <c r="BE662" s="2">
        <f t="shared" si="1439"/>
        <v>-0.182</v>
      </c>
      <c r="BF662" s="2">
        <f t="shared" si="1440"/>
        <v>-0.21000000000000002</v>
      </c>
      <c r="BG662" s="2">
        <f t="shared" si="1440"/>
        <v>-0.17499999999999993</v>
      </c>
      <c r="BH662" s="2">
        <f t="shared" si="1440"/>
        <v>-1.091</v>
      </c>
      <c r="BI662" s="90">
        <f t="shared" si="1441"/>
        <v>-1.6579999999999999</v>
      </c>
      <c r="BJ662" s="2">
        <f t="shared" ref="BJ662:BM662" si="1447">-BJ728</f>
        <v>-0.45</v>
      </c>
      <c r="BK662" s="2">
        <f t="shared" si="1447"/>
        <v>-0.47500000000000003</v>
      </c>
      <c r="BL662" s="2">
        <f t="shared" si="1447"/>
        <v>-0.47500000000000003</v>
      </c>
      <c r="BM662" s="2">
        <f t="shared" si="1447"/>
        <v>-0.47500000000000003</v>
      </c>
      <c r="BN662" s="86">
        <f t="shared" si="1443"/>
        <v>-1.8750000000000002</v>
      </c>
      <c r="BO662" s="2">
        <f t="shared" ref="BO662:BR662" si="1448">-BO728</f>
        <v>-0.45</v>
      </c>
      <c r="BP662" s="2">
        <f t="shared" si="1448"/>
        <v>-0.47500000000000003</v>
      </c>
      <c r="BQ662" s="2">
        <f t="shared" si="1448"/>
        <v>-0.47500000000000003</v>
      </c>
      <c r="BR662" s="2">
        <f t="shared" si="1448"/>
        <v>-0.47500000000000003</v>
      </c>
      <c r="BS662" s="86">
        <f t="shared" si="1445"/>
        <v>-1.8750000000000002</v>
      </c>
      <c r="BT662" s="86">
        <f t="shared" ref="BT662:BV662" si="1449">-BT728</f>
        <v>-1.6500000000000001</v>
      </c>
      <c r="BU662" s="86">
        <f t="shared" si="1449"/>
        <v>-1.6500000000000001</v>
      </c>
      <c r="BV662" s="86">
        <f t="shared" si="1449"/>
        <v>-1.6500000000000001</v>
      </c>
      <c r="BW662" s="4"/>
    </row>
    <row r="663" spans="1:75" ht="15.75" customHeight="1" x14ac:dyDescent="0.2">
      <c r="A663" s="85" t="str">
        <f t="shared" si="1418"/>
        <v>Investments in unconsolidated affiliates</v>
      </c>
      <c r="B663" s="2"/>
      <c r="C663" s="86">
        <f t="shared" si="1419"/>
        <v>0</v>
      </c>
      <c r="D663" s="86">
        <f t="shared" si="1419"/>
        <v>0</v>
      </c>
      <c r="E663" s="86">
        <f t="shared" si="1419"/>
        <v>0</v>
      </c>
      <c r="F663" s="86">
        <f t="shared" si="1419"/>
        <v>0</v>
      </c>
      <c r="G663" s="2">
        <f t="shared" si="1419"/>
        <v>0</v>
      </c>
      <c r="H663" s="2">
        <f t="shared" si="1420"/>
        <v>0</v>
      </c>
      <c r="I663" s="2">
        <f t="shared" si="1420"/>
        <v>0</v>
      </c>
      <c r="J663" s="2">
        <f t="shared" si="1420"/>
        <v>0</v>
      </c>
      <c r="K663" s="86">
        <f t="shared" si="1421"/>
        <v>0</v>
      </c>
      <c r="L663" s="2">
        <f t="shared" si="1421"/>
        <v>0</v>
      </c>
      <c r="M663" s="2">
        <f t="shared" si="1422"/>
        <v>0</v>
      </c>
      <c r="N663" s="2">
        <f t="shared" si="1422"/>
        <v>0</v>
      </c>
      <c r="O663" s="2">
        <f t="shared" si="1422"/>
        <v>0</v>
      </c>
      <c r="P663" s="86">
        <f t="shared" si="1423"/>
        <v>0</v>
      </c>
      <c r="Q663" s="2">
        <f t="shared" si="1423"/>
        <v>0</v>
      </c>
      <c r="R663" s="2">
        <f t="shared" si="1424"/>
        <v>0</v>
      </c>
      <c r="S663" s="2">
        <f t="shared" si="1424"/>
        <v>0</v>
      </c>
      <c r="T663" s="2">
        <f t="shared" si="1424"/>
        <v>0</v>
      </c>
      <c r="U663" s="86">
        <f t="shared" si="1425"/>
        <v>0</v>
      </c>
      <c r="V663" s="2">
        <f t="shared" si="1425"/>
        <v>0</v>
      </c>
      <c r="W663" s="2">
        <f t="shared" si="1426"/>
        <v>0</v>
      </c>
      <c r="X663" s="2">
        <f t="shared" si="1426"/>
        <v>0</v>
      </c>
      <c r="Y663" s="2">
        <f t="shared" si="1426"/>
        <v>-42</v>
      </c>
      <c r="Z663" s="86">
        <f t="shared" si="1427"/>
        <v>-42</v>
      </c>
      <c r="AA663" s="2">
        <f t="shared" si="1427"/>
        <v>-8.7999999999999995E-2</v>
      </c>
      <c r="AB663" s="2">
        <f t="shared" si="1428"/>
        <v>-8.9120000000000008</v>
      </c>
      <c r="AC663" s="2">
        <f t="shared" si="1428"/>
        <v>0</v>
      </c>
      <c r="AD663" s="2">
        <f t="shared" si="1428"/>
        <v>-9</v>
      </c>
      <c r="AE663" s="86">
        <f t="shared" si="1429"/>
        <v>-18</v>
      </c>
      <c r="AF663" s="2">
        <f t="shared" si="1429"/>
        <v>0</v>
      </c>
      <c r="AG663" s="2">
        <f t="shared" si="1430"/>
        <v>-14</v>
      </c>
      <c r="AH663" s="2">
        <f t="shared" si="1430"/>
        <v>-11</v>
      </c>
      <c r="AI663" s="2">
        <f t="shared" si="1430"/>
        <v>0</v>
      </c>
      <c r="AJ663" s="86">
        <f t="shared" si="1431"/>
        <v>-25</v>
      </c>
      <c r="AK663" s="2">
        <f t="shared" si="1431"/>
        <v>-3</v>
      </c>
      <c r="AL663" s="2">
        <f t="shared" si="1432"/>
        <v>0</v>
      </c>
      <c r="AM663" s="2">
        <f t="shared" si="1432"/>
        <v>0</v>
      </c>
      <c r="AN663" s="2">
        <f t="shared" si="1432"/>
        <v>0</v>
      </c>
      <c r="AO663" s="86">
        <f t="shared" si="1433"/>
        <v>-3</v>
      </c>
      <c r="AP663" s="2">
        <f t="shared" si="1433"/>
        <v>0</v>
      </c>
      <c r="AQ663" s="2">
        <f t="shared" si="1434"/>
        <v>0</v>
      </c>
      <c r="AR663" s="2">
        <f t="shared" si="1434"/>
        <v>0</v>
      </c>
      <c r="AS663" s="2">
        <f t="shared" si="1434"/>
        <v>0</v>
      </c>
      <c r="AT663" s="86">
        <f t="shared" si="1435"/>
        <v>0</v>
      </c>
      <c r="AU663" s="2">
        <f t="shared" si="1435"/>
        <v>0</v>
      </c>
      <c r="AV663" s="2">
        <f t="shared" si="1436"/>
        <v>0</v>
      </c>
      <c r="AW663" s="2">
        <f t="shared" si="1436"/>
        <v>0</v>
      </c>
      <c r="AX663" s="2">
        <f t="shared" si="1436"/>
        <v>0</v>
      </c>
      <c r="AY663" s="86">
        <f t="shared" si="1437"/>
        <v>0</v>
      </c>
      <c r="AZ663" s="2">
        <f t="shared" si="1437"/>
        <v>0</v>
      </c>
      <c r="BA663" s="2">
        <f t="shared" si="1438"/>
        <v>0</v>
      </c>
      <c r="BB663" s="2">
        <f t="shared" si="1438"/>
        <v>0</v>
      </c>
      <c r="BC663" s="2">
        <f t="shared" si="1438"/>
        <v>0</v>
      </c>
      <c r="BD663" s="86">
        <f t="shared" si="1439"/>
        <v>0</v>
      </c>
      <c r="BE663" s="2">
        <f t="shared" si="1439"/>
        <v>0</v>
      </c>
      <c r="BF663" s="2">
        <f t="shared" si="1440"/>
        <v>0</v>
      </c>
      <c r="BG663" s="2">
        <f t="shared" si="1440"/>
        <v>0</v>
      </c>
      <c r="BH663" s="2">
        <f t="shared" si="1440"/>
        <v>0</v>
      </c>
      <c r="BI663" s="90">
        <f t="shared" si="1441"/>
        <v>0</v>
      </c>
      <c r="BJ663" s="2"/>
      <c r="BK663" s="2"/>
      <c r="BL663" s="2"/>
      <c r="BM663" s="2"/>
      <c r="BN663" s="86">
        <f t="shared" si="1443"/>
        <v>0</v>
      </c>
      <c r="BO663" s="2"/>
      <c r="BP663" s="2"/>
      <c r="BQ663" s="2"/>
      <c r="BR663" s="2"/>
      <c r="BS663" s="86">
        <f t="shared" si="1445"/>
        <v>0</v>
      </c>
      <c r="BT663" s="86"/>
      <c r="BU663" s="86"/>
      <c r="BV663" s="86"/>
      <c r="BW663" s="4"/>
    </row>
    <row r="664" spans="1:75" ht="15.75" customHeight="1" x14ac:dyDescent="0.2">
      <c r="A664" s="85" t="str">
        <f t="shared" si="1418"/>
        <v>Loans made to unconsolidated affiliates</v>
      </c>
      <c r="B664" s="2"/>
      <c r="C664" s="86">
        <f t="shared" si="1419"/>
        <v>0</v>
      </c>
      <c r="D664" s="86">
        <f t="shared" si="1419"/>
        <v>0</v>
      </c>
      <c r="E664" s="86">
        <f t="shared" si="1419"/>
        <v>0</v>
      </c>
      <c r="F664" s="86">
        <f t="shared" si="1419"/>
        <v>0</v>
      </c>
      <c r="G664" s="2">
        <f t="shared" si="1419"/>
        <v>0</v>
      </c>
      <c r="H664" s="2">
        <f t="shared" si="1420"/>
        <v>0</v>
      </c>
      <c r="I664" s="2">
        <f t="shared" si="1420"/>
        <v>0</v>
      </c>
      <c r="J664" s="2">
        <f t="shared" si="1420"/>
        <v>0</v>
      </c>
      <c r="K664" s="86">
        <f t="shared" si="1421"/>
        <v>0</v>
      </c>
      <c r="L664" s="2">
        <f t="shared" si="1421"/>
        <v>0</v>
      </c>
      <c r="M664" s="2">
        <f t="shared" si="1422"/>
        <v>0</v>
      </c>
      <c r="N664" s="2">
        <f t="shared" si="1422"/>
        <v>0</v>
      </c>
      <c r="O664" s="2">
        <f t="shared" si="1422"/>
        <v>0</v>
      </c>
      <c r="P664" s="86">
        <f t="shared" si="1423"/>
        <v>0</v>
      </c>
      <c r="Q664" s="2">
        <f t="shared" si="1423"/>
        <v>0</v>
      </c>
      <c r="R664" s="2">
        <f t="shared" si="1424"/>
        <v>0</v>
      </c>
      <c r="S664" s="2">
        <f t="shared" si="1424"/>
        <v>0</v>
      </c>
      <c r="T664" s="2">
        <f t="shared" si="1424"/>
        <v>0</v>
      </c>
      <c r="U664" s="86">
        <f t="shared" si="1425"/>
        <v>0</v>
      </c>
      <c r="V664" s="2">
        <f t="shared" si="1425"/>
        <v>0</v>
      </c>
      <c r="W664" s="2">
        <f t="shared" si="1426"/>
        <v>0</v>
      </c>
      <c r="X664" s="2">
        <f t="shared" si="1426"/>
        <v>0</v>
      </c>
      <c r="Y664" s="2">
        <f t="shared" si="1426"/>
        <v>0</v>
      </c>
      <c r="Z664" s="86">
        <f t="shared" si="1427"/>
        <v>0</v>
      </c>
      <c r="AA664" s="2">
        <f t="shared" si="1427"/>
        <v>0</v>
      </c>
      <c r="AB664" s="2">
        <f t="shared" si="1428"/>
        <v>0</v>
      </c>
      <c r="AC664" s="2">
        <f t="shared" si="1428"/>
        <v>0</v>
      </c>
      <c r="AD664" s="2">
        <f t="shared" si="1428"/>
        <v>0</v>
      </c>
      <c r="AE664" s="86">
        <f t="shared" si="1429"/>
        <v>0</v>
      </c>
      <c r="AF664" s="2">
        <f t="shared" si="1429"/>
        <v>0</v>
      </c>
      <c r="AG664" s="2">
        <f t="shared" si="1430"/>
        <v>0</v>
      </c>
      <c r="AH664" s="2">
        <f t="shared" si="1430"/>
        <v>0</v>
      </c>
      <c r="AI664" s="2">
        <f t="shared" si="1430"/>
        <v>0</v>
      </c>
      <c r="AJ664" s="86">
        <f t="shared" si="1431"/>
        <v>0</v>
      </c>
      <c r="AK664" s="2">
        <f t="shared" si="1431"/>
        <v>-11</v>
      </c>
      <c r="AL664" s="2">
        <f t="shared" si="1432"/>
        <v>-7</v>
      </c>
      <c r="AM664" s="2">
        <f t="shared" si="1432"/>
        <v>-4.5</v>
      </c>
      <c r="AN664" s="2">
        <f t="shared" si="1432"/>
        <v>0</v>
      </c>
      <c r="AO664" s="86">
        <f t="shared" si="1433"/>
        <v>-22.5</v>
      </c>
      <c r="AP664" s="2">
        <f t="shared" si="1433"/>
        <v>0</v>
      </c>
      <c r="AQ664" s="2">
        <f t="shared" si="1434"/>
        <v>0</v>
      </c>
      <c r="AR664" s="2">
        <f t="shared" si="1434"/>
        <v>0</v>
      </c>
      <c r="AS664" s="2">
        <f t="shared" si="1434"/>
        <v>0</v>
      </c>
      <c r="AT664" s="86">
        <f t="shared" si="1435"/>
        <v>0</v>
      </c>
      <c r="AU664" s="2">
        <f t="shared" si="1435"/>
        <v>0</v>
      </c>
      <c r="AV664" s="2">
        <f t="shared" si="1436"/>
        <v>0</v>
      </c>
      <c r="AW664" s="2">
        <f t="shared" si="1436"/>
        <v>0</v>
      </c>
      <c r="AX664" s="2">
        <f t="shared" si="1436"/>
        <v>0</v>
      </c>
      <c r="AY664" s="86">
        <f t="shared" si="1437"/>
        <v>0</v>
      </c>
      <c r="AZ664" s="2">
        <f t="shared" si="1437"/>
        <v>0</v>
      </c>
      <c r="BA664" s="2">
        <f t="shared" si="1438"/>
        <v>0</v>
      </c>
      <c r="BB664" s="2">
        <f t="shared" si="1438"/>
        <v>0</v>
      </c>
      <c r="BC664" s="2">
        <f t="shared" si="1438"/>
        <v>0</v>
      </c>
      <c r="BD664" s="86">
        <f t="shared" si="1439"/>
        <v>0</v>
      </c>
      <c r="BE664" s="2">
        <f t="shared" si="1439"/>
        <v>0</v>
      </c>
      <c r="BF664" s="2">
        <f t="shared" si="1440"/>
        <v>0</v>
      </c>
      <c r="BG664" s="2">
        <f t="shared" si="1440"/>
        <v>0</v>
      </c>
      <c r="BH664" s="2">
        <f t="shared" si="1440"/>
        <v>0</v>
      </c>
      <c r="BI664" s="90">
        <f t="shared" si="1441"/>
        <v>0</v>
      </c>
      <c r="BJ664" s="2"/>
      <c r="BK664" s="2"/>
      <c r="BL664" s="2"/>
      <c r="BM664" s="2"/>
      <c r="BN664" s="86">
        <f t="shared" si="1443"/>
        <v>0</v>
      </c>
      <c r="BO664" s="2"/>
      <c r="BP664" s="2"/>
      <c r="BQ664" s="2"/>
      <c r="BR664" s="2"/>
      <c r="BS664" s="86">
        <f t="shared" si="1445"/>
        <v>0</v>
      </c>
      <c r="BT664" s="86"/>
      <c r="BU664" s="86"/>
      <c r="BV664" s="86"/>
      <c r="BW664" s="4"/>
    </row>
    <row r="665" spans="1:75" ht="15.75" customHeight="1" x14ac:dyDescent="0.2">
      <c r="A665" s="85" t="str">
        <f t="shared" si="1418"/>
        <v>Sales of available-for-sale securities</v>
      </c>
      <c r="B665" s="2"/>
      <c r="C665" s="86">
        <f t="shared" si="1419"/>
        <v>1</v>
      </c>
      <c r="D665" s="86">
        <f t="shared" si="1419"/>
        <v>0</v>
      </c>
      <c r="E665" s="86">
        <f t="shared" si="1419"/>
        <v>0</v>
      </c>
      <c r="F665" s="86">
        <f t="shared" si="1419"/>
        <v>0</v>
      </c>
      <c r="G665" s="2">
        <f t="shared" si="1419"/>
        <v>0</v>
      </c>
      <c r="H665" s="2">
        <f t="shared" si="1420"/>
        <v>0</v>
      </c>
      <c r="I665" s="2">
        <f t="shared" si="1420"/>
        <v>0</v>
      </c>
      <c r="J665" s="2">
        <f t="shared" si="1420"/>
        <v>0</v>
      </c>
      <c r="K665" s="86">
        <f t="shared" si="1421"/>
        <v>0</v>
      </c>
      <c r="L665" s="2">
        <f t="shared" si="1421"/>
        <v>0</v>
      </c>
      <c r="M665" s="2">
        <f t="shared" si="1422"/>
        <v>0</v>
      </c>
      <c r="N665" s="2">
        <f t="shared" si="1422"/>
        <v>0</v>
      </c>
      <c r="O665" s="2">
        <f t="shared" si="1422"/>
        <v>0</v>
      </c>
      <c r="P665" s="86">
        <f t="shared" si="1423"/>
        <v>0</v>
      </c>
      <c r="Q665" s="2">
        <f t="shared" si="1423"/>
        <v>0</v>
      </c>
      <c r="R665" s="2">
        <f t="shared" si="1424"/>
        <v>0</v>
      </c>
      <c r="S665" s="2">
        <f t="shared" si="1424"/>
        <v>0</v>
      </c>
      <c r="T665" s="2">
        <f t="shared" si="1424"/>
        <v>0</v>
      </c>
      <c r="U665" s="86">
        <f t="shared" si="1425"/>
        <v>0</v>
      </c>
      <c r="V665" s="2">
        <f t="shared" si="1425"/>
        <v>0</v>
      </c>
      <c r="W665" s="2">
        <f t="shared" si="1426"/>
        <v>0</v>
      </c>
      <c r="X665" s="2">
        <f t="shared" si="1426"/>
        <v>0</v>
      </c>
      <c r="Y665" s="2">
        <f t="shared" si="1426"/>
        <v>0</v>
      </c>
      <c r="Z665" s="86">
        <f t="shared" si="1427"/>
        <v>0</v>
      </c>
      <c r="AA665" s="2">
        <f t="shared" si="1427"/>
        <v>0</v>
      </c>
      <c r="AB665" s="2">
        <f t="shared" si="1428"/>
        <v>0</v>
      </c>
      <c r="AC665" s="2">
        <f t="shared" si="1428"/>
        <v>0</v>
      </c>
      <c r="AD665" s="2">
        <f t="shared" si="1428"/>
        <v>0</v>
      </c>
      <c r="AE665" s="86">
        <f t="shared" si="1429"/>
        <v>0</v>
      </c>
      <c r="AF665" s="2">
        <f t="shared" si="1429"/>
        <v>0</v>
      </c>
      <c r="AG665" s="2">
        <f t="shared" si="1430"/>
        <v>0</v>
      </c>
      <c r="AH665" s="2">
        <f t="shared" si="1430"/>
        <v>0</v>
      </c>
      <c r="AI665" s="2">
        <f t="shared" si="1430"/>
        <v>0</v>
      </c>
      <c r="AJ665" s="86">
        <f t="shared" si="1431"/>
        <v>0</v>
      </c>
      <c r="AK665" s="2">
        <f t="shared" si="1431"/>
        <v>0</v>
      </c>
      <c r="AL665" s="2">
        <f t="shared" si="1432"/>
        <v>0</v>
      </c>
      <c r="AM665" s="2">
        <f t="shared" si="1432"/>
        <v>0</v>
      </c>
      <c r="AN665" s="2">
        <f t="shared" si="1432"/>
        <v>0</v>
      </c>
      <c r="AO665" s="86">
        <f t="shared" si="1433"/>
        <v>0</v>
      </c>
      <c r="AP665" s="2">
        <f t="shared" si="1433"/>
        <v>0</v>
      </c>
      <c r="AQ665" s="2">
        <f t="shared" si="1434"/>
        <v>0</v>
      </c>
      <c r="AR665" s="2">
        <f t="shared" si="1434"/>
        <v>0</v>
      </c>
      <c r="AS665" s="2">
        <f t="shared" si="1434"/>
        <v>0</v>
      </c>
      <c r="AT665" s="86">
        <f t="shared" si="1435"/>
        <v>0</v>
      </c>
      <c r="AU665" s="2">
        <f t="shared" si="1435"/>
        <v>0</v>
      </c>
      <c r="AV665" s="2">
        <f t="shared" si="1436"/>
        <v>0</v>
      </c>
      <c r="AW665" s="2">
        <f t="shared" si="1436"/>
        <v>0</v>
      </c>
      <c r="AX665" s="2">
        <f t="shared" si="1436"/>
        <v>0</v>
      </c>
      <c r="AY665" s="86">
        <f t="shared" si="1437"/>
        <v>0</v>
      </c>
      <c r="AZ665" s="2">
        <f t="shared" si="1437"/>
        <v>0</v>
      </c>
      <c r="BA665" s="2">
        <f t="shared" si="1438"/>
        <v>0</v>
      </c>
      <c r="BB665" s="2">
        <f t="shared" si="1438"/>
        <v>0</v>
      </c>
      <c r="BC665" s="2">
        <f t="shared" si="1438"/>
        <v>0</v>
      </c>
      <c r="BD665" s="86">
        <f t="shared" si="1439"/>
        <v>0</v>
      </c>
      <c r="BE665" s="2">
        <f t="shared" si="1439"/>
        <v>0</v>
      </c>
      <c r="BF665" s="2">
        <f t="shared" si="1440"/>
        <v>0</v>
      </c>
      <c r="BG665" s="2">
        <f t="shared" si="1440"/>
        <v>0</v>
      </c>
      <c r="BH665" s="2">
        <f t="shared" si="1440"/>
        <v>0</v>
      </c>
      <c r="BI665" s="90">
        <f t="shared" si="1441"/>
        <v>0</v>
      </c>
      <c r="BJ665" s="2"/>
      <c r="BK665" s="2"/>
      <c r="BL665" s="2"/>
      <c r="BM665" s="2"/>
      <c r="BN665" s="86">
        <f t="shared" si="1443"/>
        <v>0</v>
      </c>
      <c r="BO665" s="2"/>
      <c r="BP665" s="2"/>
      <c r="BQ665" s="2"/>
      <c r="BR665" s="2"/>
      <c r="BS665" s="86">
        <f t="shared" si="1445"/>
        <v>0</v>
      </c>
      <c r="BT665" s="86"/>
      <c r="BU665" s="86"/>
      <c r="BV665" s="86"/>
      <c r="BW665" s="4"/>
    </row>
    <row r="666" spans="1:75" ht="15.75" customHeight="1" x14ac:dyDescent="0.2">
      <c r="A666" s="85" t="str">
        <f t="shared" si="1418"/>
        <v>Proceeds from variable life insurance contract</v>
      </c>
      <c r="B666" s="2"/>
      <c r="C666" s="86">
        <f t="shared" si="1419"/>
        <v>0</v>
      </c>
      <c r="D666" s="86">
        <f t="shared" si="1419"/>
        <v>0</v>
      </c>
      <c r="E666" s="86">
        <f t="shared" si="1419"/>
        <v>0</v>
      </c>
      <c r="F666" s="86">
        <f t="shared" si="1419"/>
        <v>0</v>
      </c>
      <c r="G666" s="2">
        <f t="shared" si="1419"/>
        <v>0</v>
      </c>
      <c r="H666" s="2">
        <f t="shared" si="1420"/>
        <v>0</v>
      </c>
      <c r="I666" s="2">
        <f t="shared" si="1420"/>
        <v>0</v>
      </c>
      <c r="J666" s="2">
        <f t="shared" si="1420"/>
        <v>0</v>
      </c>
      <c r="K666" s="86">
        <f t="shared" si="1421"/>
        <v>0</v>
      </c>
      <c r="L666" s="2">
        <f t="shared" si="1421"/>
        <v>0</v>
      </c>
      <c r="M666" s="2">
        <f t="shared" si="1422"/>
        <v>0</v>
      </c>
      <c r="N666" s="2">
        <f t="shared" si="1422"/>
        <v>0</v>
      </c>
      <c r="O666" s="2">
        <f t="shared" si="1422"/>
        <v>0</v>
      </c>
      <c r="P666" s="86">
        <f t="shared" si="1423"/>
        <v>0</v>
      </c>
      <c r="Q666" s="2">
        <f t="shared" si="1423"/>
        <v>0</v>
      </c>
      <c r="R666" s="2">
        <f t="shared" si="1424"/>
        <v>0</v>
      </c>
      <c r="S666" s="2">
        <f t="shared" si="1424"/>
        <v>0</v>
      </c>
      <c r="T666" s="2">
        <f t="shared" si="1424"/>
        <v>0</v>
      </c>
      <c r="U666" s="86">
        <f t="shared" si="1425"/>
        <v>0</v>
      </c>
      <c r="V666" s="2">
        <f t="shared" si="1425"/>
        <v>0</v>
      </c>
      <c r="W666" s="2">
        <f t="shared" si="1426"/>
        <v>0</v>
      </c>
      <c r="X666" s="2">
        <f t="shared" si="1426"/>
        <v>0</v>
      </c>
      <c r="Y666" s="2">
        <f t="shared" si="1426"/>
        <v>0</v>
      </c>
      <c r="Z666" s="86">
        <f t="shared" si="1427"/>
        <v>0</v>
      </c>
      <c r="AA666" s="2">
        <f t="shared" si="1427"/>
        <v>0</v>
      </c>
      <c r="AB666" s="2">
        <f t="shared" si="1428"/>
        <v>0</v>
      </c>
      <c r="AC666" s="2">
        <f t="shared" si="1428"/>
        <v>0</v>
      </c>
      <c r="AD666" s="2">
        <f t="shared" si="1428"/>
        <v>0</v>
      </c>
      <c r="AE666" s="86">
        <f t="shared" si="1429"/>
        <v>0</v>
      </c>
      <c r="AF666" s="2">
        <f t="shared" si="1429"/>
        <v>0</v>
      </c>
      <c r="AG666" s="2">
        <f t="shared" si="1430"/>
        <v>0.54</v>
      </c>
      <c r="AH666" s="2">
        <f t="shared" si="1430"/>
        <v>0</v>
      </c>
      <c r="AI666" s="2">
        <f t="shared" si="1430"/>
        <v>0</v>
      </c>
      <c r="AJ666" s="86">
        <f t="shared" si="1431"/>
        <v>0.54</v>
      </c>
      <c r="AK666" s="2">
        <f t="shared" si="1431"/>
        <v>0</v>
      </c>
      <c r="AL666" s="2">
        <f t="shared" si="1432"/>
        <v>0</v>
      </c>
      <c r="AM666" s="2">
        <f t="shared" si="1432"/>
        <v>0</v>
      </c>
      <c r="AN666" s="2">
        <f t="shared" si="1432"/>
        <v>0</v>
      </c>
      <c r="AO666" s="86">
        <f t="shared" si="1433"/>
        <v>0</v>
      </c>
      <c r="AP666" s="2">
        <f t="shared" si="1433"/>
        <v>0</v>
      </c>
      <c r="AQ666" s="2">
        <f t="shared" si="1434"/>
        <v>0</v>
      </c>
      <c r="AR666" s="2">
        <f t="shared" si="1434"/>
        <v>0</v>
      </c>
      <c r="AS666" s="2">
        <f t="shared" si="1434"/>
        <v>0</v>
      </c>
      <c r="AT666" s="86">
        <f t="shared" si="1435"/>
        <v>0</v>
      </c>
      <c r="AU666" s="2">
        <f t="shared" si="1435"/>
        <v>0</v>
      </c>
      <c r="AV666" s="2">
        <f t="shared" si="1436"/>
        <v>0</v>
      </c>
      <c r="AW666" s="2">
        <f t="shared" si="1436"/>
        <v>0</v>
      </c>
      <c r="AX666" s="2">
        <f t="shared" si="1436"/>
        <v>0</v>
      </c>
      <c r="AY666" s="86">
        <f t="shared" si="1437"/>
        <v>0</v>
      </c>
      <c r="AZ666" s="2">
        <f t="shared" si="1437"/>
        <v>0</v>
      </c>
      <c r="BA666" s="2">
        <f t="shared" si="1438"/>
        <v>0</v>
      </c>
      <c r="BB666" s="2">
        <f t="shared" si="1438"/>
        <v>0</v>
      </c>
      <c r="BC666" s="2">
        <f t="shared" si="1438"/>
        <v>0</v>
      </c>
      <c r="BD666" s="86">
        <f t="shared" si="1439"/>
        <v>0</v>
      </c>
      <c r="BE666" s="2">
        <f t="shared" si="1439"/>
        <v>0</v>
      </c>
      <c r="BF666" s="2">
        <f t="shared" si="1440"/>
        <v>0</v>
      </c>
      <c r="BG666" s="2">
        <f t="shared" si="1440"/>
        <v>0</v>
      </c>
      <c r="BH666" s="2">
        <f t="shared" si="1440"/>
        <v>0</v>
      </c>
      <c r="BI666" s="90">
        <f t="shared" si="1441"/>
        <v>0</v>
      </c>
      <c r="BJ666" s="2"/>
      <c r="BK666" s="2"/>
      <c r="BL666" s="2"/>
      <c r="BM666" s="2"/>
      <c r="BN666" s="86">
        <f t="shared" si="1443"/>
        <v>0</v>
      </c>
      <c r="BO666" s="2"/>
      <c r="BP666" s="2"/>
      <c r="BQ666" s="2"/>
      <c r="BR666" s="2"/>
      <c r="BS666" s="86">
        <f t="shared" si="1445"/>
        <v>0</v>
      </c>
      <c r="BT666" s="86"/>
      <c r="BU666" s="86"/>
      <c r="BV666" s="86"/>
      <c r="BW666" s="4"/>
    </row>
    <row r="667" spans="1:75" ht="15.75" customHeight="1" x14ac:dyDescent="0.2">
      <c r="A667" s="85" t="str">
        <f t="shared" si="1418"/>
        <v>Acquisitions</v>
      </c>
      <c r="B667" s="2"/>
      <c r="C667" s="86">
        <f t="shared" si="1419"/>
        <v>0</v>
      </c>
      <c r="D667" s="86">
        <f t="shared" si="1419"/>
        <v>0</v>
      </c>
      <c r="E667" s="86">
        <f t="shared" si="1419"/>
        <v>0</v>
      </c>
      <c r="F667" s="86">
        <f t="shared" si="1419"/>
        <v>0</v>
      </c>
      <c r="G667" s="2">
        <f t="shared" si="1419"/>
        <v>0</v>
      </c>
      <c r="H667" s="2">
        <f t="shared" si="1420"/>
        <v>0</v>
      </c>
      <c r="I667" s="2">
        <f t="shared" si="1420"/>
        <v>0</v>
      </c>
      <c r="J667" s="2">
        <f t="shared" si="1420"/>
        <v>0</v>
      </c>
      <c r="K667" s="86">
        <f t="shared" si="1421"/>
        <v>0</v>
      </c>
      <c r="L667" s="2">
        <f t="shared" si="1421"/>
        <v>0</v>
      </c>
      <c r="M667" s="2">
        <f t="shared" si="1422"/>
        <v>0</v>
      </c>
      <c r="N667" s="2">
        <f t="shared" si="1422"/>
        <v>0</v>
      </c>
      <c r="O667" s="2">
        <f t="shared" si="1422"/>
        <v>0</v>
      </c>
      <c r="P667" s="86">
        <f t="shared" si="1423"/>
        <v>0</v>
      </c>
      <c r="Q667" s="2">
        <f t="shared" si="1423"/>
        <v>0</v>
      </c>
      <c r="R667" s="2">
        <f t="shared" si="1424"/>
        <v>0</v>
      </c>
      <c r="S667" s="2">
        <f t="shared" si="1424"/>
        <v>0</v>
      </c>
      <c r="T667" s="2">
        <f t="shared" si="1424"/>
        <v>0</v>
      </c>
      <c r="U667" s="86">
        <f t="shared" si="1425"/>
        <v>0</v>
      </c>
      <c r="V667" s="2">
        <f t="shared" si="1425"/>
        <v>0</v>
      </c>
      <c r="W667" s="2">
        <f t="shared" si="1426"/>
        <v>0</v>
      </c>
      <c r="X667" s="2">
        <f t="shared" si="1426"/>
        <v>0</v>
      </c>
      <c r="Y667" s="2">
        <f t="shared" si="1426"/>
        <v>0</v>
      </c>
      <c r="Z667" s="86">
        <f t="shared" si="1427"/>
        <v>0</v>
      </c>
      <c r="AA667" s="2">
        <f t="shared" si="1427"/>
        <v>0</v>
      </c>
      <c r="AB667" s="2">
        <f t="shared" si="1428"/>
        <v>0</v>
      </c>
      <c r="AC667" s="2">
        <f t="shared" si="1428"/>
        <v>0</v>
      </c>
      <c r="AD667" s="2">
        <f t="shared" si="1428"/>
        <v>0</v>
      </c>
      <c r="AE667" s="86">
        <f t="shared" si="1429"/>
        <v>0</v>
      </c>
      <c r="AF667" s="2">
        <f t="shared" si="1429"/>
        <v>0</v>
      </c>
      <c r="AG667" s="2">
        <f t="shared" si="1430"/>
        <v>0</v>
      </c>
      <c r="AH667" s="2">
        <f t="shared" si="1430"/>
        <v>0</v>
      </c>
      <c r="AI667" s="2">
        <f t="shared" si="1430"/>
        <v>0</v>
      </c>
      <c r="AJ667" s="86">
        <f t="shared" si="1431"/>
        <v>0</v>
      </c>
      <c r="AK667" s="2">
        <f t="shared" si="1431"/>
        <v>0</v>
      </c>
      <c r="AL667" s="2">
        <f t="shared" si="1432"/>
        <v>0</v>
      </c>
      <c r="AM667" s="2">
        <f t="shared" si="1432"/>
        <v>0</v>
      </c>
      <c r="AN667" s="2">
        <f t="shared" si="1432"/>
        <v>-261.69499999999999</v>
      </c>
      <c r="AO667" s="86">
        <f t="shared" si="1433"/>
        <v>-261.69499999999999</v>
      </c>
      <c r="AP667" s="2">
        <f t="shared" si="1433"/>
        <v>0</v>
      </c>
      <c r="AQ667" s="2">
        <f t="shared" si="1434"/>
        <v>0</v>
      </c>
      <c r="AR667" s="2">
        <f t="shared" si="1434"/>
        <v>0</v>
      </c>
      <c r="AS667" s="2">
        <f t="shared" si="1434"/>
        <v>0</v>
      </c>
      <c r="AT667" s="86">
        <f t="shared" si="1435"/>
        <v>0</v>
      </c>
      <c r="AU667" s="2">
        <f t="shared" si="1435"/>
        <v>0</v>
      </c>
      <c r="AV667" s="2">
        <f t="shared" si="1436"/>
        <v>0</v>
      </c>
      <c r="AW667" s="2">
        <f t="shared" si="1436"/>
        <v>0</v>
      </c>
      <c r="AX667" s="2">
        <f t="shared" si="1436"/>
        <v>0</v>
      </c>
      <c r="AY667" s="86">
        <f t="shared" si="1437"/>
        <v>0</v>
      </c>
      <c r="AZ667" s="2">
        <f t="shared" si="1437"/>
        <v>0</v>
      </c>
      <c r="BA667" s="2">
        <f t="shared" si="1438"/>
        <v>0</v>
      </c>
      <c r="BB667" s="2">
        <f t="shared" si="1438"/>
        <v>0</v>
      </c>
      <c r="BC667" s="2">
        <f t="shared" si="1438"/>
        <v>0</v>
      </c>
      <c r="BD667" s="86">
        <f t="shared" si="1439"/>
        <v>0</v>
      </c>
      <c r="BE667" s="2">
        <f t="shared" si="1439"/>
        <v>0</v>
      </c>
      <c r="BF667" s="2">
        <f t="shared" si="1440"/>
        <v>0</v>
      </c>
      <c r="BG667" s="2">
        <f t="shared" si="1440"/>
        <v>0</v>
      </c>
      <c r="BH667" s="2">
        <f t="shared" si="1440"/>
        <v>0</v>
      </c>
      <c r="BI667" s="90">
        <f t="shared" si="1441"/>
        <v>0</v>
      </c>
      <c r="BJ667" s="2">
        <f t="shared" ref="BJ667:BM668" si="1450">BJ501</f>
        <v>0</v>
      </c>
      <c r="BK667" s="2">
        <f t="shared" si="1450"/>
        <v>0</v>
      </c>
      <c r="BL667" s="2">
        <f t="shared" si="1450"/>
        <v>0</v>
      </c>
      <c r="BM667" s="2">
        <f t="shared" si="1450"/>
        <v>0</v>
      </c>
      <c r="BN667" s="86">
        <f t="shared" si="1443"/>
        <v>0</v>
      </c>
      <c r="BO667" s="2">
        <f t="shared" ref="BO667:BR668" si="1451">BO501</f>
        <v>0</v>
      </c>
      <c r="BP667" s="2">
        <f t="shared" si="1451"/>
        <v>0</v>
      </c>
      <c r="BQ667" s="2">
        <f t="shared" si="1451"/>
        <v>0</v>
      </c>
      <c r="BR667" s="2">
        <f t="shared" si="1451"/>
        <v>0</v>
      </c>
      <c r="BS667" s="86">
        <f t="shared" si="1445"/>
        <v>0</v>
      </c>
      <c r="BT667" s="86">
        <f t="shared" ref="BT667:BV668" si="1452">BT501</f>
        <v>0</v>
      </c>
      <c r="BU667" s="86">
        <f t="shared" si="1452"/>
        <v>0</v>
      </c>
      <c r="BV667" s="86">
        <f t="shared" si="1452"/>
        <v>0</v>
      </c>
      <c r="BW667" s="4"/>
    </row>
    <row r="668" spans="1:75" ht="15.75" customHeight="1" x14ac:dyDescent="0.2">
      <c r="A668" s="85" t="str">
        <f t="shared" si="1418"/>
        <v>Divestitures</v>
      </c>
      <c r="B668" s="2"/>
      <c r="C668" s="86">
        <f t="shared" si="1419"/>
        <v>0</v>
      </c>
      <c r="D668" s="86">
        <f t="shared" si="1419"/>
        <v>0</v>
      </c>
      <c r="E668" s="86">
        <f t="shared" si="1419"/>
        <v>0</v>
      </c>
      <c r="F668" s="86">
        <f t="shared" si="1419"/>
        <v>0</v>
      </c>
      <c r="G668" s="2">
        <f t="shared" si="1419"/>
        <v>0</v>
      </c>
      <c r="H668" s="2">
        <f t="shared" si="1420"/>
        <v>0</v>
      </c>
      <c r="I668" s="2">
        <f t="shared" si="1420"/>
        <v>0</v>
      </c>
      <c r="J668" s="2">
        <f t="shared" si="1420"/>
        <v>0</v>
      </c>
      <c r="K668" s="86">
        <f t="shared" si="1421"/>
        <v>0</v>
      </c>
      <c r="L668" s="2">
        <f t="shared" si="1421"/>
        <v>0</v>
      </c>
      <c r="M668" s="2">
        <f t="shared" si="1422"/>
        <v>0</v>
      </c>
      <c r="N668" s="2">
        <f t="shared" si="1422"/>
        <v>0</v>
      </c>
      <c r="O668" s="2">
        <f t="shared" si="1422"/>
        <v>0</v>
      </c>
      <c r="P668" s="86">
        <f t="shared" si="1423"/>
        <v>0</v>
      </c>
      <c r="Q668" s="2">
        <f t="shared" si="1423"/>
        <v>0</v>
      </c>
      <c r="R668" s="2">
        <f t="shared" si="1424"/>
        <v>0</v>
      </c>
      <c r="S668" s="2">
        <f t="shared" si="1424"/>
        <v>0</v>
      </c>
      <c r="T668" s="2">
        <f t="shared" si="1424"/>
        <v>0</v>
      </c>
      <c r="U668" s="86">
        <f t="shared" si="1425"/>
        <v>0</v>
      </c>
      <c r="V668" s="2">
        <f t="shared" si="1425"/>
        <v>0</v>
      </c>
      <c r="W668" s="2">
        <f t="shared" si="1426"/>
        <v>0</v>
      </c>
      <c r="X668" s="2">
        <f t="shared" si="1426"/>
        <v>0</v>
      </c>
      <c r="Y668" s="2">
        <f t="shared" si="1426"/>
        <v>0</v>
      </c>
      <c r="Z668" s="86">
        <f t="shared" si="1427"/>
        <v>0</v>
      </c>
      <c r="AA668" s="2">
        <f t="shared" si="1427"/>
        <v>0</v>
      </c>
      <c r="AB668" s="2">
        <f t="shared" si="1428"/>
        <v>0</v>
      </c>
      <c r="AC668" s="2">
        <f t="shared" si="1428"/>
        <v>0</v>
      </c>
      <c r="AD668" s="2">
        <f t="shared" si="1428"/>
        <v>0</v>
      </c>
      <c r="AE668" s="86">
        <f t="shared" si="1429"/>
        <v>0</v>
      </c>
      <c r="AF668" s="2">
        <f t="shared" si="1429"/>
        <v>0</v>
      </c>
      <c r="AG668" s="2">
        <f t="shared" si="1430"/>
        <v>0</v>
      </c>
      <c r="AH668" s="2">
        <f t="shared" si="1430"/>
        <v>0</v>
      </c>
      <c r="AI668" s="2">
        <f t="shared" si="1430"/>
        <v>0</v>
      </c>
      <c r="AJ668" s="86">
        <f t="shared" si="1431"/>
        <v>0</v>
      </c>
      <c r="AK668" s="2">
        <f t="shared" si="1431"/>
        <v>0</v>
      </c>
      <c r="AL668" s="2">
        <f t="shared" si="1432"/>
        <v>0</v>
      </c>
      <c r="AM668" s="2">
        <f t="shared" si="1432"/>
        <v>0</v>
      </c>
      <c r="AN668" s="2">
        <f t="shared" si="1432"/>
        <v>0</v>
      </c>
      <c r="AO668" s="86">
        <f t="shared" si="1433"/>
        <v>0</v>
      </c>
      <c r="AP668" s="2">
        <f t="shared" si="1433"/>
        <v>0</v>
      </c>
      <c r="AQ668" s="2">
        <f t="shared" si="1434"/>
        <v>0</v>
      </c>
      <c r="AR668" s="2">
        <f t="shared" si="1434"/>
        <v>0</v>
      </c>
      <c r="AS668" s="2">
        <f t="shared" si="1434"/>
        <v>0</v>
      </c>
      <c r="AT668" s="86">
        <f t="shared" si="1435"/>
        <v>0</v>
      </c>
      <c r="AU668" s="2">
        <f t="shared" si="1435"/>
        <v>0</v>
      </c>
      <c r="AV668" s="2">
        <f t="shared" si="1436"/>
        <v>0</v>
      </c>
      <c r="AW668" s="2">
        <f t="shared" si="1436"/>
        <v>0</v>
      </c>
      <c r="AX668" s="2">
        <f t="shared" si="1436"/>
        <v>0</v>
      </c>
      <c r="AY668" s="86">
        <f t="shared" si="1437"/>
        <v>0</v>
      </c>
      <c r="AZ668" s="2">
        <f t="shared" si="1437"/>
        <v>0</v>
      </c>
      <c r="BA668" s="2">
        <f t="shared" si="1438"/>
        <v>0</v>
      </c>
      <c r="BB668" s="2">
        <f t="shared" si="1438"/>
        <v>0</v>
      </c>
      <c r="BC668" s="2">
        <f t="shared" si="1438"/>
        <v>0</v>
      </c>
      <c r="BD668" s="86">
        <f t="shared" si="1439"/>
        <v>0</v>
      </c>
      <c r="BE668" s="2">
        <f t="shared" si="1439"/>
        <v>0</v>
      </c>
      <c r="BF668" s="2">
        <f t="shared" si="1440"/>
        <v>0</v>
      </c>
      <c r="BG668" s="2">
        <f t="shared" si="1440"/>
        <v>0</v>
      </c>
      <c r="BH668" s="2">
        <f t="shared" si="1440"/>
        <v>0</v>
      </c>
      <c r="BI668" s="90">
        <f t="shared" si="1441"/>
        <v>0</v>
      </c>
      <c r="BJ668" s="2">
        <f t="shared" si="1450"/>
        <v>0</v>
      </c>
      <c r="BK668" s="2">
        <f t="shared" si="1450"/>
        <v>0</v>
      </c>
      <c r="BL668" s="2">
        <f t="shared" si="1450"/>
        <v>0</v>
      </c>
      <c r="BM668" s="2">
        <f t="shared" si="1450"/>
        <v>0</v>
      </c>
      <c r="BN668" s="86">
        <f t="shared" si="1443"/>
        <v>0</v>
      </c>
      <c r="BO668" s="2">
        <f t="shared" si="1451"/>
        <v>0</v>
      </c>
      <c r="BP668" s="2">
        <f t="shared" si="1451"/>
        <v>0</v>
      </c>
      <c r="BQ668" s="2">
        <f t="shared" si="1451"/>
        <v>0</v>
      </c>
      <c r="BR668" s="2">
        <f t="shared" si="1451"/>
        <v>0</v>
      </c>
      <c r="BS668" s="86">
        <f t="shared" si="1445"/>
        <v>0</v>
      </c>
      <c r="BT668" s="86">
        <f t="shared" si="1452"/>
        <v>0</v>
      </c>
      <c r="BU668" s="86">
        <f t="shared" si="1452"/>
        <v>0</v>
      </c>
      <c r="BV668" s="86">
        <f t="shared" si="1452"/>
        <v>0</v>
      </c>
      <c r="BW668" s="4"/>
    </row>
    <row r="669" spans="1:75" ht="15.75" customHeight="1" x14ac:dyDescent="0.2">
      <c r="A669" s="85" t="str">
        <f t="shared" si="1418"/>
        <v>Other</v>
      </c>
      <c r="B669" s="2"/>
      <c r="C669" s="86">
        <f t="shared" si="1419"/>
        <v>0</v>
      </c>
      <c r="D669" s="86">
        <f t="shared" si="1419"/>
        <v>0</v>
      </c>
      <c r="E669" s="86">
        <f t="shared" si="1419"/>
        <v>0</v>
      </c>
      <c r="F669" s="86">
        <f t="shared" si="1419"/>
        <v>0</v>
      </c>
      <c r="G669" s="2">
        <f t="shared" si="1419"/>
        <v>0</v>
      </c>
      <c r="H669" s="2">
        <f t="shared" si="1420"/>
        <v>0</v>
      </c>
      <c r="I669" s="2">
        <f t="shared" si="1420"/>
        <v>0</v>
      </c>
      <c r="J669" s="2">
        <f t="shared" si="1420"/>
        <v>0</v>
      </c>
      <c r="K669" s="86">
        <f t="shared" si="1421"/>
        <v>0</v>
      </c>
      <c r="L669" s="2">
        <f t="shared" si="1421"/>
        <v>0</v>
      </c>
      <c r="M669" s="2">
        <f t="shared" si="1422"/>
        <v>0</v>
      </c>
      <c r="N669" s="2">
        <f t="shared" si="1422"/>
        <v>0</v>
      </c>
      <c r="O669" s="2">
        <f t="shared" si="1422"/>
        <v>0</v>
      </c>
      <c r="P669" s="86">
        <f t="shared" si="1423"/>
        <v>0</v>
      </c>
      <c r="Q669" s="2">
        <f t="shared" si="1423"/>
        <v>0</v>
      </c>
      <c r="R669" s="2">
        <f t="shared" si="1424"/>
        <v>0</v>
      </c>
      <c r="S669" s="2">
        <f t="shared" si="1424"/>
        <v>0</v>
      </c>
      <c r="T669" s="2">
        <f t="shared" si="1424"/>
        <v>0</v>
      </c>
      <c r="U669" s="86">
        <f t="shared" si="1425"/>
        <v>0</v>
      </c>
      <c r="V669" s="2">
        <f t="shared" si="1425"/>
        <v>0</v>
      </c>
      <c r="W669" s="2">
        <f t="shared" si="1426"/>
        <v>0</v>
      </c>
      <c r="X669" s="2">
        <f t="shared" si="1426"/>
        <v>0</v>
      </c>
      <c r="Y669" s="2">
        <f t="shared" si="1426"/>
        <v>0</v>
      </c>
      <c r="Z669" s="86">
        <f t="shared" si="1427"/>
        <v>0</v>
      </c>
      <c r="AA669" s="2">
        <f t="shared" si="1427"/>
        <v>0</v>
      </c>
      <c r="AB669" s="2">
        <f t="shared" si="1428"/>
        <v>0</v>
      </c>
      <c r="AC669" s="2">
        <f t="shared" si="1428"/>
        <v>0</v>
      </c>
      <c r="AD669" s="2">
        <f t="shared" si="1428"/>
        <v>0</v>
      </c>
      <c r="AE669" s="86">
        <f t="shared" si="1429"/>
        <v>0</v>
      </c>
      <c r="AF669" s="2">
        <f t="shared" si="1429"/>
        <v>0</v>
      </c>
      <c r="AG669" s="2">
        <f t="shared" si="1430"/>
        <v>0</v>
      </c>
      <c r="AH669" s="2">
        <f t="shared" si="1430"/>
        <v>0</v>
      </c>
      <c r="AI669" s="2">
        <f t="shared" si="1430"/>
        <v>0</v>
      </c>
      <c r="AJ669" s="86">
        <f t="shared" si="1431"/>
        <v>0</v>
      </c>
      <c r="AK669" s="2">
        <f t="shared" si="1431"/>
        <v>0</v>
      </c>
      <c r="AL669" s="2">
        <f t="shared" si="1432"/>
        <v>0</v>
      </c>
      <c r="AM669" s="2">
        <f t="shared" si="1432"/>
        <v>0</v>
      </c>
      <c r="AN669" s="2">
        <f t="shared" si="1432"/>
        <v>0</v>
      </c>
      <c r="AO669" s="86">
        <f t="shared" si="1433"/>
        <v>0</v>
      </c>
      <c r="AP669" s="2">
        <f t="shared" si="1433"/>
        <v>0</v>
      </c>
      <c r="AQ669" s="2">
        <f t="shared" si="1434"/>
        <v>0</v>
      </c>
      <c r="AR669" s="2">
        <f t="shared" si="1434"/>
        <v>0</v>
      </c>
      <c r="AS669" s="2">
        <f t="shared" si="1434"/>
        <v>0</v>
      </c>
      <c r="AT669" s="86">
        <f t="shared" si="1435"/>
        <v>0</v>
      </c>
      <c r="AU669" s="2">
        <f t="shared" si="1435"/>
        <v>-1</v>
      </c>
      <c r="AV669" s="2">
        <f t="shared" si="1436"/>
        <v>0</v>
      </c>
      <c r="AW669" s="2">
        <f t="shared" si="1436"/>
        <v>-0.28299999999999992</v>
      </c>
      <c r="AX669" s="2">
        <f t="shared" si="1436"/>
        <v>0.22199999999999998</v>
      </c>
      <c r="AY669" s="86">
        <f t="shared" si="1437"/>
        <v>-1.0609999999999999</v>
      </c>
      <c r="AZ669" s="2">
        <f t="shared" si="1437"/>
        <v>0.6</v>
      </c>
      <c r="BA669" s="2">
        <f t="shared" si="1438"/>
        <v>4.6000000000000041E-2</v>
      </c>
      <c r="BB669" s="2">
        <f t="shared" si="1438"/>
        <v>-0.16100000000000003</v>
      </c>
      <c r="BC669" s="2">
        <f t="shared" si="1438"/>
        <v>-0.15599999999999997</v>
      </c>
      <c r="BD669" s="86">
        <f t="shared" si="1439"/>
        <v>0.32900000000000001</v>
      </c>
      <c r="BE669" s="2">
        <f t="shared" si="1439"/>
        <v>-1.7999999999999999E-2</v>
      </c>
      <c r="BF669" s="2">
        <f t="shared" si="1440"/>
        <v>-0.13800000000000001</v>
      </c>
      <c r="BG669" s="2">
        <f t="shared" si="1440"/>
        <v>-2.0000000000000018E-3</v>
      </c>
      <c r="BH669" s="2">
        <f t="shared" si="1440"/>
        <v>-0.11600000000000002</v>
      </c>
      <c r="BI669" s="90">
        <f t="shared" si="1441"/>
        <v>-0.27400000000000002</v>
      </c>
      <c r="BJ669" s="2"/>
      <c r="BK669" s="2"/>
      <c r="BL669" s="2"/>
      <c r="BM669" s="2"/>
      <c r="BN669" s="86">
        <f t="shared" si="1443"/>
        <v>0</v>
      </c>
      <c r="BO669" s="2"/>
      <c r="BP669" s="2"/>
      <c r="BQ669" s="2"/>
      <c r="BR669" s="2"/>
      <c r="BS669" s="86">
        <f t="shared" si="1445"/>
        <v>0</v>
      </c>
      <c r="BT669" s="86"/>
      <c r="BU669" s="86"/>
      <c r="BV669" s="86"/>
      <c r="BW669" s="4"/>
    </row>
    <row r="670" spans="1:75" ht="15.75" customHeight="1" x14ac:dyDescent="0.2">
      <c r="A670" s="102" t="str">
        <f t="shared" si="1418"/>
        <v>Net CFI</v>
      </c>
      <c r="B670" s="102"/>
      <c r="C670" s="103">
        <f t="shared" ref="C670:BV670" si="1453">SUM(C661:C669)</f>
        <v>-37.955000000000005</v>
      </c>
      <c r="D670" s="103">
        <f t="shared" si="1453"/>
        <v>-43.667999999999999</v>
      </c>
      <c r="E670" s="103">
        <f t="shared" si="1453"/>
        <v>-77.616</v>
      </c>
      <c r="F670" s="103">
        <f t="shared" si="1453"/>
        <v>-88.153999999999996</v>
      </c>
      <c r="G670" s="106">
        <f t="shared" si="1453"/>
        <v>-15.02</v>
      </c>
      <c r="H670" s="106">
        <f t="shared" si="1453"/>
        <v>-23.308000000000003</v>
      </c>
      <c r="I670" s="106">
        <f t="shared" si="1453"/>
        <v>-29.994999999999997</v>
      </c>
      <c r="J670" s="106">
        <f t="shared" si="1453"/>
        <v>-39.620000000000005</v>
      </c>
      <c r="K670" s="103">
        <f t="shared" si="1453"/>
        <v>-107.943</v>
      </c>
      <c r="L670" s="106">
        <f t="shared" si="1453"/>
        <v>-30.439</v>
      </c>
      <c r="M670" s="106">
        <f t="shared" si="1453"/>
        <v>-28.016999999999999</v>
      </c>
      <c r="N670" s="106">
        <f t="shared" si="1453"/>
        <v>-30.886000000000003</v>
      </c>
      <c r="O670" s="106">
        <f t="shared" si="1453"/>
        <v>-26.518999999999995</v>
      </c>
      <c r="P670" s="103">
        <f t="shared" si="1453"/>
        <v>-115.861</v>
      </c>
      <c r="Q670" s="106">
        <f t="shared" si="1453"/>
        <v>-24.698</v>
      </c>
      <c r="R670" s="106">
        <f t="shared" si="1453"/>
        <v>-35.723000000000006</v>
      </c>
      <c r="S670" s="106">
        <f t="shared" si="1453"/>
        <v>-49.448000000000008</v>
      </c>
      <c r="T670" s="106">
        <f t="shared" si="1453"/>
        <v>-45.832000000000001</v>
      </c>
      <c r="U670" s="103">
        <f t="shared" si="1453"/>
        <v>-155.70099999999999</v>
      </c>
      <c r="V670" s="106">
        <f t="shared" si="1453"/>
        <v>-23.061</v>
      </c>
      <c r="W670" s="106">
        <f t="shared" si="1453"/>
        <v>-18.070999999999998</v>
      </c>
      <c r="X670" s="106">
        <f t="shared" si="1453"/>
        <v>-30.769000000000002</v>
      </c>
      <c r="Y670" s="106">
        <f t="shared" si="1453"/>
        <v>-87.56</v>
      </c>
      <c r="Z670" s="103">
        <f t="shared" si="1453"/>
        <v>-159.46100000000001</v>
      </c>
      <c r="AA670" s="106">
        <f t="shared" si="1453"/>
        <v>-19.613</v>
      </c>
      <c r="AB670" s="106">
        <f t="shared" si="1453"/>
        <v>-33.704999999999998</v>
      </c>
      <c r="AC670" s="106">
        <f t="shared" si="1453"/>
        <v>-30.002000000000002</v>
      </c>
      <c r="AD670" s="106">
        <f t="shared" si="1453"/>
        <v>-57.112999999999992</v>
      </c>
      <c r="AE670" s="103">
        <f t="shared" si="1453"/>
        <v>-140.43299999999999</v>
      </c>
      <c r="AF670" s="106">
        <f t="shared" si="1453"/>
        <v>-30.994999999999997</v>
      </c>
      <c r="AG670" s="106">
        <f t="shared" si="1453"/>
        <v>-35.07</v>
      </c>
      <c r="AH670" s="106">
        <f t="shared" si="1453"/>
        <v>-39.787999999999997</v>
      </c>
      <c r="AI670" s="106">
        <f t="shared" si="1453"/>
        <v>-24.536000000000012</v>
      </c>
      <c r="AJ670" s="103">
        <f t="shared" si="1453"/>
        <v>-130.38900000000001</v>
      </c>
      <c r="AK670" s="106">
        <f t="shared" si="1453"/>
        <v>-27.447000000000003</v>
      </c>
      <c r="AL670" s="106">
        <f t="shared" si="1453"/>
        <v>-23.121999999999996</v>
      </c>
      <c r="AM670" s="106">
        <f t="shared" si="1453"/>
        <v>-21.986000000000001</v>
      </c>
      <c r="AN670" s="106">
        <f t="shared" si="1453"/>
        <v>-290.505</v>
      </c>
      <c r="AO670" s="103">
        <f t="shared" si="1453"/>
        <v>-363.06</v>
      </c>
      <c r="AP670" s="106">
        <f t="shared" si="1453"/>
        <v>-15.903</v>
      </c>
      <c r="AQ670" s="106">
        <f t="shared" si="1453"/>
        <v>-13.747999999999999</v>
      </c>
      <c r="AR670" s="106">
        <f t="shared" si="1453"/>
        <v>-8.9840000000000035</v>
      </c>
      <c r="AS670" s="106">
        <f t="shared" si="1453"/>
        <v>-12.278999999999998</v>
      </c>
      <c r="AT670" s="103">
        <f t="shared" si="1453"/>
        <v>-50.914000000000001</v>
      </c>
      <c r="AU670" s="106">
        <f t="shared" si="1453"/>
        <v>-8.7070000000000007</v>
      </c>
      <c r="AV670" s="106">
        <f t="shared" si="1453"/>
        <v>-23.507000000000001</v>
      </c>
      <c r="AW670" s="106">
        <f t="shared" si="1453"/>
        <v>-18.709000000000003</v>
      </c>
      <c r="AX670" s="106">
        <f t="shared" si="1453"/>
        <v>-17.686999999999994</v>
      </c>
      <c r="AY670" s="103">
        <f t="shared" si="1453"/>
        <v>-68.609999999999985</v>
      </c>
      <c r="AZ670" s="106">
        <f t="shared" si="1453"/>
        <v>-28.631999999999998</v>
      </c>
      <c r="BA670" s="106">
        <f t="shared" si="1453"/>
        <v>-17.385999999999999</v>
      </c>
      <c r="BB670" s="106">
        <f t="shared" si="1453"/>
        <v>-32.039000000000001</v>
      </c>
      <c r="BC670" s="106">
        <f t="shared" si="1453"/>
        <v>-34.758000000000003</v>
      </c>
      <c r="BD670" s="103">
        <f t="shared" si="1453"/>
        <v>-112.81500000000001</v>
      </c>
      <c r="BE670" s="106">
        <f t="shared" si="1453"/>
        <v>-38.162000000000006</v>
      </c>
      <c r="BF670" s="106">
        <f t="shared" si="1453"/>
        <v>-25.045999999999996</v>
      </c>
      <c r="BG670" s="106">
        <f t="shared" si="1453"/>
        <v>-37.440000000000005</v>
      </c>
      <c r="BH670" s="106">
        <f t="shared" si="1453"/>
        <v>-52.848999999999997</v>
      </c>
      <c r="BI670" s="115">
        <f t="shared" si="1453"/>
        <v>-153.49699999999999</v>
      </c>
      <c r="BJ670" s="106">
        <f t="shared" si="1453"/>
        <v>-45</v>
      </c>
      <c r="BK670" s="106">
        <f t="shared" si="1453"/>
        <v>-47.5</v>
      </c>
      <c r="BL670" s="106">
        <f t="shared" si="1453"/>
        <v>-47.5</v>
      </c>
      <c r="BM670" s="106">
        <f t="shared" si="1453"/>
        <v>-47.5</v>
      </c>
      <c r="BN670" s="103">
        <f t="shared" si="1453"/>
        <v>-187.5</v>
      </c>
      <c r="BO670" s="106">
        <f t="shared" si="1453"/>
        <v>-45</v>
      </c>
      <c r="BP670" s="106">
        <f t="shared" si="1453"/>
        <v>-47.5</v>
      </c>
      <c r="BQ670" s="106">
        <f t="shared" si="1453"/>
        <v>-47.5</v>
      </c>
      <c r="BR670" s="106">
        <f t="shared" si="1453"/>
        <v>-47.5</v>
      </c>
      <c r="BS670" s="103">
        <f t="shared" si="1453"/>
        <v>-187.5</v>
      </c>
      <c r="BT670" s="103">
        <f t="shared" si="1453"/>
        <v>-165</v>
      </c>
      <c r="BU670" s="103">
        <f t="shared" si="1453"/>
        <v>-165</v>
      </c>
      <c r="BV670" s="103">
        <f t="shared" si="1453"/>
        <v>-165</v>
      </c>
      <c r="BW670" s="83"/>
    </row>
    <row r="671" spans="1:75" ht="15.75" customHeight="1" x14ac:dyDescent="0.2">
      <c r="A671" s="108"/>
      <c r="B671" s="108"/>
      <c r="C671" s="109"/>
      <c r="D671" s="109"/>
      <c r="E671" s="109"/>
      <c r="F671" s="109"/>
      <c r="G671" s="110"/>
      <c r="H671" s="110"/>
      <c r="I671" s="110"/>
      <c r="J671" s="110"/>
      <c r="K671" s="109"/>
      <c r="L671" s="110"/>
      <c r="M671" s="110"/>
      <c r="N671" s="110"/>
      <c r="O671" s="110"/>
      <c r="P671" s="109"/>
      <c r="Q671" s="110"/>
      <c r="R671" s="110"/>
      <c r="S671" s="110"/>
      <c r="T671" s="110"/>
      <c r="U671" s="109"/>
      <c r="V671" s="110"/>
      <c r="W671" s="110"/>
      <c r="X671" s="110"/>
      <c r="Y671" s="110"/>
      <c r="Z671" s="109"/>
      <c r="AA671" s="110"/>
      <c r="AB671" s="110"/>
      <c r="AC671" s="110"/>
      <c r="AD671" s="110"/>
      <c r="AE671" s="109"/>
      <c r="AF671" s="110"/>
      <c r="AG671" s="110"/>
      <c r="AH671" s="110"/>
      <c r="AI671" s="110"/>
      <c r="AJ671" s="109"/>
      <c r="AK671" s="110"/>
      <c r="AL671" s="110"/>
      <c r="AM671" s="110"/>
      <c r="AN671" s="110"/>
      <c r="AO671" s="109"/>
      <c r="AP671" s="110"/>
      <c r="AQ671" s="110"/>
      <c r="AR671" s="110"/>
      <c r="AS671" s="110"/>
      <c r="AT671" s="109"/>
      <c r="AU671" s="110"/>
      <c r="AV671" s="110"/>
      <c r="AW671" s="110"/>
      <c r="AX671" s="110"/>
      <c r="AY671" s="109"/>
      <c r="AZ671" s="110"/>
      <c r="BA671" s="110"/>
      <c r="BB671" s="110"/>
      <c r="BC671" s="110"/>
      <c r="BD671" s="109"/>
      <c r="BE671" s="110"/>
      <c r="BF671" s="110"/>
      <c r="BG671" s="110"/>
      <c r="BH671" s="110"/>
      <c r="BI671" s="107"/>
      <c r="BJ671" s="110"/>
      <c r="BK671" s="110"/>
      <c r="BL671" s="110"/>
      <c r="BM671" s="110"/>
      <c r="BN671" s="109"/>
      <c r="BO671" s="110"/>
      <c r="BP671" s="110"/>
      <c r="BQ671" s="110"/>
      <c r="BR671" s="110"/>
      <c r="BS671" s="109"/>
      <c r="BT671" s="109"/>
      <c r="BU671" s="109"/>
      <c r="BV671" s="109"/>
      <c r="BW671" s="83"/>
    </row>
    <row r="672" spans="1:75" ht="15.75" customHeight="1" x14ac:dyDescent="0.2">
      <c r="A672" s="108" t="str">
        <f t="shared" ref="A672:A693" si="1454">A601</f>
        <v>CFF</v>
      </c>
      <c r="B672" s="108"/>
      <c r="C672" s="109"/>
      <c r="D672" s="109"/>
      <c r="E672" s="109"/>
      <c r="F672" s="109"/>
      <c r="G672" s="110"/>
      <c r="H672" s="110"/>
      <c r="I672" s="110"/>
      <c r="J672" s="110"/>
      <c r="K672" s="109"/>
      <c r="L672" s="110"/>
      <c r="M672" s="110"/>
      <c r="N672" s="110"/>
      <c r="O672" s="110"/>
      <c r="P672" s="109"/>
      <c r="Q672" s="110"/>
      <c r="R672" s="110"/>
      <c r="S672" s="110"/>
      <c r="T672" s="110"/>
      <c r="U672" s="109"/>
      <c r="V672" s="110"/>
      <c r="W672" s="110"/>
      <c r="X672" s="110"/>
      <c r="Y672" s="110"/>
      <c r="Z672" s="109"/>
      <c r="AA672" s="110"/>
      <c r="AB672" s="110"/>
      <c r="AC672" s="110"/>
      <c r="AD672" s="110"/>
      <c r="AE672" s="109"/>
      <c r="AF672" s="110"/>
      <c r="AG672" s="110"/>
      <c r="AH672" s="110"/>
      <c r="AI672" s="110"/>
      <c r="AJ672" s="109"/>
      <c r="AK672" s="110"/>
      <c r="AL672" s="110"/>
      <c r="AM672" s="110"/>
      <c r="AN672" s="110"/>
      <c r="AO672" s="109"/>
      <c r="AP672" s="110"/>
      <c r="AQ672" s="110"/>
      <c r="AR672" s="110"/>
      <c r="AS672" s="110"/>
      <c r="AT672" s="109"/>
      <c r="AU672" s="110"/>
      <c r="AV672" s="110"/>
      <c r="AW672" s="110"/>
      <c r="AX672" s="110"/>
      <c r="AY672" s="109"/>
      <c r="AZ672" s="110"/>
      <c r="BA672" s="110"/>
      <c r="BB672" s="110"/>
      <c r="BC672" s="110"/>
      <c r="BD672" s="109"/>
      <c r="BE672" s="110"/>
      <c r="BF672" s="110"/>
      <c r="BG672" s="110"/>
      <c r="BH672" s="110"/>
      <c r="BI672" s="107"/>
      <c r="BJ672" s="110"/>
      <c r="BK672" s="110"/>
      <c r="BL672" s="110"/>
      <c r="BM672" s="110"/>
      <c r="BN672" s="109"/>
      <c r="BO672" s="110"/>
      <c r="BP672" s="110"/>
      <c r="BQ672" s="110"/>
      <c r="BR672" s="110"/>
      <c r="BS672" s="109"/>
      <c r="BT672" s="109"/>
      <c r="BU672" s="109"/>
      <c r="BV672" s="109"/>
      <c r="BW672" s="83"/>
    </row>
    <row r="673" spans="1:75" ht="15.75" customHeight="1" x14ac:dyDescent="0.2">
      <c r="A673" s="85" t="str">
        <f t="shared" si="1454"/>
        <v>Acquisition-related deferred consideration</v>
      </c>
      <c r="B673" s="2"/>
      <c r="C673" s="86">
        <f t="shared" ref="C673:G688" si="1455">C602</f>
        <v>0</v>
      </c>
      <c r="D673" s="86">
        <f t="shared" si="1455"/>
        <v>0</v>
      </c>
      <c r="E673" s="86">
        <f t="shared" si="1455"/>
        <v>0</v>
      </c>
      <c r="F673" s="86">
        <f t="shared" si="1455"/>
        <v>0</v>
      </c>
      <c r="G673" s="2">
        <f t="shared" si="1455"/>
        <v>0</v>
      </c>
      <c r="H673" s="2">
        <f t="shared" ref="H673:J688" si="1456">H602-G602</f>
        <v>0</v>
      </c>
      <c r="I673" s="2">
        <f t="shared" si="1456"/>
        <v>0</v>
      </c>
      <c r="J673" s="2">
        <f t="shared" si="1456"/>
        <v>0</v>
      </c>
      <c r="K673" s="86">
        <f t="shared" ref="K673:L688" si="1457">K602</f>
        <v>0</v>
      </c>
      <c r="L673" s="2">
        <f t="shared" si="1457"/>
        <v>0</v>
      </c>
      <c r="M673" s="2">
        <f t="shared" ref="M673:O688" si="1458">M602-L602</f>
        <v>0</v>
      </c>
      <c r="N673" s="2">
        <f t="shared" si="1458"/>
        <v>0</v>
      </c>
      <c r="O673" s="2">
        <f t="shared" si="1458"/>
        <v>0</v>
      </c>
      <c r="P673" s="86">
        <f t="shared" ref="P673:Q688" si="1459">P602</f>
        <v>0</v>
      </c>
      <c r="Q673" s="2">
        <f t="shared" si="1459"/>
        <v>0</v>
      </c>
      <c r="R673" s="2">
        <f t="shared" ref="R673:T688" si="1460">R602-Q602</f>
        <v>0</v>
      </c>
      <c r="S673" s="2">
        <f t="shared" si="1460"/>
        <v>0</v>
      </c>
      <c r="T673" s="2">
        <f t="shared" si="1460"/>
        <v>0</v>
      </c>
      <c r="U673" s="86">
        <f t="shared" ref="U673:V688" si="1461">U602</f>
        <v>0</v>
      </c>
      <c r="V673" s="2">
        <f t="shared" si="1461"/>
        <v>0</v>
      </c>
      <c r="W673" s="2">
        <f t="shared" ref="W673:Y688" si="1462">W602-V602</f>
        <v>0</v>
      </c>
      <c r="X673" s="2">
        <f t="shared" si="1462"/>
        <v>0</v>
      </c>
      <c r="Y673" s="2">
        <f t="shared" si="1462"/>
        <v>0</v>
      </c>
      <c r="Z673" s="86">
        <f t="shared" ref="Z673:AA688" si="1463">Z602</f>
        <v>0</v>
      </c>
      <c r="AA673" s="2">
        <f t="shared" si="1463"/>
        <v>0</v>
      </c>
      <c r="AB673" s="2">
        <f t="shared" ref="AB673:AD688" si="1464">AB602-AA602</f>
        <v>0</v>
      </c>
      <c r="AC673" s="2">
        <f t="shared" si="1464"/>
        <v>0</v>
      </c>
      <c r="AD673" s="2">
        <f t="shared" si="1464"/>
        <v>0</v>
      </c>
      <c r="AE673" s="86">
        <f t="shared" ref="AE673:AF688" si="1465">AE602</f>
        <v>0</v>
      </c>
      <c r="AF673" s="2">
        <f t="shared" si="1465"/>
        <v>0</v>
      </c>
      <c r="AG673" s="2">
        <f t="shared" ref="AG673:AI688" si="1466">AG602-AF602</f>
        <v>0</v>
      </c>
      <c r="AH673" s="2">
        <f t="shared" si="1466"/>
        <v>0</v>
      </c>
      <c r="AI673" s="2">
        <f t="shared" si="1466"/>
        <v>0</v>
      </c>
      <c r="AJ673" s="86">
        <f t="shared" ref="AJ673:AK688" si="1467">AJ602</f>
        <v>0</v>
      </c>
      <c r="AK673" s="2">
        <f t="shared" si="1467"/>
        <v>0</v>
      </c>
      <c r="AL673" s="2">
        <f t="shared" ref="AL673:AN688" si="1468">AL602-AK602</f>
        <v>0</v>
      </c>
      <c r="AM673" s="2">
        <f t="shared" si="1468"/>
        <v>0</v>
      </c>
      <c r="AN673" s="2">
        <f t="shared" si="1468"/>
        <v>0</v>
      </c>
      <c r="AO673" s="86">
        <f t="shared" ref="AO673:AP688" si="1469">AO602</f>
        <v>0</v>
      </c>
      <c r="AP673" s="2">
        <f t="shared" si="1469"/>
        <v>0</v>
      </c>
      <c r="AQ673" s="2">
        <f t="shared" ref="AQ673:AS688" si="1470">AQ602-AP602</f>
        <v>0</v>
      </c>
      <c r="AR673" s="2">
        <f t="shared" si="1470"/>
        <v>0</v>
      </c>
      <c r="AS673" s="2">
        <f t="shared" si="1470"/>
        <v>-17.25</v>
      </c>
      <c r="AT673" s="86">
        <f t="shared" ref="AT673:AU688" si="1471">AT602</f>
        <v>-17.25</v>
      </c>
      <c r="AU673" s="2">
        <f t="shared" si="1471"/>
        <v>0</v>
      </c>
      <c r="AV673" s="2">
        <f t="shared" ref="AV673:AX688" si="1472">AV602-AU602</f>
        <v>0</v>
      </c>
      <c r="AW673" s="2">
        <f t="shared" si="1472"/>
        <v>0</v>
      </c>
      <c r="AX673" s="2">
        <f t="shared" si="1472"/>
        <v>-17</v>
      </c>
      <c r="AY673" s="86">
        <f t="shared" ref="AY673:AZ688" si="1473">AY602</f>
        <v>-17</v>
      </c>
      <c r="AZ673" s="2">
        <f t="shared" si="1473"/>
        <v>-7.1870000000000003</v>
      </c>
      <c r="BA673" s="2">
        <f t="shared" ref="BA673:BC688" si="1474">BA602-AZ602</f>
        <v>0</v>
      </c>
      <c r="BB673" s="2">
        <f t="shared" si="1474"/>
        <v>0</v>
      </c>
      <c r="BC673" s="2">
        <f t="shared" si="1474"/>
        <v>-11.128999999999998</v>
      </c>
      <c r="BD673" s="86">
        <f t="shared" ref="BD673:BE688" si="1475">BD602</f>
        <v>-18.315999999999999</v>
      </c>
      <c r="BE673" s="2">
        <f t="shared" si="1475"/>
        <v>0</v>
      </c>
      <c r="BF673" s="2">
        <f t="shared" ref="BF673:BH688" si="1476">BF602-BE602</f>
        <v>-12.994</v>
      </c>
      <c r="BG673" s="2">
        <f t="shared" si="1476"/>
        <v>-11.248999999999999</v>
      </c>
      <c r="BH673" s="2">
        <f t="shared" si="1476"/>
        <v>0</v>
      </c>
      <c r="BI673" s="90">
        <f t="shared" ref="BI673:BI692" si="1477">BI602</f>
        <v>-24.242999999999999</v>
      </c>
      <c r="BJ673" s="2"/>
      <c r="BK673" s="2"/>
      <c r="BL673" s="2"/>
      <c r="BM673" s="2"/>
      <c r="BN673" s="86">
        <f t="shared" ref="BN673:BN692" si="1478">SUM(BJ673,BK673,BL673,BM673)</f>
        <v>0</v>
      </c>
      <c r="BO673" s="2"/>
      <c r="BP673" s="2"/>
      <c r="BQ673" s="2"/>
      <c r="BR673" s="2"/>
      <c r="BS673" s="86">
        <f t="shared" ref="BS673:BS692" si="1479">SUM(BO673,BP673,BQ673,BR673)</f>
        <v>0</v>
      </c>
      <c r="BT673" s="86"/>
      <c r="BU673" s="86"/>
      <c r="BV673" s="86"/>
      <c r="BW673" s="4"/>
    </row>
    <row r="674" spans="1:75" ht="15.75" customHeight="1" x14ac:dyDescent="0.2">
      <c r="A674" s="85" t="str">
        <f t="shared" si="1454"/>
        <v>Deemed landlord financing proceeds</v>
      </c>
      <c r="B674" s="2"/>
      <c r="C674" s="86">
        <f t="shared" si="1455"/>
        <v>6.3540000000000001</v>
      </c>
      <c r="D674" s="86">
        <f t="shared" si="1455"/>
        <v>4.1980000000000004</v>
      </c>
      <c r="E674" s="86">
        <f t="shared" si="1455"/>
        <v>5.07</v>
      </c>
      <c r="F674" s="86">
        <f t="shared" si="1455"/>
        <v>2.0979999999999999</v>
      </c>
      <c r="G674" s="2">
        <f t="shared" si="1455"/>
        <v>0</v>
      </c>
      <c r="H674" s="2">
        <f t="shared" si="1456"/>
        <v>2.9470000000000001</v>
      </c>
      <c r="I674" s="2">
        <f t="shared" si="1456"/>
        <v>3.0119999999999996</v>
      </c>
      <c r="J674" s="2">
        <f t="shared" si="1456"/>
        <v>7.713000000000001</v>
      </c>
      <c r="K674" s="86">
        <f t="shared" si="1457"/>
        <v>13.672000000000001</v>
      </c>
      <c r="L674" s="2">
        <f t="shared" si="1457"/>
        <v>0</v>
      </c>
      <c r="M674" s="2">
        <f t="shared" si="1458"/>
        <v>5.1050000000000004</v>
      </c>
      <c r="N674" s="2">
        <f t="shared" si="1458"/>
        <v>4.1519999999999992</v>
      </c>
      <c r="O674" s="2">
        <f t="shared" si="1458"/>
        <v>4.886000000000001</v>
      </c>
      <c r="P674" s="86">
        <f t="shared" si="1459"/>
        <v>14.143000000000001</v>
      </c>
      <c r="Q674" s="2">
        <f t="shared" si="1459"/>
        <v>0</v>
      </c>
      <c r="R674" s="2">
        <f t="shared" si="1460"/>
        <v>0</v>
      </c>
      <c r="S674" s="2">
        <f t="shared" si="1460"/>
        <v>3.774</v>
      </c>
      <c r="T674" s="2">
        <f t="shared" si="1460"/>
        <v>10.492000000000001</v>
      </c>
      <c r="U674" s="86">
        <f t="shared" si="1461"/>
        <v>14.266</v>
      </c>
      <c r="V674" s="2">
        <f t="shared" si="1461"/>
        <v>0</v>
      </c>
      <c r="W674" s="2">
        <f t="shared" si="1462"/>
        <v>2.673</v>
      </c>
      <c r="X674" s="2">
        <f t="shared" si="1462"/>
        <v>0</v>
      </c>
      <c r="Y674" s="2">
        <f t="shared" si="1462"/>
        <v>14.572999999999999</v>
      </c>
      <c r="Z674" s="86">
        <f t="shared" si="1463"/>
        <v>17.245999999999999</v>
      </c>
      <c r="AA674" s="2">
        <f t="shared" si="1463"/>
        <v>0</v>
      </c>
      <c r="AB674" s="2">
        <f t="shared" si="1464"/>
        <v>0</v>
      </c>
      <c r="AC674" s="2">
        <f t="shared" si="1464"/>
        <v>3.2160000000000002</v>
      </c>
      <c r="AD674" s="2">
        <f t="shared" si="1464"/>
        <v>8.911999999999999</v>
      </c>
      <c r="AE674" s="86">
        <f t="shared" si="1465"/>
        <v>12.128</v>
      </c>
      <c r="AF674" s="2">
        <f t="shared" si="1465"/>
        <v>3.61</v>
      </c>
      <c r="AG674" s="2">
        <f t="shared" si="1466"/>
        <v>2.0999999999999908E-2</v>
      </c>
      <c r="AH674" s="2">
        <f t="shared" si="1466"/>
        <v>15.524999999999999</v>
      </c>
      <c r="AI674" s="2">
        <f t="shared" si="1466"/>
        <v>2.6320000000000014</v>
      </c>
      <c r="AJ674" s="86">
        <f t="shared" si="1467"/>
        <v>21.788</v>
      </c>
      <c r="AK674" s="2">
        <f t="shared" si="1467"/>
        <v>0</v>
      </c>
      <c r="AL674" s="2">
        <f t="shared" si="1468"/>
        <v>0</v>
      </c>
      <c r="AM674" s="2">
        <f t="shared" si="1468"/>
        <v>0</v>
      </c>
      <c r="AN674" s="2">
        <f t="shared" si="1468"/>
        <v>0</v>
      </c>
      <c r="AO674" s="86">
        <f t="shared" si="1469"/>
        <v>0</v>
      </c>
      <c r="AP674" s="2">
        <f t="shared" si="1469"/>
        <v>0</v>
      </c>
      <c r="AQ674" s="2">
        <f t="shared" si="1470"/>
        <v>0</v>
      </c>
      <c r="AR674" s="2">
        <f t="shared" si="1470"/>
        <v>0</v>
      </c>
      <c r="AS674" s="2">
        <f t="shared" si="1470"/>
        <v>0</v>
      </c>
      <c r="AT674" s="86">
        <f t="shared" si="1471"/>
        <v>0</v>
      </c>
      <c r="AU674" s="2">
        <f t="shared" si="1471"/>
        <v>0</v>
      </c>
      <c r="AV674" s="2">
        <f t="shared" si="1472"/>
        <v>0</v>
      </c>
      <c r="AW674" s="2">
        <f t="shared" si="1472"/>
        <v>0</v>
      </c>
      <c r="AX674" s="2">
        <f t="shared" si="1472"/>
        <v>0</v>
      </c>
      <c r="AY674" s="86">
        <f t="shared" si="1473"/>
        <v>0</v>
      </c>
      <c r="AZ674" s="2">
        <f t="shared" si="1473"/>
        <v>0</v>
      </c>
      <c r="BA674" s="2">
        <f t="shared" si="1474"/>
        <v>0</v>
      </c>
      <c r="BB674" s="2">
        <f t="shared" si="1474"/>
        <v>0</v>
      </c>
      <c r="BC674" s="2">
        <f t="shared" si="1474"/>
        <v>0</v>
      </c>
      <c r="BD674" s="86">
        <f t="shared" si="1475"/>
        <v>0</v>
      </c>
      <c r="BE674" s="2">
        <f t="shared" si="1475"/>
        <v>0</v>
      </c>
      <c r="BF674" s="2">
        <f t="shared" si="1476"/>
        <v>0</v>
      </c>
      <c r="BG674" s="2">
        <f t="shared" si="1476"/>
        <v>0</v>
      </c>
      <c r="BH674" s="2">
        <f t="shared" si="1476"/>
        <v>0</v>
      </c>
      <c r="BI674" s="90">
        <f t="shared" si="1477"/>
        <v>0</v>
      </c>
      <c r="BJ674" s="2"/>
      <c r="BK674" s="2"/>
      <c r="BL674" s="2"/>
      <c r="BM674" s="2"/>
      <c r="BN674" s="86">
        <f t="shared" si="1478"/>
        <v>0</v>
      </c>
      <c r="BO674" s="2"/>
      <c r="BP674" s="2"/>
      <c r="BQ674" s="2"/>
      <c r="BR674" s="2"/>
      <c r="BS674" s="86">
        <f t="shared" si="1479"/>
        <v>0</v>
      </c>
      <c r="BT674" s="86"/>
      <c r="BU674" s="86"/>
      <c r="BV674" s="86"/>
      <c r="BW674" s="4"/>
    </row>
    <row r="675" spans="1:75" ht="15.75" customHeight="1" x14ac:dyDescent="0.2">
      <c r="A675" s="85" t="str">
        <f t="shared" si="1454"/>
        <v>Deemed landlord financing payments</v>
      </c>
      <c r="B675" s="2"/>
      <c r="C675" s="86">
        <f t="shared" si="1455"/>
        <v>-1.4359999999999999</v>
      </c>
      <c r="D675" s="86">
        <f t="shared" si="1455"/>
        <v>-1.5289999999999999</v>
      </c>
      <c r="E675" s="86">
        <f t="shared" si="1455"/>
        <v>-1.6870000000000001</v>
      </c>
      <c r="F675" s="86">
        <f t="shared" si="1455"/>
        <v>-1.887</v>
      </c>
      <c r="G675" s="2">
        <f t="shared" si="1455"/>
        <v>-0.501</v>
      </c>
      <c r="H675" s="2">
        <f t="shared" si="1456"/>
        <v>-0.5079999999999999</v>
      </c>
      <c r="I675" s="2">
        <f t="shared" si="1456"/>
        <v>-0.54800000000000004</v>
      </c>
      <c r="J675" s="2">
        <f t="shared" si="1456"/>
        <v>-0.58599999999999985</v>
      </c>
      <c r="K675" s="86">
        <f t="shared" si="1457"/>
        <v>-2.1429999999999998</v>
      </c>
      <c r="L675" s="2">
        <f t="shared" si="1457"/>
        <v>-0.61399999999999999</v>
      </c>
      <c r="M675" s="2">
        <f t="shared" si="1458"/>
        <v>-0.63200000000000001</v>
      </c>
      <c r="N675" s="2">
        <f t="shared" si="1458"/>
        <v>-0.68799999999999994</v>
      </c>
      <c r="O675" s="2">
        <f t="shared" si="1458"/>
        <v>-0.71599999999999997</v>
      </c>
      <c r="P675" s="86">
        <f t="shared" si="1459"/>
        <v>-2.65</v>
      </c>
      <c r="Q675" s="2">
        <f t="shared" si="1459"/>
        <v>-0.74299999999999999</v>
      </c>
      <c r="R675" s="2">
        <f t="shared" si="1460"/>
        <v>-0.75400000000000011</v>
      </c>
      <c r="S675" s="2">
        <f t="shared" si="1460"/>
        <v>-0.78099999999999992</v>
      </c>
      <c r="T675" s="2">
        <f t="shared" si="1460"/>
        <v>-0.83999999999999986</v>
      </c>
      <c r="U675" s="86">
        <f t="shared" si="1461"/>
        <v>-3.1179999999999999</v>
      </c>
      <c r="V675" s="2">
        <f t="shared" si="1461"/>
        <v>-0.873</v>
      </c>
      <c r="W675" s="2">
        <f t="shared" si="1462"/>
        <v>-0.90700000000000003</v>
      </c>
      <c r="X675" s="2">
        <f t="shared" si="1462"/>
        <v>-0.92500000000000004</v>
      </c>
      <c r="Y675" s="2">
        <f t="shared" si="1462"/>
        <v>-1.016</v>
      </c>
      <c r="Z675" s="86">
        <f t="shared" si="1463"/>
        <v>-3.7210000000000001</v>
      </c>
      <c r="AA675" s="2">
        <f t="shared" si="1463"/>
        <v>-1.056</v>
      </c>
      <c r="AB675" s="2">
        <f t="shared" si="1464"/>
        <v>-1.0680000000000001</v>
      </c>
      <c r="AC675" s="2">
        <f t="shared" si="1464"/>
        <v>-1.0899999999999999</v>
      </c>
      <c r="AD675" s="2">
        <f t="shared" si="1464"/>
        <v>-1.177</v>
      </c>
      <c r="AE675" s="86">
        <f t="shared" si="1465"/>
        <v>-4.391</v>
      </c>
      <c r="AF675" s="2">
        <f t="shared" si="1465"/>
        <v>-1.2509999999999999</v>
      </c>
      <c r="AG675" s="2">
        <f t="shared" si="1466"/>
        <v>-1.258</v>
      </c>
      <c r="AH675" s="2">
        <f t="shared" si="1466"/>
        <v>-1.29</v>
      </c>
      <c r="AI675" s="2">
        <f t="shared" si="1466"/>
        <v>-1.3290000000000002</v>
      </c>
      <c r="AJ675" s="86">
        <f t="shared" si="1467"/>
        <v>-5.1280000000000001</v>
      </c>
      <c r="AK675" s="2">
        <f t="shared" si="1467"/>
        <v>0</v>
      </c>
      <c r="AL675" s="2">
        <f t="shared" si="1468"/>
        <v>0</v>
      </c>
      <c r="AM675" s="2">
        <f t="shared" si="1468"/>
        <v>0</v>
      </c>
      <c r="AN675" s="2">
        <f t="shared" si="1468"/>
        <v>0</v>
      </c>
      <c r="AO675" s="86">
        <f t="shared" si="1469"/>
        <v>0</v>
      </c>
      <c r="AP675" s="2">
        <f t="shared" si="1469"/>
        <v>0</v>
      </c>
      <c r="AQ675" s="2">
        <f t="shared" si="1470"/>
        <v>0</v>
      </c>
      <c r="AR675" s="2">
        <f t="shared" si="1470"/>
        <v>0</v>
      </c>
      <c r="AS675" s="2">
        <f t="shared" si="1470"/>
        <v>0</v>
      </c>
      <c r="AT675" s="86">
        <f t="shared" si="1471"/>
        <v>0</v>
      </c>
      <c r="AU675" s="2">
        <f t="shared" si="1471"/>
        <v>0</v>
      </c>
      <c r="AV675" s="2">
        <f t="shared" si="1472"/>
        <v>0</v>
      </c>
      <c r="AW675" s="2">
        <f t="shared" si="1472"/>
        <v>0</v>
      </c>
      <c r="AX675" s="2">
        <f t="shared" si="1472"/>
        <v>0</v>
      </c>
      <c r="AY675" s="86">
        <f t="shared" si="1473"/>
        <v>0</v>
      </c>
      <c r="AZ675" s="2">
        <f t="shared" si="1473"/>
        <v>0</v>
      </c>
      <c r="BA675" s="2">
        <f t="shared" si="1474"/>
        <v>0</v>
      </c>
      <c r="BB675" s="2">
        <f t="shared" si="1474"/>
        <v>0</v>
      </c>
      <c r="BC675" s="2">
        <f t="shared" si="1474"/>
        <v>0</v>
      </c>
      <c r="BD675" s="86">
        <f t="shared" si="1475"/>
        <v>0</v>
      </c>
      <c r="BE675" s="2">
        <f t="shared" si="1475"/>
        <v>0</v>
      </c>
      <c r="BF675" s="2">
        <f t="shared" si="1476"/>
        <v>0</v>
      </c>
      <c r="BG675" s="2">
        <f t="shared" si="1476"/>
        <v>0</v>
      </c>
      <c r="BH675" s="2">
        <f t="shared" si="1476"/>
        <v>0</v>
      </c>
      <c r="BI675" s="90">
        <f t="shared" si="1477"/>
        <v>0</v>
      </c>
      <c r="BJ675" s="2"/>
      <c r="BK675" s="2"/>
      <c r="BL675" s="2"/>
      <c r="BM675" s="2"/>
      <c r="BN675" s="86">
        <f t="shared" si="1478"/>
        <v>0</v>
      </c>
      <c r="BO675" s="2"/>
      <c r="BP675" s="2"/>
      <c r="BQ675" s="2"/>
      <c r="BR675" s="2"/>
      <c r="BS675" s="86">
        <f t="shared" si="1479"/>
        <v>0</v>
      </c>
      <c r="BT675" s="86"/>
      <c r="BU675" s="86"/>
      <c r="BV675" s="86"/>
      <c r="BW675" s="4"/>
    </row>
    <row r="676" spans="1:75" ht="15.75" customHeight="1" x14ac:dyDescent="0.2">
      <c r="A676" s="85" t="str">
        <f t="shared" si="1454"/>
        <v>Borrowings on credit facility</v>
      </c>
      <c r="B676" s="2"/>
      <c r="C676" s="86">
        <f t="shared" si="1455"/>
        <v>0</v>
      </c>
      <c r="D676" s="86">
        <f t="shared" si="1455"/>
        <v>0</v>
      </c>
      <c r="E676" s="86">
        <f t="shared" si="1455"/>
        <v>0</v>
      </c>
      <c r="F676" s="86">
        <f t="shared" si="1455"/>
        <v>0</v>
      </c>
      <c r="G676" s="2">
        <f t="shared" si="1455"/>
        <v>0</v>
      </c>
      <c r="H676" s="2">
        <f t="shared" si="1456"/>
        <v>0</v>
      </c>
      <c r="I676" s="2">
        <f t="shared" si="1456"/>
        <v>0</v>
      </c>
      <c r="J676" s="2">
        <f t="shared" si="1456"/>
        <v>0</v>
      </c>
      <c r="K676" s="86">
        <f t="shared" si="1457"/>
        <v>0</v>
      </c>
      <c r="L676" s="2">
        <f t="shared" si="1457"/>
        <v>25</v>
      </c>
      <c r="M676" s="2">
        <f t="shared" si="1458"/>
        <v>0</v>
      </c>
      <c r="N676" s="2">
        <f t="shared" si="1458"/>
        <v>0</v>
      </c>
      <c r="O676" s="2">
        <f t="shared" si="1458"/>
        <v>0</v>
      </c>
      <c r="P676" s="86">
        <f t="shared" si="1459"/>
        <v>25</v>
      </c>
      <c r="Q676" s="2">
        <f t="shared" si="1459"/>
        <v>25</v>
      </c>
      <c r="R676" s="2">
        <f t="shared" si="1460"/>
        <v>0</v>
      </c>
      <c r="S676" s="2">
        <f t="shared" si="1460"/>
        <v>0</v>
      </c>
      <c r="T676" s="2">
        <f t="shared" si="1460"/>
        <v>35</v>
      </c>
      <c r="U676" s="86">
        <f t="shared" si="1461"/>
        <v>60</v>
      </c>
      <c r="V676" s="2">
        <f t="shared" si="1461"/>
        <v>0</v>
      </c>
      <c r="W676" s="2">
        <f t="shared" si="1462"/>
        <v>0</v>
      </c>
      <c r="X676" s="2">
        <f t="shared" si="1462"/>
        <v>0</v>
      </c>
      <c r="Y676" s="2">
        <f t="shared" si="1462"/>
        <v>35</v>
      </c>
      <c r="Z676" s="86">
        <f t="shared" si="1463"/>
        <v>35</v>
      </c>
      <c r="AA676" s="2">
        <f t="shared" si="1463"/>
        <v>0</v>
      </c>
      <c r="AB676" s="2">
        <f t="shared" si="1464"/>
        <v>0</v>
      </c>
      <c r="AC676" s="2">
        <f t="shared" si="1464"/>
        <v>30</v>
      </c>
      <c r="AD676" s="2">
        <f t="shared" si="1464"/>
        <v>55</v>
      </c>
      <c r="AE676" s="86">
        <f t="shared" si="1465"/>
        <v>85</v>
      </c>
      <c r="AF676" s="2">
        <f t="shared" si="1465"/>
        <v>30</v>
      </c>
      <c r="AG676" s="2">
        <f t="shared" si="1466"/>
        <v>0</v>
      </c>
      <c r="AH676" s="2">
        <f t="shared" si="1466"/>
        <v>15</v>
      </c>
      <c r="AI676" s="2">
        <f t="shared" si="1466"/>
        <v>25</v>
      </c>
      <c r="AJ676" s="86">
        <f t="shared" si="1467"/>
        <v>70</v>
      </c>
      <c r="AK676" s="2">
        <f t="shared" si="1467"/>
        <v>20</v>
      </c>
      <c r="AL676" s="2">
        <f t="shared" si="1468"/>
        <v>15</v>
      </c>
      <c r="AM676" s="2">
        <f t="shared" si="1468"/>
        <v>300</v>
      </c>
      <c r="AN676" s="2">
        <f t="shared" si="1468"/>
        <v>0</v>
      </c>
      <c r="AO676" s="86">
        <f t="shared" si="1469"/>
        <v>335</v>
      </c>
      <c r="AP676" s="2">
        <f t="shared" si="1469"/>
        <v>90</v>
      </c>
      <c r="AQ676" s="2">
        <f t="shared" si="1470"/>
        <v>0</v>
      </c>
      <c r="AR676" s="2">
        <f t="shared" si="1470"/>
        <v>0</v>
      </c>
      <c r="AS676" s="2">
        <f t="shared" si="1470"/>
        <v>0</v>
      </c>
      <c r="AT676" s="86">
        <f t="shared" si="1471"/>
        <v>90</v>
      </c>
      <c r="AU676" s="2">
        <f t="shared" si="1471"/>
        <v>0</v>
      </c>
      <c r="AV676" s="2">
        <f t="shared" si="1472"/>
        <v>0</v>
      </c>
      <c r="AW676" s="2">
        <f t="shared" si="1472"/>
        <v>0</v>
      </c>
      <c r="AX676" s="2">
        <f t="shared" si="1472"/>
        <v>0</v>
      </c>
      <c r="AY676" s="86">
        <f t="shared" si="1473"/>
        <v>0</v>
      </c>
      <c r="AZ676" s="2">
        <f t="shared" si="1473"/>
        <v>0</v>
      </c>
      <c r="BA676" s="2">
        <f t="shared" si="1474"/>
        <v>0</v>
      </c>
      <c r="BB676" s="2">
        <f t="shared" si="1474"/>
        <v>0</v>
      </c>
      <c r="BC676" s="2">
        <f t="shared" si="1474"/>
        <v>130</v>
      </c>
      <c r="BD676" s="86">
        <f t="shared" si="1475"/>
        <v>130</v>
      </c>
      <c r="BE676" s="2">
        <f t="shared" si="1475"/>
        <v>0</v>
      </c>
      <c r="BF676" s="2">
        <f t="shared" si="1476"/>
        <v>0</v>
      </c>
      <c r="BG676" s="2">
        <f t="shared" si="1476"/>
        <v>0</v>
      </c>
      <c r="BH676" s="2">
        <f t="shared" si="1476"/>
        <v>15</v>
      </c>
      <c r="BI676" s="90">
        <f t="shared" si="1477"/>
        <v>15</v>
      </c>
      <c r="BJ676" s="2">
        <f t="shared" ref="BJ676:BM676" si="1480">BJ506</f>
        <v>0</v>
      </c>
      <c r="BK676" s="2">
        <f t="shared" si="1480"/>
        <v>0</v>
      </c>
      <c r="BL676" s="2">
        <f t="shared" si="1480"/>
        <v>0</v>
      </c>
      <c r="BM676" s="2">
        <f t="shared" si="1480"/>
        <v>0</v>
      </c>
      <c r="BN676" s="86">
        <f t="shared" si="1478"/>
        <v>0</v>
      </c>
      <c r="BO676" s="2">
        <f t="shared" ref="BO676:BR676" si="1481">BO506</f>
        <v>0</v>
      </c>
      <c r="BP676" s="2">
        <f t="shared" si="1481"/>
        <v>0</v>
      </c>
      <c r="BQ676" s="2">
        <f t="shared" si="1481"/>
        <v>0</v>
      </c>
      <c r="BR676" s="2">
        <f t="shared" si="1481"/>
        <v>0</v>
      </c>
      <c r="BS676" s="86">
        <f t="shared" si="1479"/>
        <v>0</v>
      </c>
      <c r="BT676" s="86">
        <f t="shared" ref="BT676:BV676" si="1482">BT506</f>
        <v>0</v>
      </c>
      <c r="BU676" s="86">
        <f t="shared" si="1482"/>
        <v>0</v>
      </c>
      <c r="BV676" s="86">
        <f t="shared" si="1482"/>
        <v>0</v>
      </c>
      <c r="BW676" s="4"/>
    </row>
    <row r="677" spans="1:75" ht="15.75" customHeight="1" x14ac:dyDescent="0.2">
      <c r="A677" s="85" t="str">
        <f t="shared" si="1454"/>
        <v>Repayments on credit facility</v>
      </c>
      <c r="B677" s="2"/>
      <c r="C677" s="86">
        <f t="shared" si="1455"/>
        <v>0</v>
      </c>
      <c r="D677" s="86">
        <f t="shared" si="1455"/>
        <v>-100</v>
      </c>
      <c r="E677" s="86">
        <f t="shared" si="1455"/>
        <v>0</v>
      </c>
      <c r="F677" s="86">
        <f t="shared" si="1455"/>
        <v>0</v>
      </c>
      <c r="G677" s="2">
        <f t="shared" si="1455"/>
        <v>0</v>
      </c>
      <c r="H677" s="2">
        <f t="shared" si="1456"/>
        <v>0</v>
      </c>
      <c r="I677" s="2">
        <f t="shared" si="1456"/>
        <v>0</v>
      </c>
      <c r="J677" s="2">
        <f t="shared" si="1456"/>
        <v>0</v>
      </c>
      <c r="K677" s="86">
        <f t="shared" si="1457"/>
        <v>0</v>
      </c>
      <c r="L677" s="2">
        <f t="shared" si="1457"/>
        <v>0</v>
      </c>
      <c r="M677" s="2">
        <f t="shared" si="1458"/>
        <v>0</v>
      </c>
      <c r="N677" s="2">
        <f t="shared" si="1458"/>
        <v>0</v>
      </c>
      <c r="O677" s="2">
        <f t="shared" si="1458"/>
        <v>-25</v>
      </c>
      <c r="P677" s="86">
        <f t="shared" si="1459"/>
        <v>-25</v>
      </c>
      <c r="Q677" s="2">
        <f t="shared" si="1459"/>
        <v>0</v>
      </c>
      <c r="R677" s="2">
        <f t="shared" si="1460"/>
        <v>0</v>
      </c>
      <c r="S677" s="2">
        <f t="shared" si="1460"/>
        <v>-25</v>
      </c>
      <c r="T677" s="2">
        <f t="shared" si="1460"/>
        <v>-35</v>
      </c>
      <c r="U677" s="86">
        <f t="shared" si="1461"/>
        <v>-60</v>
      </c>
      <c r="V677" s="2">
        <f t="shared" si="1461"/>
        <v>0</v>
      </c>
      <c r="W677" s="2">
        <f t="shared" si="1462"/>
        <v>0</v>
      </c>
      <c r="X677" s="2">
        <f t="shared" si="1462"/>
        <v>0</v>
      </c>
      <c r="Y677" s="2">
        <f t="shared" si="1462"/>
        <v>-35</v>
      </c>
      <c r="Z677" s="86">
        <f t="shared" si="1463"/>
        <v>-35</v>
      </c>
      <c r="AA677" s="2">
        <f t="shared" si="1463"/>
        <v>0</v>
      </c>
      <c r="AB677" s="2">
        <f t="shared" si="1464"/>
        <v>0</v>
      </c>
      <c r="AC677" s="2">
        <f t="shared" si="1464"/>
        <v>0</v>
      </c>
      <c r="AD677" s="2">
        <f t="shared" si="1464"/>
        <v>-75</v>
      </c>
      <c r="AE677" s="86">
        <f t="shared" si="1465"/>
        <v>-75</v>
      </c>
      <c r="AF677" s="2">
        <f t="shared" si="1465"/>
        <v>-10</v>
      </c>
      <c r="AG677" s="2">
        <f t="shared" si="1466"/>
        <v>-10</v>
      </c>
      <c r="AH677" s="2">
        <f t="shared" si="1466"/>
        <v>-15</v>
      </c>
      <c r="AI677" s="2">
        <f t="shared" si="1466"/>
        <v>-35</v>
      </c>
      <c r="AJ677" s="86">
        <f t="shared" si="1467"/>
        <v>-70</v>
      </c>
      <c r="AK677" s="2">
        <f t="shared" si="1467"/>
        <v>-10</v>
      </c>
      <c r="AL677" s="2">
        <f t="shared" si="1468"/>
        <v>0</v>
      </c>
      <c r="AM677" s="2">
        <f t="shared" si="1468"/>
        <v>0</v>
      </c>
      <c r="AN677" s="2">
        <f t="shared" si="1468"/>
        <v>-45</v>
      </c>
      <c r="AO677" s="86">
        <f t="shared" si="1469"/>
        <v>-55</v>
      </c>
      <c r="AP677" s="2">
        <f t="shared" si="1469"/>
        <v>0</v>
      </c>
      <c r="AQ677" s="2">
        <f t="shared" si="1470"/>
        <v>-4</v>
      </c>
      <c r="AR677" s="2">
        <f t="shared" si="1470"/>
        <v>0</v>
      </c>
      <c r="AS677" s="2">
        <f t="shared" si="1470"/>
        <v>-96</v>
      </c>
      <c r="AT677" s="86">
        <f t="shared" si="1471"/>
        <v>-100</v>
      </c>
      <c r="AU677" s="2">
        <f t="shared" si="1471"/>
        <v>0</v>
      </c>
      <c r="AV677" s="2">
        <f t="shared" si="1472"/>
        <v>-150</v>
      </c>
      <c r="AW677" s="2">
        <f t="shared" si="1472"/>
        <v>0</v>
      </c>
      <c r="AX677" s="2">
        <f t="shared" si="1472"/>
        <v>0</v>
      </c>
      <c r="AY677" s="86">
        <f t="shared" si="1473"/>
        <v>-150</v>
      </c>
      <c r="AZ677" s="2">
        <f t="shared" si="1473"/>
        <v>0</v>
      </c>
      <c r="BA677" s="2">
        <f t="shared" si="1474"/>
        <v>0</v>
      </c>
      <c r="BB677" s="2">
        <f t="shared" si="1474"/>
        <v>0</v>
      </c>
      <c r="BC677" s="2">
        <f t="shared" si="1474"/>
        <v>-130</v>
      </c>
      <c r="BD677" s="86">
        <f t="shared" si="1475"/>
        <v>-130</v>
      </c>
      <c r="BE677" s="2">
        <f t="shared" si="1475"/>
        <v>0</v>
      </c>
      <c r="BF677" s="2">
        <f t="shared" si="1476"/>
        <v>0</v>
      </c>
      <c r="BG677" s="2">
        <f t="shared" si="1476"/>
        <v>0</v>
      </c>
      <c r="BH677" s="2">
        <f t="shared" si="1476"/>
        <v>-15</v>
      </c>
      <c r="BI677" s="90">
        <f t="shared" si="1477"/>
        <v>-15</v>
      </c>
      <c r="BJ677" s="2"/>
      <c r="BK677" s="2"/>
      <c r="BL677" s="2"/>
      <c r="BM677" s="2"/>
      <c r="BN677" s="86">
        <f t="shared" si="1478"/>
        <v>0</v>
      </c>
      <c r="BO677" s="2"/>
      <c r="BP677" s="2"/>
      <c r="BQ677" s="2"/>
      <c r="BR677" s="2"/>
      <c r="BS677" s="86">
        <f t="shared" si="1479"/>
        <v>0</v>
      </c>
      <c r="BT677" s="86"/>
      <c r="BU677" s="86"/>
      <c r="BV677" s="86"/>
      <c r="BW677" s="4"/>
    </row>
    <row r="678" spans="1:75" ht="15.75" customHeight="1" x14ac:dyDescent="0.2">
      <c r="A678" s="85" t="str">
        <f t="shared" si="1454"/>
        <v>Convertible debt issuance</v>
      </c>
      <c r="B678" s="2"/>
      <c r="C678" s="86">
        <f t="shared" si="1455"/>
        <v>0</v>
      </c>
      <c r="D678" s="86">
        <f t="shared" si="1455"/>
        <v>0</v>
      </c>
      <c r="E678" s="86">
        <f t="shared" si="1455"/>
        <v>0</v>
      </c>
      <c r="F678" s="86">
        <f t="shared" si="1455"/>
        <v>0</v>
      </c>
      <c r="G678" s="2">
        <f t="shared" si="1455"/>
        <v>0</v>
      </c>
      <c r="H678" s="2">
        <f t="shared" si="1456"/>
        <v>0</v>
      </c>
      <c r="I678" s="2">
        <f t="shared" si="1456"/>
        <v>0</v>
      </c>
      <c r="J678" s="2">
        <f t="shared" si="1456"/>
        <v>0</v>
      </c>
      <c r="K678" s="86">
        <f t="shared" si="1457"/>
        <v>0</v>
      </c>
      <c r="L678" s="2">
        <f t="shared" si="1457"/>
        <v>0</v>
      </c>
      <c r="M678" s="2">
        <f t="shared" si="1458"/>
        <v>0</v>
      </c>
      <c r="N678" s="2">
        <f t="shared" si="1458"/>
        <v>0</v>
      </c>
      <c r="O678" s="2">
        <f t="shared" si="1458"/>
        <v>0</v>
      </c>
      <c r="P678" s="86">
        <f t="shared" si="1459"/>
        <v>0</v>
      </c>
      <c r="Q678" s="2">
        <f t="shared" si="1459"/>
        <v>0</v>
      </c>
      <c r="R678" s="2">
        <f t="shared" si="1460"/>
        <v>0</v>
      </c>
      <c r="S678" s="2">
        <f t="shared" si="1460"/>
        <v>0</v>
      </c>
      <c r="T678" s="2">
        <f t="shared" si="1460"/>
        <v>0</v>
      </c>
      <c r="U678" s="86">
        <f t="shared" si="1461"/>
        <v>0</v>
      </c>
      <c r="V678" s="2">
        <f t="shared" si="1461"/>
        <v>0</v>
      </c>
      <c r="W678" s="2">
        <f t="shared" si="1462"/>
        <v>0</v>
      </c>
      <c r="X678" s="2">
        <f t="shared" si="1462"/>
        <v>0</v>
      </c>
      <c r="Y678" s="2">
        <f t="shared" si="1462"/>
        <v>0</v>
      </c>
      <c r="Z678" s="86">
        <f t="shared" si="1463"/>
        <v>0</v>
      </c>
      <c r="AA678" s="2">
        <f t="shared" si="1463"/>
        <v>0</v>
      </c>
      <c r="AB678" s="2">
        <f t="shared" si="1464"/>
        <v>0</v>
      </c>
      <c r="AC678" s="2">
        <f t="shared" si="1464"/>
        <v>0</v>
      </c>
      <c r="AD678" s="2">
        <f t="shared" si="1464"/>
        <v>0</v>
      </c>
      <c r="AE678" s="86">
        <f t="shared" si="1465"/>
        <v>0</v>
      </c>
      <c r="AF678" s="2">
        <f t="shared" si="1465"/>
        <v>0</v>
      </c>
      <c r="AG678" s="2">
        <f t="shared" si="1466"/>
        <v>0</v>
      </c>
      <c r="AH678" s="2">
        <f t="shared" si="1466"/>
        <v>0</v>
      </c>
      <c r="AI678" s="2">
        <f t="shared" si="1466"/>
        <v>0</v>
      </c>
      <c r="AJ678" s="86">
        <f t="shared" si="1467"/>
        <v>0</v>
      </c>
      <c r="AK678" s="2">
        <f t="shared" si="1467"/>
        <v>0</v>
      </c>
      <c r="AL678" s="2">
        <f t="shared" si="1468"/>
        <v>0</v>
      </c>
      <c r="AM678" s="2">
        <f t="shared" si="1468"/>
        <v>0</v>
      </c>
      <c r="AN678" s="2">
        <f t="shared" si="1468"/>
        <v>0</v>
      </c>
      <c r="AO678" s="86">
        <f t="shared" si="1469"/>
        <v>0</v>
      </c>
      <c r="AP678" s="2">
        <f t="shared" si="1469"/>
        <v>0</v>
      </c>
      <c r="AQ678" s="2">
        <f t="shared" si="1470"/>
        <v>0</v>
      </c>
      <c r="AR678" s="2">
        <f t="shared" si="1470"/>
        <v>0</v>
      </c>
      <c r="AS678" s="2">
        <f t="shared" si="1470"/>
        <v>0</v>
      </c>
      <c r="AT678" s="86">
        <f t="shared" si="1471"/>
        <v>0</v>
      </c>
      <c r="AU678" s="2">
        <f t="shared" si="1471"/>
        <v>0</v>
      </c>
      <c r="AV678" s="2">
        <f t="shared" si="1472"/>
        <v>345</v>
      </c>
      <c r="AW678" s="2">
        <f t="shared" si="1472"/>
        <v>0</v>
      </c>
      <c r="AX678" s="2">
        <f t="shared" si="1472"/>
        <v>0</v>
      </c>
      <c r="AY678" s="86">
        <f t="shared" si="1473"/>
        <v>345</v>
      </c>
      <c r="AZ678" s="2">
        <f t="shared" si="1473"/>
        <v>0</v>
      </c>
      <c r="BA678" s="2">
        <f t="shared" si="1474"/>
        <v>0</v>
      </c>
      <c r="BB678" s="2">
        <f t="shared" si="1474"/>
        <v>0</v>
      </c>
      <c r="BC678" s="2">
        <f t="shared" si="1474"/>
        <v>0</v>
      </c>
      <c r="BD678" s="86">
        <f t="shared" si="1475"/>
        <v>0</v>
      </c>
      <c r="BE678" s="2">
        <f t="shared" si="1475"/>
        <v>0</v>
      </c>
      <c r="BF678" s="2">
        <f t="shared" si="1476"/>
        <v>0</v>
      </c>
      <c r="BG678" s="2">
        <f t="shared" si="1476"/>
        <v>0</v>
      </c>
      <c r="BH678" s="2">
        <f t="shared" si="1476"/>
        <v>0</v>
      </c>
      <c r="BI678" s="90">
        <f t="shared" si="1477"/>
        <v>0</v>
      </c>
      <c r="BJ678" s="2"/>
      <c r="BK678" s="2"/>
      <c r="BL678" s="2"/>
      <c r="BM678" s="2"/>
      <c r="BN678" s="86">
        <f t="shared" si="1478"/>
        <v>0</v>
      </c>
      <c r="BO678" s="2"/>
      <c r="BP678" s="2"/>
      <c r="BQ678" s="2"/>
      <c r="BR678" s="2"/>
      <c r="BS678" s="86">
        <f t="shared" si="1479"/>
        <v>0</v>
      </c>
      <c r="BT678" s="86"/>
      <c r="BU678" s="86"/>
      <c r="BV678" s="86"/>
      <c r="BW678" s="4"/>
    </row>
    <row r="679" spans="1:75" ht="15.75" customHeight="1" x14ac:dyDescent="0.2">
      <c r="A679" s="85" t="str">
        <f t="shared" si="1454"/>
        <v>Convertible debt direct and incremental costs</v>
      </c>
      <c r="B679" s="2"/>
      <c r="C679" s="86">
        <f t="shared" si="1455"/>
        <v>0</v>
      </c>
      <c r="D679" s="86">
        <f t="shared" si="1455"/>
        <v>0</v>
      </c>
      <c r="E679" s="86">
        <f t="shared" si="1455"/>
        <v>0</v>
      </c>
      <c r="F679" s="86">
        <f t="shared" si="1455"/>
        <v>0</v>
      </c>
      <c r="G679" s="2">
        <f t="shared" si="1455"/>
        <v>0</v>
      </c>
      <c r="H679" s="2">
        <f t="shared" si="1456"/>
        <v>0</v>
      </c>
      <c r="I679" s="2">
        <f t="shared" si="1456"/>
        <v>0</v>
      </c>
      <c r="J679" s="2">
        <f t="shared" si="1456"/>
        <v>0</v>
      </c>
      <c r="K679" s="86">
        <f t="shared" si="1457"/>
        <v>0</v>
      </c>
      <c r="L679" s="2">
        <f t="shared" si="1457"/>
        <v>0</v>
      </c>
      <c r="M679" s="2">
        <f t="shared" si="1458"/>
        <v>0</v>
      </c>
      <c r="N679" s="2">
        <f t="shared" si="1458"/>
        <v>0</v>
      </c>
      <c r="O679" s="2">
        <f t="shared" si="1458"/>
        <v>0</v>
      </c>
      <c r="P679" s="86">
        <f t="shared" si="1459"/>
        <v>0</v>
      </c>
      <c r="Q679" s="2">
        <f t="shared" si="1459"/>
        <v>0</v>
      </c>
      <c r="R679" s="2">
        <f t="shared" si="1460"/>
        <v>0</v>
      </c>
      <c r="S679" s="2">
        <f t="shared" si="1460"/>
        <v>0</v>
      </c>
      <c r="T679" s="2">
        <f t="shared" si="1460"/>
        <v>0</v>
      </c>
      <c r="U679" s="86">
        <f t="shared" si="1461"/>
        <v>0</v>
      </c>
      <c r="V679" s="2">
        <f t="shared" si="1461"/>
        <v>0</v>
      </c>
      <c r="W679" s="2">
        <f t="shared" si="1462"/>
        <v>0</v>
      </c>
      <c r="X679" s="2">
        <f t="shared" si="1462"/>
        <v>0</v>
      </c>
      <c r="Y679" s="2">
        <f t="shared" si="1462"/>
        <v>0</v>
      </c>
      <c r="Z679" s="86">
        <f t="shared" si="1463"/>
        <v>0</v>
      </c>
      <c r="AA679" s="2">
        <f t="shared" si="1463"/>
        <v>0</v>
      </c>
      <c r="AB679" s="2">
        <f t="shared" si="1464"/>
        <v>0</v>
      </c>
      <c r="AC679" s="2">
        <f t="shared" si="1464"/>
        <v>0</v>
      </c>
      <c r="AD679" s="2">
        <f t="shared" si="1464"/>
        <v>0</v>
      </c>
      <c r="AE679" s="86">
        <f t="shared" si="1465"/>
        <v>0</v>
      </c>
      <c r="AF679" s="2">
        <f t="shared" si="1465"/>
        <v>0</v>
      </c>
      <c r="AG679" s="2">
        <f t="shared" si="1466"/>
        <v>0</v>
      </c>
      <c r="AH679" s="2">
        <f t="shared" si="1466"/>
        <v>0</v>
      </c>
      <c r="AI679" s="2">
        <f t="shared" si="1466"/>
        <v>0</v>
      </c>
      <c r="AJ679" s="86">
        <f t="shared" si="1467"/>
        <v>0</v>
      </c>
      <c r="AK679" s="2">
        <f t="shared" si="1467"/>
        <v>0</v>
      </c>
      <c r="AL679" s="2">
        <f t="shared" si="1468"/>
        <v>0</v>
      </c>
      <c r="AM679" s="2">
        <f t="shared" si="1468"/>
        <v>0</v>
      </c>
      <c r="AN679" s="2">
        <f t="shared" si="1468"/>
        <v>0</v>
      </c>
      <c r="AO679" s="86">
        <f t="shared" si="1469"/>
        <v>0</v>
      </c>
      <c r="AP679" s="2">
        <f t="shared" si="1469"/>
        <v>0</v>
      </c>
      <c r="AQ679" s="2">
        <f t="shared" si="1470"/>
        <v>0</v>
      </c>
      <c r="AR679" s="2">
        <f t="shared" si="1470"/>
        <v>0</v>
      </c>
      <c r="AS679" s="2">
        <f t="shared" si="1470"/>
        <v>0</v>
      </c>
      <c r="AT679" s="86">
        <f t="shared" si="1471"/>
        <v>0</v>
      </c>
      <c r="AU679" s="2">
        <f t="shared" si="1471"/>
        <v>0</v>
      </c>
      <c r="AV679" s="2">
        <f t="shared" si="1472"/>
        <v>-10.074</v>
      </c>
      <c r="AW679" s="2">
        <f t="shared" si="1472"/>
        <v>0</v>
      </c>
      <c r="AX679" s="2">
        <f t="shared" si="1472"/>
        <v>0</v>
      </c>
      <c r="AY679" s="86">
        <f t="shared" si="1473"/>
        <v>-10.074</v>
      </c>
      <c r="AZ679" s="2">
        <f t="shared" si="1473"/>
        <v>0</v>
      </c>
      <c r="BA679" s="2">
        <f t="shared" si="1474"/>
        <v>0</v>
      </c>
      <c r="BB679" s="2">
        <f t="shared" si="1474"/>
        <v>0</v>
      </c>
      <c r="BC679" s="2">
        <f t="shared" si="1474"/>
        <v>0</v>
      </c>
      <c r="BD679" s="86">
        <f t="shared" si="1475"/>
        <v>0</v>
      </c>
      <c r="BE679" s="2">
        <f t="shared" si="1475"/>
        <v>0</v>
      </c>
      <c r="BF679" s="2">
        <f t="shared" si="1476"/>
        <v>0</v>
      </c>
      <c r="BG679" s="2">
        <f t="shared" si="1476"/>
        <v>0</v>
      </c>
      <c r="BH679" s="2">
        <f t="shared" si="1476"/>
        <v>0</v>
      </c>
      <c r="BI679" s="90">
        <f t="shared" si="1477"/>
        <v>0</v>
      </c>
      <c r="BJ679" s="2"/>
      <c r="BK679" s="2"/>
      <c r="BL679" s="2"/>
      <c r="BM679" s="2"/>
      <c r="BN679" s="86">
        <f t="shared" si="1478"/>
        <v>0</v>
      </c>
      <c r="BO679" s="2"/>
      <c r="BP679" s="2"/>
      <c r="BQ679" s="2"/>
      <c r="BR679" s="2"/>
      <c r="BS679" s="86">
        <f t="shared" si="1479"/>
        <v>0</v>
      </c>
      <c r="BT679" s="86"/>
      <c r="BU679" s="86"/>
      <c r="BV679" s="86"/>
      <c r="BW679" s="4"/>
    </row>
    <row r="680" spans="1:75" ht="15.75" customHeight="1" x14ac:dyDescent="0.2">
      <c r="A680" s="85" t="str">
        <f t="shared" si="1454"/>
        <v>Proceeds from exercise of stock options</v>
      </c>
      <c r="B680" s="2"/>
      <c r="C680" s="86">
        <f t="shared" si="1455"/>
        <v>1.6830000000000001</v>
      </c>
      <c r="D680" s="86">
        <f t="shared" si="1455"/>
        <v>30.577000000000002</v>
      </c>
      <c r="E680" s="86">
        <f t="shared" si="1455"/>
        <v>16.146000000000001</v>
      </c>
      <c r="F680" s="86">
        <f t="shared" si="1455"/>
        <v>39.283000000000001</v>
      </c>
      <c r="G680" s="2">
        <f t="shared" si="1455"/>
        <v>20.027999999999999</v>
      </c>
      <c r="H680" s="2">
        <f t="shared" si="1456"/>
        <v>29.393000000000001</v>
      </c>
      <c r="I680" s="2">
        <f t="shared" si="1456"/>
        <v>13.591000000000001</v>
      </c>
      <c r="J680" s="2">
        <f t="shared" si="1456"/>
        <v>9.8840000000000003</v>
      </c>
      <c r="K680" s="86">
        <f t="shared" si="1457"/>
        <v>72.896000000000001</v>
      </c>
      <c r="L680" s="2">
        <f t="shared" si="1457"/>
        <v>5.899</v>
      </c>
      <c r="M680" s="2">
        <f t="shared" si="1458"/>
        <v>2.7209999999999992</v>
      </c>
      <c r="N680" s="2">
        <f t="shared" si="1458"/>
        <v>4.152000000000001</v>
      </c>
      <c r="O680" s="2">
        <f t="shared" si="1458"/>
        <v>10.168000000000001</v>
      </c>
      <c r="P680" s="86">
        <f t="shared" si="1459"/>
        <v>22.94</v>
      </c>
      <c r="Q680" s="2">
        <f t="shared" si="1459"/>
        <v>5.6689999999999996</v>
      </c>
      <c r="R680" s="2">
        <f t="shared" si="1460"/>
        <v>11.222999999999999</v>
      </c>
      <c r="S680" s="2">
        <f t="shared" si="1460"/>
        <v>8.5560000000000009</v>
      </c>
      <c r="T680" s="2">
        <f t="shared" si="1460"/>
        <v>2.5489999999999995</v>
      </c>
      <c r="U680" s="86">
        <f t="shared" si="1461"/>
        <v>27.997</v>
      </c>
      <c r="V680" s="2">
        <f t="shared" si="1461"/>
        <v>11.645</v>
      </c>
      <c r="W680" s="2">
        <f t="shared" si="1462"/>
        <v>2.1500000000000004</v>
      </c>
      <c r="X680" s="2">
        <f t="shared" si="1462"/>
        <v>5.1279999999999983</v>
      </c>
      <c r="Y680" s="2">
        <f t="shared" si="1462"/>
        <v>9.4550000000000018</v>
      </c>
      <c r="Z680" s="86">
        <f t="shared" si="1463"/>
        <v>28.378</v>
      </c>
      <c r="AA680" s="2">
        <f t="shared" si="1463"/>
        <v>5.3680000000000003</v>
      </c>
      <c r="AB680" s="2">
        <f t="shared" si="1464"/>
        <v>2.3409999999999993</v>
      </c>
      <c r="AC680" s="2">
        <f t="shared" si="1464"/>
        <v>0.39100000000000001</v>
      </c>
      <c r="AD680" s="2">
        <f t="shared" si="1464"/>
        <v>0.93599999999999994</v>
      </c>
      <c r="AE680" s="86">
        <f t="shared" si="1465"/>
        <v>9.0359999999999996</v>
      </c>
      <c r="AF680" s="2">
        <f t="shared" si="1465"/>
        <v>0.54</v>
      </c>
      <c r="AG680" s="2">
        <f t="shared" si="1466"/>
        <v>5.7770000000000001</v>
      </c>
      <c r="AH680" s="2">
        <f t="shared" si="1466"/>
        <v>1.0199999999999996</v>
      </c>
      <c r="AI680" s="2">
        <f t="shared" si="1466"/>
        <v>1.2390000000000008</v>
      </c>
      <c r="AJ680" s="86">
        <f t="shared" si="1467"/>
        <v>8.5760000000000005</v>
      </c>
      <c r="AK680" s="2">
        <f t="shared" si="1467"/>
        <v>5.5410000000000004</v>
      </c>
      <c r="AL680" s="2">
        <f t="shared" si="1468"/>
        <v>0.64999999999999947</v>
      </c>
      <c r="AM680" s="2">
        <f t="shared" si="1468"/>
        <v>0.32500000000000018</v>
      </c>
      <c r="AN680" s="2">
        <f t="shared" si="1468"/>
        <v>1.2080000000000002</v>
      </c>
      <c r="AO680" s="86">
        <f t="shared" si="1469"/>
        <v>7.7240000000000002</v>
      </c>
      <c r="AP680" s="2">
        <f t="shared" si="1469"/>
        <v>0.113</v>
      </c>
      <c r="AQ680" s="2">
        <f t="shared" si="1470"/>
        <v>0</v>
      </c>
      <c r="AR680" s="2">
        <f t="shared" si="1470"/>
        <v>0</v>
      </c>
      <c r="AS680" s="2">
        <f t="shared" si="1470"/>
        <v>0.498</v>
      </c>
      <c r="AT680" s="86">
        <f t="shared" si="1471"/>
        <v>0.61099999999999999</v>
      </c>
      <c r="AU680" s="2">
        <f t="shared" si="1471"/>
        <v>20.422999999999998</v>
      </c>
      <c r="AV680" s="2">
        <f t="shared" si="1472"/>
        <v>4.3620000000000019</v>
      </c>
      <c r="AW680" s="2">
        <f t="shared" si="1472"/>
        <v>0</v>
      </c>
      <c r="AX680" s="2">
        <f t="shared" si="1472"/>
        <v>1.0000000000012221E-3</v>
      </c>
      <c r="AY680" s="86">
        <f t="shared" si="1473"/>
        <v>24.786000000000001</v>
      </c>
      <c r="AZ680" s="2">
        <f t="shared" si="1473"/>
        <v>8.3000000000000004E-2</v>
      </c>
      <c r="BA680" s="2">
        <f t="shared" si="1474"/>
        <v>0</v>
      </c>
      <c r="BB680" s="2">
        <f t="shared" si="1474"/>
        <v>1.0000000000000009E-3</v>
      </c>
      <c r="BC680" s="2">
        <f t="shared" si="1474"/>
        <v>0</v>
      </c>
      <c r="BD680" s="86">
        <f t="shared" si="1475"/>
        <v>8.4000000000000005E-2</v>
      </c>
      <c r="BE680" s="2">
        <f t="shared" si="1475"/>
        <v>0</v>
      </c>
      <c r="BF680" s="2">
        <f t="shared" si="1476"/>
        <v>0</v>
      </c>
      <c r="BG680" s="2">
        <f t="shared" si="1476"/>
        <v>0</v>
      </c>
      <c r="BH680" s="2">
        <f t="shared" si="1476"/>
        <v>0</v>
      </c>
      <c r="BI680" s="90">
        <f t="shared" si="1477"/>
        <v>0</v>
      </c>
      <c r="BJ680" s="2"/>
      <c r="BK680" s="2"/>
      <c r="BL680" s="2"/>
      <c r="BM680" s="2"/>
      <c r="BN680" s="86">
        <f t="shared" si="1478"/>
        <v>0</v>
      </c>
      <c r="BO680" s="2"/>
      <c r="BP680" s="2"/>
      <c r="BQ680" s="2"/>
      <c r="BR680" s="2"/>
      <c r="BS680" s="86">
        <f t="shared" si="1479"/>
        <v>0</v>
      </c>
      <c r="BT680" s="86"/>
      <c r="BU680" s="86"/>
      <c r="BV680" s="86"/>
      <c r="BW680" s="4"/>
    </row>
    <row r="681" spans="1:75" ht="15.75" customHeight="1" x14ac:dyDescent="0.2">
      <c r="A681" s="85" t="str">
        <f t="shared" si="1454"/>
        <v>Excess tax benefit related to stock options exercised</v>
      </c>
      <c r="B681" s="2"/>
      <c r="C681" s="86">
        <f t="shared" si="1455"/>
        <v>0.85699999999999998</v>
      </c>
      <c r="D681" s="86">
        <f t="shared" si="1455"/>
        <v>3.3570000000000002</v>
      </c>
      <c r="E681" s="86">
        <f t="shared" si="1455"/>
        <v>0.74099999999999999</v>
      </c>
      <c r="F681" s="86">
        <f t="shared" si="1455"/>
        <v>2.8010000000000002</v>
      </c>
      <c r="G681" s="2">
        <f t="shared" si="1455"/>
        <v>2.181</v>
      </c>
      <c r="H681" s="2">
        <f t="shared" si="1456"/>
        <v>1.0840000000000001</v>
      </c>
      <c r="I681" s="2">
        <f t="shared" si="1456"/>
        <v>1.8850000000000002</v>
      </c>
      <c r="J681" s="2">
        <f t="shared" si="1456"/>
        <v>2.6149999999999993</v>
      </c>
      <c r="K681" s="86">
        <f t="shared" si="1457"/>
        <v>7.7649999999999997</v>
      </c>
      <c r="L681" s="2">
        <f t="shared" si="1457"/>
        <v>3.851</v>
      </c>
      <c r="M681" s="2">
        <f t="shared" si="1458"/>
        <v>1.0720000000000001</v>
      </c>
      <c r="N681" s="2">
        <f t="shared" si="1458"/>
        <v>1.2889999999999997</v>
      </c>
      <c r="O681" s="2">
        <f t="shared" si="1458"/>
        <v>2.6490000000000009</v>
      </c>
      <c r="P681" s="86">
        <f t="shared" si="1459"/>
        <v>8.8610000000000007</v>
      </c>
      <c r="Q681" s="2">
        <f t="shared" si="1459"/>
        <v>4.3170000000000002</v>
      </c>
      <c r="R681" s="2">
        <f t="shared" si="1460"/>
        <v>3.5089999999999995</v>
      </c>
      <c r="S681" s="2">
        <f t="shared" si="1460"/>
        <v>3.8340000000000005</v>
      </c>
      <c r="T681" s="2">
        <f t="shared" si="1460"/>
        <v>0.64899999999999913</v>
      </c>
      <c r="U681" s="86">
        <f t="shared" si="1461"/>
        <v>12.308999999999999</v>
      </c>
      <c r="V681" s="2">
        <f t="shared" si="1461"/>
        <v>6.0339999999999998</v>
      </c>
      <c r="W681" s="2">
        <f t="shared" si="1462"/>
        <v>0.60099999999999998</v>
      </c>
      <c r="X681" s="2">
        <f t="shared" si="1462"/>
        <v>1.886000000000001</v>
      </c>
      <c r="Y681" s="2">
        <f t="shared" si="1462"/>
        <v>5.34</v>
      </c>
      <c r="Z681" s="86">
        <f t="shared" si="1463"/>
        <v>13.861000000000001</v>
      </c>
      <c r="AA681" s="2">
        <f t="shared" si="1463"/>
        <v>0</v>
      </c>
      <c r="AB681" s="2">
        <f t="shared" si="1464"/>
        <v>0</v>
      </c>
      <c r="AC681" s="2">
        <f t="shared" si="1464"/>
        <v>0</v>
      </c>
      <c r="AD681" s="2">
        <f t="shared" si="1464"/>
        <v>0</v>
      </c>
      <c r="AE681" s="86">
        <f t="shared" si="1465"/>
        <v>0</v>
      </c>
      <c r="AF681" s="2">
        <f t="shared" si="1465"/>
        <v>0</v>
      </c>
      <c r="AG681" s="2">
        <f t="shared" si="1466"/>
        <v>0</v>
      </c>
      <c r="AH681" s="2">
        <f t="shared" si="1466"/>
        <v>0</v>
      </c>
      <c r="AI681" s="2">
        <f t="shared" si="1466"/>
        <v>0</v>
      </c>
      <c r="AJ681" s="86">
        <f t="shared" si="1467"/>
        <v>0</v>
      </c>
      <c r="AK681" s="2">
        <f t="shared" si="1467"/>
        <v>0</v>
      </c>
      <c r="AL681" s="2">
        <f t="shared" si="1468"/>
        <v>0</v>
      </c>
      <c r="AM681" s="2">
        <f t="shared" si="1468"/>
        <v>0</v>
      </c>
      <c r="AN681" s="2">
        <f t="shared" si="1468"/>
        <v>0</v>
      </c>
      <c r="AO681" s="86">
        <f t="shared" si="1469"/>
        <v>0</v>
      </c>
      <c r="AP681" s="2">
        <f t="shared" si="1469"/>
        <v>0</v>
      </c>
      <c r="AQ681" s="2">
        <f t="shared" si="1470"/>
        <v>0</v>
      </c>
      <c r="AR681" s="2">
        <f t="shared" si="1470"/>
        <v>0</v>
      </c>
      <c r="AS681" s="2">
        <f t="shared" si="1470"/>
        <v>0</v>
      </c>
      <c r="AT681" s="86">
        <f t="shared" si="1471"/>
        <v>0</v>
      </c>
      <c r="AU681" s="2">
        <f t="shared" si="1471"/>
        <v>0</v>
      </c>
      <c r="AV681" s="2">
        <f t="shared" si="1472"/>
        <v>0</v>
      </c>
      <c r="AW681" s="2">
        <f t="shared" si="1472"/>
        <v>0</v>
      </c>
      <c r="AX681" s="2">
        <f t="shared" si="1472"/>
        <v>0</v>
      </c>
      <c r="AY681" s="86">
        <f t="shared" si="1473"/>
        <v>0</v>
      </c>
      <c r="AZ681" s="2">
        <f t="shared" si="1473"/>
        <v>0</v>
      </c>
      <c r="BA681" s="2">
        <f t="shared" si="1474"/>
        <v>0</v>
      </c>
      <c r="BB681" s="2">
        <f t="shared" si="1474"/>
        <v>0</v>
      </c>
      <c r="BC681" s="2">
        <f t="shared" si="1474"/>
        <v>0</v>
      </c>
      <c r="BD681" s="86">
        <f t="shared" si="1475"/>
        <v>0</v>
      </c>
      <c r="BE681" s="2">
        <f t="shared" si="1475"/>
        <v>0</v>
      </c>
      <c r="BF681" s="2">
        <f t="shared" si="1476"/>
        <v>0</v>
      </c>
      <c r="BG681" s="2">
        <f t="shared" si="1476"/>
        <v>0</v>
      </c>
      <c r="BH681" s="2">
        <f t="shared" si="1476"/>
        <v>0</v>
      </c>
      <c r="BI681" s="90">
        <f t="shared" si="1477"/>
        <v>0</v>
      </c>
      <c r="BJ681" s="2"/>
      <c r="BK681" s="2"/>
      <c r="BL681" s="2"/>
      <c r="BM681" s="2"/>
      <c r="BN681" s="86">
        <f t="shared" si="1478"/>
        <v>0</v>
      </c>
      <c r="BO681" s="2"/>
      <c r="BP681" s="2"/>
      <c r="BQ681" s="2"/>
      <c r="BR681" s="2"/>
      <c r="BS681" s="86">
        <f t="shared" si="1479"/>
        <v>0</v>
      </c>
      <c r="BT681" s="86"/>
      <c r="BU681" s="86"/>
      <c r="BV681" s="86"/>
      <c r="BW681" s="4"/>
    </row>
    <row r="682" spans="1:75" ht="15.75" customHeight="1" x14ac:dyDescent="0.2">
      <c r="A682" s="85" t="str">
        <f t="shared" si="1454"/>
        <v>Repayment of credit facility</v>
      </c>
      <c r="B682" s="2"/>
      <c r="C682" s="86">
        <f t="shared" si="1455"/>
        <v>-175</v>
      </c>
      <c r="D682" s="86">
        <f t="shared" si="1455"/>
        <v>0</v>
      </c>
      <c r="E682" s="86">
        <f t="shared" si="1455"/>
        <v>0</v>
      </c>
      <c r="F682" s="86">
        <f t="shared" si="1455"/>
        <v>0</v>
      </c>
      <c r="G682" s="2">
        <f t="shared" si="1455"/>
        <v>0</v>
      </c>
      <c r="H682" s="2">
        <f t="shared" si="1456"/>
        <v>0</v>
      </c>
      <c r="I682" s="2">
        <f t="shared" si="1456"/>
        <v>0</v>
      </c>
      <c r="J682" s="2">
        <f t="shared" si="1456"/>
        <v>0</v>
      </c>
      <c r="K682" s="86">
        <f t="shared" si="1457"/>
        <v>0</v>
      </c>
      <c r="L682" s="2">
        <f t="shared" si="1457"/>
        <v>0</v>
      </c>
      <c r="M682" s="2">
        <f t="shared" si="1458"/>
        <v>0</v>
      </c>
      <c r="N682" s="2">
        <f t="shared" si="1458"/>
        <v>0</v>
      </c>
      <c r="O682" s="2">
        <f t="shared" si="1458"/>
        <v>0</v>
      </c>
      <c r="P682" s="86">
        <f t="shared" si="1459"/>
        <v>0</v>
      </c>
      <c r="Q682" s="2">
        <f t="shared" si="1459"/>
        <v>0</v>
      </c>
      <c r="R682" s="2">
        <f t="shared" si="1460"/>
        <v>0</v>
      </c>
      <c r="S682" s="2">
        <f t="shared" si="1460"/>
        <v>0</v>
      </c>
      <c r="T682" s="2">
        <f t="shared" si="1460"/>
        <v>0</v>
      </c>
      <c r="U682" s="86">
        <f t="shared" si="1461"/>
        <v>0</v>
      </c>
      <c r="V682" s="2">
        <f t="shared" si="1461"/>
        <v>0</v>
      </c>
      <c r="W682" s="2">
        <f t="shared" si="1462"/>
        <v>0</v>
      </c>
      <c r="X682" s="2">
        <f t="shared" si="1462"/>
        <v>0</v>
      </c>
      <c r="Y682" s="2">
        <f t="shared" si="1462"/>
        <v>0</v>
      </c>
      <c r="Z682" s="86">
        <f t="shared" si="1463"/>
        <v>0</v>
      </c>
      <c r="AA682" s="2">
        <f t="shared" si="1463"/>
        <v>0</v>
      </c>
      <c r="AB682" s="2">
        <f t="shared" si="1464"/>
        <v>0</v>
      </c>
      <c r="AC682" s="2">
        <f t="shared" si="1464"/>
        <v>0</v>
      </c>
      <c r="AD682" s="2">
        <f t="shared" si="1464"/>
        <v>0</v>
      </c>
      <c r="AE682" s="86">
        <f t="shared" si="1465"/>
        <v>0</v>
      </c>
      <c r="AF682" s="2">
        <f t="shared" si="1465"/>
        <v>0</v>
      </c>
      <c r="AG682" s="2">
        <f t="shared" si="1466"/>
        <v>0</v>
      </c>
      <c r="AH682" s="2">
        <f t="shared" si="1466"/>
        <v>0</v>
      </c>
      <c r="AI682" s="2">
        <f t="shared" si="1466"/>
        <v>0</v>
      </c>
      <c r="AJ682" s="86">
        <f t="shared" si="1467"/>
        <v>0</v>
      </c>
      <c r="AK682" s="2">
        <f t="shared" si="1467"/>
        <v>0</v>
      </c>
      <c r="AL682" s="2">
        <f t="shared" si="1468"/>
        <v>0</v>
      </c>
      <c r="AM682" s="2">
        <f t="shared" si="1468"/>
        <v>0</v>
      </c>
      <c r="AN682" s="2">
        <f t="shared" si="1468"/>
        <v>0</v>
      </c>
      <c r="AO682" s="86">
        <f t="shared" si="1469"/>
        <v>0</v>
      </c>
      <c r="AP682" s="2">
        <f t="shared" si="1469"/>
        <v>0</v>
      </c>
      <c r="AQ682" s="2">
        <f t="shared" si="1470"/>
        <v>0</v>
      </c>
      <c r="AR682" s="2">
        <f t="shared" si="1470"/>
        <v>0</v>
      </c>
      <c r="AS682" s="2">
        <f t="shared" si="1470"/>
        <v>0</v>
      </c>
      <c r="AT682" s="86">
        <f t="shared" si="1471"/>
        <v>0</v>
      </c>
      <c r="AU682" s="2">
        <f t="shared" si="1471"/>
        <v>0</v>
      </c>
      <c r="AV682" s="2">
        <f t="shared" si="1472"/>
        <v>0</v>
      </c>
      <c r="AW682" s="2">
        <f t="shared" si="1472"/>
        <v>0</v>
      </c>
      <c r="AX682" s="2">
        <f t="shared" si="1472"/>
        <v>0</v>
      </c>
      <c r="AY682" s="86">
        <f t="shared" si="1473"/>
        <v>0</v>
      </c>
      <c r="AZ682" s="2">
        <f t="shared" si="1473"/>
        <v>0</v>
      </c>
      <c r="BA682" s="2">
        <f t="shared" si="1474"/>
        <v>0</v>
      </c>
      <c r="BB682" s="2">
        <f t="shared" si="1474"/>
        <v>0</v>
      </c>
      <c r="BC682" s="2">
        <f t="shared" si="1474"/>
        <v>0</v>
      </c>
      <c r="BD682" s="86">
        <f t="shared" si="1475"/>
        <v>0</v>
      </c>
      <c r="BE682" s="2">
        <f t="shared" si="1475"/>
        <v>0</v>
      </c>
      <c r="BF682" s="2">
        <f t="shared" si="1476"/>
        <v>0</v>
      </c>
      <c r="BG682" s="2">
        <f t="shared" si="1476"/>
        <v>0</v>
      </c>
      <c r="BH682" s="2">
        <f t="shared" si="1476"/>
        <v>0</v>
      </c>
      <c r="BI682" s="90">
        <f t="shared" si="1477"/>
        <v>0</v>
      </c>
      <c r="BJ682" s="2"/>
      <c r="BK682" s="2"/>
      <c r="BL682" s="2"/>
      <c r="BM682" s="2"/>
      <c r="BN682" s="86">
        <f t="shared" si="1478"/>
        <v>0</v>
      </c>
      <c r="BO682" s="2"/>
      <c r="BP682" s="2"/>
      <c r="BQ682" s="2"/>
      <c r="BR682" s="2"/>
      <c r="BS682" s="86">
        <f t="shared" si="1479"/>
        <v>0</v>
      </c>
      <c r="BT682" s="86"/>
      <c r="BU682" s="86"/>
      <c r="BV682" s="86"/>
      <c r="BW682" s="4"/>
    </row>
    <row r="683" spans="1:75" ht="15.75" customHeight="1" x14ac:dyDescent="0.2">
      <c r="A683" s="85" t="str">
        <f t="shared" si="1454"/>
        <v>Cash dividends paid</v>
      </c>
      <c r="B683" s="2"/>
      <c r="C683" s="86">
        <f t="shared" si="1455"/>
        <v>0</v>
      </c>
      <c r="D683" s="86">
        <f t="shared" si="1455"/>
        <v>0</v>
      </c>
      <c r="E683" s="86">
        <f t="shared" si="1455"/>
        <v>0</v>
      </c>
      <c r="F683" s="86">
        <f t="shared" si="1455"/>
        <v>-12.762</v>
      </c>
      <c r="G683" s="2">
        <f t="shared" si="1455"/>
        <v>-6.2549999999999999</v>
      </c>
      <c r="H683" s="2">
        <f t="shared" si="1456"/>
        <v>-6.3500000000000005</v>
      </c>
      <c r="I683" s="2">
        <f t="shared" si="1456"/>
        <v>-7.3649999999999984</v>
      </c>
      <c r="J683" s="2">
        <f t="shared" si="1456"/>
        <v>-7.2210000000000001</v>
      </c>
      <c r="K683" s="86">
        <f t="shared" si="1457"/>
        <v>-27.190999999999999</v>
      </c>
      <c r="L683" s="2">
        <f t="shared" si="1457"/>
        <v>-7.2140000000000004</v>
      </c>
      <c r="M683" s="2">
        <f t="shared" si="1458"/>
        <v>-6.923</v>
      </c>
      <c r="N683" s="2">
        <f t="shared" si="1458"/>
        <v>-8.0889999999999986</v>
      </c>
      <c r="O683" s="2">
        <f t="shared" si="1458"/>
        <v>-8.1060000000000016</v>
      </c>
      <c r="P683" s="86">
        <f t="shared" si="1459"/>
        <v>-30.332000000000001</v>
      </c>
      <c r="Q683" s="2">
        <f t="shared" si="1459"/>
        <v>-8.4429999999999996</v>
      </c>
      <c r="R683" s="2">
        <f t="shared" si="1460"/>
        <v>-7.9949999999999992</v>
      </c>
      <c r="S683" s="2">
        <f t="shared" si="1460"/>
        <v>-9.7690000000000019</v>
      </c>
      <c r="T683" s="2">
        <f t="shared" si="1460"/>
        <v>-9.7620000000000005</v>
      </c>
      <c r="U683" s="86">
        <f t="shared" si="1461"/>
        <v>-35.969000000000001</v>
      </c>
      <c r="V683" s="2">
        <f t="shared" si="1461"/>
        <v>-9.9390000000000001</v>
      </c>
      <c r="W683" s="2">
        <f t="shared" si="1462"/>
        <v>-9.6439999999999984</v>
      </c>
      <c r="X683" s="2">
        <f t="shared" si="1462"/>
        <v>-11.466000000000001</v>
      </c>
      <c r="Y683" s="2">
        <f t="shared" si="1462"/>
        <v>-11.322000000000003</v>
      </c>
      <c r="Z683" s="86">
        <f t="shared" si="1463"/>
        <v>-42.371000000000002</v>
      </c>
      <c r="AA683" s="2">
        <f t="shared" si="1463"/>
        <v>-11.685</v>
      </c>
      <c r="AB683" s="2">
        <f t="shared" si="1464"/>
        <v>-11.491999999999999</v>
      </c>
      <c r="AC683" s="2">
        <f t="shared" si="1464"/>
        <v>-13.454999999999998</v>
      </c>
      <c r="AD683" s="2">
        <f t="shared" si="1464"/>
        <v>-13.257000000000005</v>
      </c>
      <c r="AE683" s="86">
        <f t="shared" si="1465"/>
        <v>-49.889000000000003</v>
      </c>
      <c r="AF683" s="2">
        <f t="shared" si="1465"/>
        <v>-13.167999999999999</v>
      </c>
      <c r="AG683" s="2">
        <f t="shared" si="1466"/>
        <v>-13.353000000000002</v>
      </c>
      <c r="AH683" s="2">
        <f t="shared" si="1466"/>
        <v>-14.927999999999997</v>
      </c>
      <c r="AI683" s="2">
        <f t="shared" si="1466"/>
        <v>-14.802</v>
      </c>
      <c r="AJ683" s="86">
        <f t="shared" si="1467"/>
        <v>-56.250999999999998</v>
      </c>
      <c r="AK683" s="2">
        <f t="shared" si="1467"/>
        <v>-14.628</v>
      </c>
      <c r="AL683" s="2">
        <f t="shared" si="1468"/>
        <v>-14.658999999999999</v>
      </c>
      <c r="AM683" s="2">
        <f t="shared" si="1468"/>
        <v>-15.703000000000003</v>
      </c>
      <c r="AN683" s="2">
        <f t="shared" si="1468"/>
        <v>-15.731999999999999</v>
      </c>
      <c r="AO683" s="86">
        <f t="shared" si="1469"/>
        <v>-60.722000000000001</v>
      </c>
      <c r="AP683" s="2">
        <f t="shared" si="1469"/>
        <v>-15.791</v>
      </c>
      <c r="AQ683" s="2">
        <f t="shared" si="1470"/>
        <v>0</v>
      </c>
      <c r="AR683" s="2">
        <f t="shared" si="1470"/>
        <v>0</v>
      </c>
      <c r="AS683" s="2">
        <f t="shared" si="1470"/>
        <v>0</v>
      </c>
      <c r="AT683" s="86">
        <f t="shared" si="1471"/>
        <v>-15.791</v>
      </c>
      <c r="AU683" s="2">
        <f t="shared" si="1471"/>
        <v>-2.1789999999999998</v>
      </c>
      <c r="AV683" s="2">
        <f t="shared" si="1472"/>
        <v>1.8419999999999999</v>
      </c>
      <c r="AW683" s="2">
        <f t="shared" si="1472"/>
        <v>0</v>
      </c>
      <c r="AX683" s="2">
        <f t="shared" si="1472"/>
        <v>0</v>
      </c>
      <c r="AY683" s="86">
        <f t="shared" si="1473"/>
        <v>-0.33700000000000002</v>
      </c>
      <c r="AZ683" s="2">
        <f t="shared" si="1473"/>
        <v>0</v>
      </c>
      <c r="BA683" s="2">
        <f t="shared" si="1474"/>
        <v>-14.288</v>
      </c>
      <c r="BB683" s="2">
        <f t="shared" si="1474"/>
        <v>-14.062000000000001</v>
      </c>
      <c r="BC683" s="2">
        <f t="shared" si="1474"/>
        <v>-13.921999999999997</v>
      </c>
      <c r="BD683" s="86">
        <f t="shared" si="1475"/>
        <v>-42.271999999999998</v>
      </c>
      <c r="BE683" s="2">
        <f t="shared" si="1475"/>
        <v>-13.182</v>
      </c>
      <c r="BF683" s="2">
        <f t="shared" si="1476"/>
        <v>-13.816000000000001</v>
      </c>
      <c r="BG683" s="2">
        <f t="shared" si="1476"/>
        <v>-13.127999999999997</v>
      </c>
      <c r="BH683" s="2">
        <f t="shared" si="1476"/>
        <v>-13.081000000000003</v>
      </c>
      <c r="BI683" s="90">
        <f t="shared" si="1477"/>
        <v>-53.207000000000001</v>
      </c>
      <c r="BJ683" s="2">
        <f t="shared" ref="BJ683:BM683" ca="1" si="1483">BJ503+BJ408</f>
        <v>-12.8974996727415</v>
      </c>
      <c r="BK683" s="2">
        <f t="shared" ca="1" si="1483"/>
        <v>-12.898789422708774</v>
      </c>
      <c r="BL683" s="2">
        <f t="shared" ca="1" si="1483"/>
        <v>-12.900079301651045</v>
      </c>
      <c r="BM683" s="2">
        <f t="shared" ca="1" si="1483"/>
        <v>-12.901369309581209</v>
      </c>
      <c r="BN683" s="86">
        <f t="shared" ca="1" si="1478"/>
        <v>-51.597737706682523</v>
      </c>
      <c r="BO683" s="2">
        <f t="shared" ref="BO683:BR683" ca="1" si="1484">BO503+BO408</f>
        <v>-12.902659446512168</v>
      </c>
      <c r="BP683" s="2">
        <f t="shared" ca="1" si="1484"/>
        <v>-12.903949712456818</v>
      </c>
      <c r="BQ683" s="2">
        <f t="shared" ca="1" si="1484"/>
        <v>-12.905240107428064</v>
      </c>
      <c r="BR683" s="2">
        <f t="shared" ca="1" si="1484"/>
        <v>-12.906530631438805</v>
      </c>
      <c r="BS683" s="86">
        <f t="shared" ca="1" si="1479"/>
        <v>-51.618379897835858</v>
      </c>
      <c r="BT683" s="86">
        <f t="shared" ref="BT683:BV683" ca="1" si="1485">BT503+BT408</f>
        <v>-51.639029443563224</v>
      </c>
      <c r="BU683" s="86">
        <f t="shared" ca="1" si="1485"/>
        <v>-51.659685055340645</v>
      </c>
      <c r="BV683" s="86">
        <f t="shared" ca="1" si="1485"/>
        <v>-51.680348929362786</v>
      </c>
      <c r="BW683" s="4"/>
    </row>
    <row r="684" spans="1:75" ht="15.75" customHeight="1" x14ac:dyDescent="0.2">
      <c r="A684" s="85" t="str">
        <f t="shared" si="1454"/>
        <v>Preferred stock issuance</v>
      </c>
      <c r="B684" s="2"/>
      <c r="C684" s="86">
        <f t="shared" si="1455"/>
        <v>0</v>
      </c>
      <c r="D684" s="86">
        <f t="shared" si="1455"/>
        <v>0</v>
      </c>
      <c r="E684" s="86">
        <f t="shared" si="1455"/>
        <v>0</v>
      </c>
      <c r="F684" s="86">
        <f t="shared" si="1455"/>
        <v>0</v>
      </c>
      <c r="G684" s="2">
        <f t="shared" si="1455"/>
        <v>0</v>
      </c>
      <c r="H684" s="2">
        <f t="shared" si="1456"/>
        <v>0</v>
      </c>
      <c r="I684" s="2">
        <f t="shared" si="1456"/>
        <v>0</v>
      </c>
      <c r="J684" s="2">
        <f t="shared" si="1456"/>
        <v>0</v>
      </c>
      <c r="K684" s="86">
        <f t="shared" si="1457"/>
        <v>0</v>
      </c>
      <c r="L684" s="2">
        <f t="shared" si="1457"/>
        <v>0</v>
      </c>
      <c r="M684" s="2">
        <f t="shared" si="1458"/>
        <v>0</v>
      </c>
      <c r="N684" s="2">
        <f t="shared" si="1458"/>
        <v>0</v>
      </c>
      <c r="O684" s="2">
        <f t="shared" si="1458"/>
        <v>0</v>
      </c>
      <c r="P684" s="86">
        <f t="shared" si="1459"/>
        <v>0</v>
      </c>
      <c r="Q684" s="2">
        <f t="shared" si="1459"/>
        <v>0</v>
      </c>
      <c r="R684" s="2">
        <f t="shared" si="1460"/>
        <v>0</v>
      </c>
      <c r="S684" s="2">
        <f t="shared" si="1460"/>
        <v>0</v>
      </c>
      <c r="T684" s="2">
        <f t="shared" si="1460"/>
        <v>0</v>
      </c>
      <c r="U684" s="86">
        <f t="shared" si="1461"/>
        <v>0</v>
      </c>
      <c r="V684" s="2">
        <f t="shared" si="1461"/>
        <v>0</v>
      </c>
      <c r="W684" s="2">
        <f t="shared" si="1462"/>
        <v>0</v>
      </c>
      <c r="X684" s="2">
        <f t="shared" si="1462"/>
        <v>0</v>
      </c>
      <c r="Y684" s="2">
        <f t="shared" si="1462"/>
        <v>0</v>
      </c>
      <c r="Z684" s="86">
        <f t="shared" si="1463"/>
        <v>0</v>
      </c>
      <c r="AA684" s="2">
        <f t="shared" si="1463"/>
        <v>0</v>
      </c>
      <c r="AB684" s="2">
        <f t="shared" si="1464"/>
        <v>0</v>
      </c>
      <c r="AC684" s="2">
        <f t="shared" si="1464"/>
        <v>0</v>
      </c>
      <c r="AD684" s="2">
        <f t="shared" si="1464"/>
        <v>0</v>
      </c>
      <c r="AE684" s="86">
        <f t="shared" si="1465"/>
        <v>0</v>
      </c>
      <c r="AF684" s="2">
        <f t="shared" si="1465"/>
        <v>0</v>
      </c>
      <c r="AG684" s="2">
        <f t="shared" si="1466"/>
        <v>0</v>
      </c>
      <c r="AH684" s="2">
        <f t="shared" si="1466"/>
        <v>0</v>
      </c>
      <c r="AI684" s="2">
        <f t="shared" si="1466"/>
        <v>0</v>
      </c>
      <c r="AJ684" s="86">
        <f t="shared" si="1467"/>
        <v>0</v>
      </c>
      <c r="AK684" s="2">
        <f t="shared" si="1467"/>
        <v>0</v>
      </c>
      <c r="AL684" s="2">
        <f t="shared" si="1468"/>
        <v>0</v>
      </c>
      <c r="AM684" s="2">
        <f t="shared" si="1468"/>
        <v>0</v>
      </c>
      <c r="AN684" s="2">
        <f t="shared" si="1468"/>
        <v>0</v>
      </c>
      <c r="AO684" s="86">
        <f t="shared" si="1469"/>
        <v>0</v>
      </c>
      <c r="AP684" s="2">
        <f t="shared" si="1469"/>
        <v>0</v>
      </c>
      <c r="AQ684" s="2">
        <f t="shared" si="1470"/>
        <v>200</v>
      </c>
      <c r="AR684" s="2">
        <f t="shared" si="1470"/>
        <v>0</v>
      </c>
      <c r="AS684" s="2">
        <f t="shared" si="1470"/>
        <v>0</v>
      </c>
      <c r="AT684" s="86">
        <f t="shared" si="1471"/>
        <v>200</v>
      </c>
      <c r="AU684" s="2">
        <f t="shared" si="1471"/>
        <v>0</v>
      </c>
      <c r="AV684" s="2">
        <f t="shared" si="1472"/>
        <v>0</v>
      </c>
      <c r="AW684" s="2">
        <f t="shared" si="1472"/>
        <v>0</v>
      </c>
      <c r="AX684" s="2">
        <f t="shared" si="1472"/>
        <v>0</v>
      </c>
      <c r="AY684" s="86">
        <f t="shared" si="1473"/>
        <v>0</v>
      </c>
      <c r="AZ684" s="2">
        <f t="shared" si="1473"/>
        <v>0</v>
      </c>
      <c r="BA684" s="2">
        <f t="shared" si="1474"/>
        <v>0</v>
      </c>
      <c r="BB684" s="2">
        <f t="shared" si="1474"/>
        <v>0</v>
      </c>
      <c r="BC684" s="2">
        <f t="shared" si="1474"/>
        <v>0</v>
      </c>
      <c r="BD684" s="86">
        <f t="shared" si="1475"/>
        <v>0</v>
      </c>
      <c r="BE684" s="2">
        <f t="shared" si="1475"/>
        <v>0</v>
      </c>
      <c r="BF684" s="2">
        <f t="shared" si="1476"/>
        <v>0</v>
      </c>
      <c r="BG684" s="2">
        <f t="shared" si="1476"/>
        <v>0</v>
      </c>
      <c r="BH684" s="2">
        <f t="shared" si="1476"/>
        <v>0</v>
      </c>
      <c r="BI684" s="90">
        <f t="shared" si="1477"/>
        <v>0</v>
      </c>
      <c r="BJ684" s="2"/>
      <c r="BK684" s="2"/>
      <c r="BL684" s="2"/>
      <c r="BM684" s="2"/>
      <c r="BN684" s="86">
        <f t="shared" si="1478"/>
        <v>0</v>
      </c>
      <c r="BO684" s="2"/>
      <c r="BP684" s="2"/>
      <c r="BQ684" s="2"/>
      <c r="BR684" s="2"/>
      <c r="BS684" s="86">
        <f t="shared" si="1479"/>
        <v>0</v>
      </c>
      <c r="BT684" s="86"/>
      <c r="BU684" s="86"/>
      <c r="BV684" s="86"/>
      <c r="BW684" s="4"/>
    </row>
    <row r="685" spans="1:75" ht="15.75" customHeight="1" x14ac:dyDescent="0.2">
      <c r="A685" s="85" t="str">
        <f t="shared" si="1454"/>
        <v>Preferred stock direct costs</v>
      </c>
      <c r="B685" s="2"/>
      <c r="C685" s="86">
        <f t="shared" si="1455"/>
        <v>0</v>
      </c>
      <c r="D685" s="86">
        <f t="shared" si="1455"/>
        <v>0</v>
      </c>
      <c r="E685" s="86">
        <f t="shared" si="1455"/>
        <v>0</v>
      </c>
      <c r="F685" s="86">
        <f t="shared" si="1455"/>
        <v>0</v>
      </c>
      <c r="G685" s="2">
        <f t="shared" si="1455"/>
        <v>0</v>
      </c>
      <c r="H685" s="2">
        <f t="shared" si="1456"/>
        <v>0</v>
      </c>
      <c r="I685" s="2">
        <f t="shared" si="1456"/>
        <v>0</v>
      </c>
      <c r="J685" s="2">
        <f t="shared" si="1456"/>
        <v>0</v>
      </c>
      <c r="K685" s="86">
        <f t="shared" si="1457"/>
        <v>0</v>
      </c>
      <c r="L685" s="2">
        <f t="shared" si="1457"/>
        <v>0</v>
      </c>
      <c r="M685" s="2">
        <f t="shared" si="1458"/>
        <v>0</v>
      </c>
      <c r="N685" s="2">
        <f t="shared" si="1458"/>
        <v>0</v>
      </c>
      <c r="O685" s="2">
        <f t="shared" si="1458"/>
        <v>0</v>
      </c>
      <c r="P685" s="86">
        <f t="shared" si="1459"/>
        <v>0</v>
      </c>
      <c r="Q685" s="2">
        <f t="shared" si="1459"/>
        <v>0</v>
      </c>
      <c r="R685" s="2">
        <f t="shared" si="1460"/>
        <v>0</v>
      </c>
      <c r="S685" s="2">
        <f t="shared" si="1460"/>
        <v>0</v>
      </c>
      <c r="T685" s="2">
        <f t="shared" si="1460"/>
        <v>0</v>
      </c>
      <c r="U685" s="86">
        <f t="shared" si="1461"/>
        <v>0</v>
      </c>
      <c r="V685" s="2">
        <f t="shared" si="1461"/>
        <v>0</v>
      </c>
      <c r="W685" s="2">
        <f t="shared" si="1462"/>
        <v>0</v>
      </c>
      <c r="X685" s="2">
        <f t="shared" si="1462"/>
        <v>0</v>
      </c>
      <c r="Y685" s="2">
        <f t="shared" si="1462"/>
        <v>0</v>
      </c>
      <c r="Z685" s="86">
        <f t="shared" si="1463"/>
        <v>0</v>
      </c>
      <c r="AA685" s="2">
        <f t="shared" si="1463"/>
        <v>0</v>
      </c>
      <c r="AB685" s="2">
        <f t="shared" si="1464"/>
        <v>0</v>
      </c>
      <c r="AC685" s="2">
        <f t="shared" si="1464"/>
        <v>0</v>
      </c>
      <c r="AD685" s="2">
        <f t="shared" si="1464"/>
        <v>0</v>
      </c>
      <c r="AE685" s="86">
        <f t="shared" si="1465"/>
        <v>0</v>
      </c>
      <c r="AF685" s="2">
        <f t="shared" si="1465"/>
        <v>0</v>
      </c>
      <c r="AG685" s="2">
        <f t="shared" si="1466"/>
        <v>0</v>
      </c>
      <c r="AH685" s="2">
        <f t="shared" si="1466"/>
        <v>0</v>
      </c>
      <c r="AI685" s="2">
        <f t="shared" si="1466"/>
        <v>0</v>
      </c>
      <c r="AJ685" s="86">
        <f t="shared" si="1467"/>
        <v>0</v>
      </c>
      <c r="AK685" s="2">
        <f t="shared" si="1467"/>
        <v>0</v>
      </c>
      <c r="AL685" s="2">
        <f t="shared" si="1468"/>
        <v>0</v>
      </c>
      <c r="AM685" s="2">
        <f t="shared" si="1468"/>
        <v>0</v>
      </c>
      <c r="AN685" s="2">
        <f t="shared" si="1468"/>
        <v>0</v>
      </c>
      <c r="AO685" s="86">
        <f t="shared" si="1469"/>
        <v>0</v>
      </c>
      <c r="AP685" s="2">
        <f t="shared" si="1469"/>
        <v>0</v>
      </c>
      <c r="AQ685" s="2">
        <f t="shared" si="1470"/>
        <v>-10.257</v>
      </c>
      <c r="AR685" s="2">
        <f t="shared" si="1470"/>
        <v>0</v>
      </c>
      <c r="AS685" s="2">
        <f t="shared" si="1470"/>
        <v>0</v>
      </c>
      <c r="AT685" s="86">
        <f t="shared" si="1471"/>
        <v>-10.257</v>
      </c>
      <c r="AU685" s="2">
        <f t="shared" si="1471"/>
        <v>0</v>
      </c>
      <c r="AV685" s="2">
        <f t="shared" si="1472"/>
        <v>0</v>
      </c>
      <c r="AW685" s="2">
        <f t="shared" si="1472"/>
        <v>0</v>
      </c>
      <c r="AX685" s="2">
        <f t="shared" si="1472"/>
        <v>0</v>
      </c>
      <c r="AY685" s="86">
        <f t="shared" si="1473"/>
        <v>0</v>
      </c>
      <c r="AZ685" s="2">
        <f t="shared" si="1473"/>
        <v>0</v>
      </c>
      <c r="BA685" s="2">
        <f t="shared" si="1474"/>
        <v>0</v>
      </c>
      <c r="BB685" s="2">
        <f t="shared" si="1474"/>
        <v>0</v>
      </c>
      <c r="BC685" s="2">
        <f t="shared" si="1474"/>
        <v>0</v>
      </c>
      <c r="BD685" s="86">
        <f t="shared" si="1475"/>
        <v>0</v>
      </c>
      <c r="BE685" s="2">
        <f t="shared" si="1475"/>
        <v>0</v>
      </c>
      <c r="BF685" s="2">
        <f t="shared" si="1476"/>
        <v>0</v>
      </c>
      <c r="BG685" s="2">
        <f t="shared" si="1476"/>
        <v>0</v>
      </c>
      <c r="BH685" s="2">
        <f t="shared" si="1476"/>
        <v>0</v>
      </c>
      <c r="BI685" s="90">
        <f t="shared" si="1477"/>
        <v>0</v>
      </c>
      <c r="BJ685" s="2"/>
      <c r="BK685" s="2"/>
      <c r="BL685" s="2"/>
      <c r="BM685" s="2"/>
      <c r="BN685" s="86">
        <f t="shared" si="1478"/>
        <v>0</v>
      </c>
      <c r="BO685" s="2"/>
      <c r="BP685" s="2"/>
      <c r="BQ685" s="2"/>
      <c r="BR685" s="2"/>
      <c r="BS685" s="86">
        <f t="shared" si="1479"/>
        <v>0</v>
      </c>
      <c r="BT685" s="86"/>
      <c r="BU685" s="86"/>
      <c r="BV685" s="86"/>
      <c r="BW685" s="4"/>
    </row>
    <row r="686" spans="1:75" ht="15.75" customHeight="1" x14ac:dyDescent="0.2">
      <c r="A686" s="85" t="str">
        <f t="shared" si="1454"/>
        <v>Preferred stock cash-settled conversion</v>
      </c>
      <c r="B686" s="2"/>
      <c r="C686" s="86">
        <f t="shared" si="1455"/>
        <v>0</v>
      </c>
      <c r="D686" s="86">
        <f t="shared" si="1455"/>
        <v>0</v>
      </c>
      <c r="E686" s="86">
        <f t="shared" si="1455"/>
        <v>0</v>
      </c>
      <c r="F686" s="86">
        <f t="shared" si="1455"/>
        <v>0</v>
      </c>
      <c r="G686" s="2">
        <f t="shared" si="1455"/>
        <v>0</v>
      </c>
      <c r="H686" s="2">
        <f t="shared" si="1456"/>
        <v>0</v>
      </c>
      <c r="I686" s="2">
        <f t="shared" si="1456"/>
        <v>0</v>
      </c>
      <c r="J686" s="2">
        <f t="shared" si="1456"/>
        <v>0</v>
      </c>
      <c r="K686" s="86">
        <f t="shared" si="1457"/>
        <v>0</v>
      </c>
      <c r="L686" s="2">
        <f t="shared" si="1457"/>
        <v>0</v>
      </c>
      <c r="M686" s="2">
        <f t="shared" si="1458"/>
        <v>0</v>
      </c>
      <c r="N686" s="2">
        <f t="shared" si="1458"/>
        <v>0</v>
      </c>
      <c r="O686" s="2">
        <f t="shared" si="1458"/>
        <v>0</v>
      </c>
      <c r="P686" s="86">
        <f t="shared" si="1459"/>
        <v>0</v>
      </c>
      <c r="Q686" s="2">
        <f t="shared" si="1459"/>
        <v>0</v>
      </c>
      <c r="R686" s="2">
        <f t="shared" si="1460"/>
        <v>0</v>
      </c>
      <c r="S686" s="2">
        <f t="shared" si="1460"/>
        <v>0</v>
      </c>
      <c r="T686" s="2">
        <f t="shared" si="1460"/>
        <v>0</v>
      </c>
      <c r="U686" s="86">
        <f t="shared" si="1461"/>
        <v>0</v>
      </c>
      <c r="V686" s="2">
        <f t="shared" si="1461"/>
        <v>0</v>
      </c>
      <c r="W686" s="2">
        <f t="shared" si="1462"/>
        <v>0</v>
      </c>
      <c r="X686" s="2">
        <f t="shared" si="1462"/>
        <v>0</v>
      </c>
      <c r="Y686" s="2">
        <f t="shared" si="1462"/>
        <v>0</v>
      </c>
      <c r="Z686" s="86">
        <f t="shared" si="1463"/>
        <v>0</v>
      </c>
      <c r="AA686" s="2">
        <f t="shared" si="1463"/>
        <v>0</v>
      </c>
      <c r="AB686" s="2">
        <f t="shared" si="1464"/>
        <v>0</v>
      </c>
      <c r="AC686" s="2">
        <f t="shared" si="1464"/>
        <v>0</v>
      </c>
      <c r="AD686" s="2">
        <f t="shared" si="1464"/>
        <v>0</v>
      </c>
      <c r="AE686" s="86">
        <f t="shared" si="1465"/>
        <v>0</v>
      </c>
      <c r="AF686" s="2">
        <f t="shared" si="1465"/>
        <v>0</v>
      </c>
      <c r="AG686" s="2">
        <f t="shared" si="1466"/>
        <v>0</v>
      </c>
      <c r="AH686" s="2">
        <f t="shared" si="1466"/>
        <v>0</v>
      </c>
      <c r="AI686" s="2">
        <f t="shared" si="1466"/>
        <v>0</v>
      </c>
      <c r="AJ686" s="86">
        <f t="shared" si="1467"/>
        <v>0</v>
      </c>
      <c r="AK686" s="2">
        <f t="shared" si="1467"/>
        <v>0</v>
      </c>
      <c r="AL686" s="2">
        <f t="shared" si="1468"/>
        <v>0</v>
      </c>
      <c r="AM686" s="2">
        <f t="shared" si="1468"/>
        <v>0</v>
      </c>
      <c r="AN686" s="2">
        <f t="shared" si="1468"/>
        <v>0</v>
      </c>
      <c r="AO686" s="86">
        <f t="shared" si="1469"/>
        <v>0</v>
      </c>
      <c r="AP686" s="2">
        <f t="shared" si="1469"/>
        <v>0</v>
      </c>
      <c r="AQ686" s="2">
        <f t="shared" si="1470"/>
        <v>0</v>
      </c>
      <c r="AR686" s="2">
        <f t="shared" si="1470"/>
        <v>0</v>
      </c>
      <c r="AS686" s="2">
        <f t="shared" si="1470"/>
        <v>0</v>
      </c>
      <c r="AT686" s="86">
        <f t="shared" si="1471"/>
        <v>0</v>
      </c>
      <c r="AU686" s="2">
        <f t="shared" si="1471"/>
        <v>0</v>
      </c>
      <c r="AV686" s="2">
        <f t="shared" si="1472"/>
        <v>-443.75099999999998</v>
      </c>
      <c r="AW686" s="2">
        <f t="shared" si="1472"/>
        <v>0</v>
      </c>
      <c r="AX686" s="2">
        <f t="shared" si="1472"/>
        <v>0</v>
      </c>
      <c r="AY686" s="86">
        <f t="shared" si="1473"/>
        <v>-443.75099999999998</v>
      </c>
      <c r="AZ686" s="2">
        <f t="shared" si="1473"/>
        <v>0</v>
      </c>
      <c r="BA686" s="2">
        <f t="shared" si="1474"/>
        <v>0</v>
      </c>
      <c r="BB686" s="2">
        <f t="shared" si="1474"/>
        <v>0</v>
      </c>
      <c r="BC686" s="2">
        <f t="shared" si="1474"/>
        <v>0</v>
      </c>
      <c r="BD686" s="86">
        <f t="shared" si="1475"/>
        <v>0</v>
      </c>
      <c r="BE686" s="2">
        <f t="shared" si="1475"/>
        <v>0</v>
      </c>
      <c r="BF686" s="2">
        <f t="shared" si="1476"/>
        <v>0</v>
      </c>
      <c r="BG686" s="2">
        <f t="shared" si="1476"/>
        <v>0</v>
      </c>
      <c r="BH686" s="2">
        <f t="shared" si="1476"/>
        <v>0</v>
      </c>
      <c r="BI686" s="90">
        <f t="shared" si="1477"/>
        <v>0</v>
      </c>
      <c r="BJ686" s="2"/>
      <c r="BK686" s="2"/>
      <c r="BL686" s="2"/>
      <c r="BM686" s="2"/>
      <c r="BN686" s="86">
        <f t="shared" si="1478"/>
        <v>0</v>
      </c>
      <c r="BO686" s="2"/>
      <c r="BP686" s="2"/>
      <c r="BQ686" s="2"/>
      <c r="BR686" s="2"/>
      <c r="BS686" s="86">
        <f t="shared" si="1479"/>
        <v>0</v>
      </c>
      <c r="BT686" s="86"/>
      <c r="BU686" s="86"/>
      <c r="BV686" s="86"/>
      <c r="BW686" s="4"/>
    </row>
    <row r="687" spans="1:75" ht="15.75" customHeight="1" x14ac:dyDescent="0.2">
      <c r="A687" s="85" t="str">
        <f t="shared" si="1454"/>
        <v>Preferred stock conversion direct and incremental costs</v>
      </c>
      <c r="B687" s="2"/>
      <c r="C687" s="86">
        <f t="shared" si="1455"/>
        <v>0</v>
      </c>
      <c r="D687" s="86">
        <f t="shared" si="1455"/>
        <v>0</v>
      </c>
      <c r="E687" s="86">
        <f t="shared" si="1455"/>
        <v>0</v>
      </c>
      <c r="F687" s="86">
        <f t="shared" si="1455"/>
        <v>0</v>
      </c>
      <c r="G687" s="2">
        <f t="shared" si="1455"/>
        <v>0</v>
      </c>
      <c r="H687" s="2">
        <f t="shared" si="1456"/>
        <v>0</v>
      </c>
      <c r="I687" s="2">
        <f t="shared" si="1456"/>
        <v>0</v>
      </c>
      <c r="J687" s="2">
        <f t="shared" si="1456"/>
        <v>0</v>
      </c>
      <c r="K687" s="86">
        <f t="shared" si="1457"/>
        <v>0</v>
      </c>
      <c r="L687" s="2">
        <f t="shared" si="1457"/>
        <v>0</v>
      </c>
      <c r="M687" s="2">
        <f t="shared" si="1458"/>
        <v>0</v>
      </c>
      <c r="N687" s="2">
        <f t="shared" si="1458"/>
        <v>0</v>
      </c>
      <c r="O687" s="2">
        <f t="shared" si="1458"/>
        <v>0</v>
      </c>
      <c r="P687" s="86">
        <f t="shared" si="1459"/>
        <v>0</v>
      </c>
      <c r="Q687" s="2">
        <f t="shared" si="1459"/>
        <v>0</v>
      </c>
      <c r="R687" s="2">
        <f t="shared" si="1460"/>
        <v>0</v>
      </c>
      <c r="S687" s="2">
        <f t="shared" si="1460"/>
        <v>0</v>
      </c>
      <c r="T687" s="2">
        <f t="shared" si="1460"/>
        <v>0</v>
      </c>
      <c r="U687" s="86">
        <f t="shared" si="1461"/>
        <v>0</v>
      </c>
      <c r="V687" s="2">
        <f t="shared" si="1461"/>
        <v>0</v>
      </c>
      <c r="W687" s="2">
        <f t="shared" si="1462"/>
        <v>0</v>
      </c>
      <c r="X687" s="2">
        <f t="shared" si="1462"/>
        <v>0</v>
      </c>
      <c r="Y687" s="2">
        <f t="shared" si="1462"/>
        <v>0</v>
      </c>
      <c r="Z687" s="86">
        <f t="shared" si="1463"/>
        <v>0</v>
      </c>
      <c r="AA687" s="2">
        <f t="shared" si="1463"/>
        <v>0</v>
      </c>
      <c r="AB687" s="2">
        <f t="shared" si="1464"/>
        <v>0</v>
      </c>
      <c r="AC687" s="2">
        <f t="shared" si="1464"/>
        <v>0</v>
      </c>
      <c r="AD687" s="2">
        <f t="shared" si="1464"/>
        <v>0</v>
      </c>
      <c r="AE687" s="86">
        <f t="shared" si="1465"/>
        <v>0</v>
      </c>
      <c r="AF687" s="2">
        <f t="shared" si="1465"/>
        <v>0</v>
      </c>
      <c r="AG687" s="2">
        <f t="shared" si="1466"/>
        <v>0</v>
      </c>
      <c r="AH687" s="2">
        <f t="shared" si="1466"/>
        <v>0</v>
      </c>
      <c r="AI687" s="2">
        <f t="shared" si="1466"/>
        <v>0</v>
      </c>
      <c r="AJ687" s="86">
        <f t="shared" si="1467"/>
        <v>0</v>
      </c>
      <c r="AK687" s="2">
        <f t="shared" si="1467"/>
        <v>0</v>
      </c>
      <c r="AL687" s="2">
        <f t="shared" si="1468"/>
        <v>0</v>
      </c>
      <c r="AM687" s="2">
        <f t="shared" si="1468"/>
        <v>0</v>
      </c>
      <c r="AN687" s="2">
        <f t="shared" si="1468"/>
        <v>0</v>
      </c>
      <c r="AO687" s="86">
        <f t="shared" si="1469"/>
        <v>0</v>
      </c>
      <c r="AP687" s="2">
        <f t="shared" si="1469"/>
        <v>0</v>
      </c>
      <c r="AQ687" s="2">
        <f t="shared" si="1470"/>
        <v>0</v>
      </c>
      <c r="AR687" s="2">
        <f t="shared" si="1470"/>
        <v>0</v>
      </c>
      <c r="AS687" s="2">
        <f t="shared" si="1470"/>
        <v>0</v>
      </c>
      <c r="AT687" s="86">
        <f t="shared" si="1471"/>
        <v>0</v>
      </c>
      <c r="AU687" s="2">
        <f t="shared" si="1471"/>
        <v>0</v>
      </c>
      <c r="AV687" s="2">
        <f t="shared" si="1472"/>
        <v>-7.3999999999999996E-2</v>
      </c>
      <c r="AW687" s="2">
        <f t="shared" si="1472"/>
        <v>0</v>
      </c>
      <c r="AX687" s="2">
        <f t="shared" si="1472"/>
        <v>0</v>
      </c>
      <c r="AY687" s="86">
        <f t="shared" si="1473"/>
        <v>-7.3999999999999996E-2</v>
      </c>
      <c r="AZ687" s="2">
        <f t="shared" si="1473"/>
        <v>0</v>
      </c>
      <c r="BA687" s="2">
        <f t="shared" si="1474"/>
        <v>0</v>
      </c>
      <c r="BB687" s="2">
        <f t="shared" si="1474"/>
        <v>0</v>
      </c>
      <c r="BC687" s="2">
        <f t="shared" si="1474"/>
        <v>0</v>
      </c>
      <c r="BD687" s="86">
        <f t="shared" si="1475"/>
        <v>0</v>
      </c>
      <c r="BE687" s="2">
        <f t="shared" si="1475"/>
        <v>0</v>
      </c>
      <c r="BF687" s="2">
        <f t="shared" si="1476"/>
        <v>0</v>
      </c>
      <c r="BG687" s="2">
        <f t="shared" si="1476"/>
        <v>0</v>
      </c>
      <c r="BH687" s="2">
        <f t="shared" si="1476"/>
        <v>0</v>
      </c>
      <c r="BI687" s="90">
        <f t="shared" si="1477"/>
        <v>0</v>
      </c>
      <c r="BJ687" s="2"/>
      <c r="BK687" s="2"/>
      <c r="BL687" s="2"/>
      <c r="BM687" s="2"/>
      <c r="BN687" s="86">
        <f t="shared" si="1478"/>
        <v>0</v>
      </c>
      <c r="BO687" s="2"/>
      <c r="BP687" s="2"/>
      <c r="BQ687" s="2"/>
      <c r="BR687" s="2"/>
      <c r="BS687" s="86">
        <f t="shared" si="1479"/>
        <v>0</v>
      </c>
      <c r="BT687" s="86"/>
      <c r="BU687" s="86"/>
      <c r="BV687" s="86"/>
      <c r="BW687" s="4"/>
    </row>
    <row r="688" spans="1:75" ht="15.75" customHeight="1" x14ac:dyDescent="0.2">
      <c r="A688" s="85" t="str">
        <f t="shared" si="1454"/>
        <v>Preferred stock dividends paid</v>
      </c>
      <c r="B688" s="2"/>
      <c r="C688" s="86">
        <f t="shared" si="1455"/>
        <v>0</v>
      </c>
      <c r="D688" s="86">
        <f t="shared" si="1455"/>
        <v>0</v>
      </c>
      <c r="E688" s="86">
        <f t="shared" si="1455"/>
        <v>0</v>
      </c>
      <c r="F688" s="86">
        <f t="shared" si="1455"/>
        <v>0</v>
      </c>
      <c r="G688" s="2">
        <f t="shared" si="1455"/>
        <v>0</v>
      </c>
      <c r="H688" s="2">
        <f t="shared" si="1456"/>
        <v>0</v>
      </c>
      <c r="I688" s="2">
        <f t="shared" si="1456"/>
        <v>0</v>
      </c>
      <c r="J688" s="2">
        <f t="shared" si="1456"/>
        <v>0</v>
      </c>
      <c r="K688" s="86">
        <f t="shared" si="1457"/>
        <v>0</v>
      </c>
      <c r="L688" s="2">
        <f t="shared" si="1457"/>
        <v>0</v>
      </c>
      <c r="M688" s="2">
        <f t="shared" si="1458"/>
        <v>0</v>
      </c>
      <c r="N688" s="2">
        <f t="shared" si="1458"/>
        <v>0</v>
      </c>
      <c r="O688" s="2">
        <f t="shared" si="1458"/>
        <v>0</v>
      </c>
      <c r="P688" s="86">
        <f t="shared" si="1459"/>
        <v>0</v>
      </c>
      <c r="Q688" s="2">
        <f t="shared" si="1459"/>
        <v>0</v>
      </c>
      <c r="R688" s="2">
        <f t="shared" si="1460"/>
        <v>0</v>
      </c>
      <c r="S688" s="2">
        <f t="shared" si="1460"/>
        <v>0</v>
      </c>
      <c r="T688" s="2">
        <f t="shared" si="1460"/>
        <v>0</v>
      </c>
      <c r="U688" s="86">
        <f t="shared" si="1461"/>
        <v>0</v>
      </c>
      <c r="V688" s="2">
        <f t="shared" si="1461"/>
        <v>0</v>
      </c>
      <c r="W688" s="2">
        <f t="shared" si="1462"/>
        <v>0</v>
      </c>
      <c r="X688" s="2">
        <f t="shared" si="1462"/>
        <v>0</v>
      </c>
      <c r="Y688" s="2">
        <f t="shared" si="1462"/>
        <v>0</v>
      </c>
      <c r="Z688" s="86">
        <f t="shared" si="1463"/>
        <v>0</v>
      </c>
      <c r="AA688" s="2">
        <f t="shared" si="1463"/>
        <v>0</v>
      </c>
      <c r="AB688" s="2">
        <f t="shared" si="1464"/>
        <v>0</v>
      </c>
      <c r="AC688" s="2">
        <f t="shared" si="1464"/>
        <v>0</v>
      </c>
      <c r="AD688" s="2">
        <f t="shared" si="1464"/>
        <v>0</v>
      </c>
      <c r="AE688" s="86">
        <f t="shared" si="1465"/>
        <v>0</v>
      </c>
      <c r="AF688" s="2">
        <f t="shared" si="1465"/>
        <v>0</v>
      </c>
      <c r="AG688" s="2">
        <f t="shared" si="1466"/>
        <v>0</v>
      </c>
      <c r="AH688" s="2">
        <f t="shared" si="1466"/>
        <v>0</v>
      </c>
      <c r="AI688" s="2">
        <f t="shared" si="1466"/>
        <v>0</v>
      </c>
      <c r="AJ688" s="86">
        <f t="shared" si="1467"/>
        <v>0</v>
      </c>
      <c r="AK688" s="2">
        <f t="shared" si="1467"/>
        <v>0</v>
      </c>
      <c r="AL688" s="2">
        <f t="shared" si="1468"/>
        <v>0</v>
      </c>
      <c r="AM688" s="2">
        <f t="shared" si="1468"/>
        <v>0</v>
      </c>
      <c r="AN688" s="2">
        <f t="shared" si="1468"/>
        <v>0</v>
      </c>
      <c r="AO688" s="86">
        <f t="shared" si="1469"/>
        <v>0</v>
      </c>
      <c r="AP688" s="2">
        <f t="shared" si="1469"/>
        <v>0</v>
      </c>
      <c r="AQ688" s="2">
        <f t="shared" si="1470"/>
        <v>0</v>
      </c>
      <c r="AR688" s="2">
        <f t="shared" si="1470"/>
        <v>0</v>
      </c>
      <c r="AS688" s="2">
        <f t="shared" si="1470"/>
        <v>0</v>
      </c>
      <c r="AT688" s="86">
        <f t="shared" si="1471"/>
        <v>0</v>
      </c>
      <c r="AU688" s="2">
        <f t="shared" si="1471"/>
        <v>0</v>
      </c>
      <c r="AV688" s="2">
        <f t="shared" si="1472"/>
        <v>-18.661000000000001</v>
      </c>
      <c r="AW688" s="2">
        <f t="shared" si="1472"/>
        <v>0</v>
      </c>
      <c r="AX688" s="2">
        <f t="shared" si="1472"/>
        <v>0</v>
      </c>
      <c r="AY688" s="86">
        <f t="shared" si="1473"/>
        <v>-18.661000000000001</v>
      </c>
      <c r="AZ688" s="2">
        <f t="shared" si="1473"/>
        <v>0</v>
      </c>
      <c r="BA688" s="2">
        <f t="shared" si="1474"/>
        <v>0</v>
      </c>
      <c r="BB688" s="2">
        <f t="shared" si="1474"/>
        <v>0</v>
      </c>
      <c r="BC688" s="2">
        <f t="shared" si="1474"/>
        <v>0</v>
      </c>
      <c r="BD688" s="86">
        <f t="shared" si="1475"/>
        <v>0</v>
      </c>
      <c r="BE688" s="2">
        <f t="shared" si="1475"/>
        <v>0</v>
      </c>
      <c r="BF688" s="2">
        <f t="shared" si="1476"/>
        <v>0</v>
      </c>
      <c r="BG688" s="2">
        <f t="shared" si="1476"/>
        <v>0</v>
      </c>
      <c r="BH688" s="2">
        <f t="shared" si="1476"/>
        <v>0</v>
      </c>
      <c r="BI688" s="90">
        <f t="shared" si="1477"/>
        <v>0</v>
      </c>
      <c r="BJ688" s="2"/>
      <c r="BK688" s="2"/>
      <c r="BL688" s="2"/>
      <c r="BM688" s="2"/>
      <c r="BN688" s="86">
        <f t="shared" si="1478"/>
        <v>0</v>
      </c>
      <c r="BO688" s="2"/>
      <c r="BP688" s="2"/>
      <c r="BQ688" s="2"/>
      <c r="BR688" s="2"/>
      <c r="BS688" s="86">
        <f t="shared" si="1479"/>
        <v>0</v>
      </c>
      <c r="BT688" s="86"/>
      <c r="BU688" s="86"/>
      <c r="BV688" s="86"/>
      <c r="BW688" s="4"/>
    </row>
    <row r="689" spans="1:75" ht="15.75" customHeight="1" x14ac:dyDescent="0.2">
      <c r="A689" s="85" t="str">
        <f t="shared" si="1454"/>
        <v>Common stock issuance</v>
      </c>
      <c r="B689" s="2"/>
      <c r="C689" s="86">
        <f t="shared" ref="C689:G692" si="1486">C618</f>
        <v>0</v>
      </c>
      <c r="D689" s="86">
        <f t="shared" si="1486"/>
        <v>0</v>
      </c>
      <c r="E689" s="86">
        <f t="shared" si="1486"/>
        <v>0</v>
      </c>
      <c r="F689" s="86">
        <f t="shared" si="1486"/>
        <v>0</v>
      </c>
      <c r="G689" s="2">
        <f t="shared" si="1486"/>
        <v>0</v>
      </c>
      <c r="H689" s="2">
        <f t="shared" ref="H689:J692" si="1487">H618-G618</f>
        <v>0</v>
      </c>
      <c r="I689" s="2">
        <f t="shared" si="1487"/>
        <v>0</v>
      </c>
      <c r="J689" s="2">
        <f t="shared" si="1487"/>
        <v>0</v>
      </c>
      <c r="K689" s="86">
        <f t="shared" ref="K689:L692" si="1488">K618</f>
        <v>0</v>
      </c>
      <c r="L689" s="2">
        <f t="shared" si="1488"/>
        <v>0</v>
      </c>
      <c r="M689" s="2">
        <f t="shared" ref="M689:O692" si="1489">M618-L618</f>
        <v>0</v>
      </c>
      <c r="N689" s="2">
        <f t="shared" si="1489"/>
        <v>0</v>
      </c>
      <c r="O689" s="2">
        <f t="shared" si="1489"/>
        <v>0</v>
      </c>
      <c r="P689" s="86">
        <f t="shared" ref="P689:Q692" si="1490">P618</f>
        <v>0</v>
      </c>
      <c r="Q689" s="2">
        <f t="shared" si="1490"/>
        <v>0</v>
      </c>
      <c r="R689" s="2">
        <f t="shared" ref="R689:T692" si="1491">R618-Q618</f>
        <v>0</v>
      </c>
      <c r="S689" s="2">
        <f t="shared" si="1491"/>
        <v>0</v>
      </c>
      <c r="T689" s="2">
        <f t="shared" si="1491"/>
        <v>0</v>
      </c>
      <c r="U689" s="86">
        <f t="shared" ref="U689:V692" si="1492">U618</f>
        <v>0</v>
      </c>
      <c r="V689" s="2">
        <f t="shared" si="1492"/>
        <v>0</v>
      </c>
      <c r="W689" s="2">
        <f t="shared" ref="W689:Y692" si="1493">W618-V618</f>
        <v>0</v>
      </c>
      <c r="X689" s="2">
        <f t="shared" si="1493"/>
        <v>0</v>
      </c>
      <c r="Y689" s="2">
        <f t="shared" si="1493"/>
        <v>0</v>
      </c>
      <c r="Z689" s="86">
        <f t="shared" ref="Z689:AA692" si="1494">Z618</f>
        <v>0</v>
      </c>
      <c r="AA689" s="2">
        <f t="shared" si="1494"/>
        <v>0</v>
      </c>
      <c r="AB689" s="2">
        <f t="shared" ref="AB689:AD692" si="1495">AB618-AA618</f>
        <v>0</v>
      </c>
      <c r="AC689" s="2">
        <f t="shared" si="1495"/>
        <v>0</v>
      </c>
      <c r="AD689" s="2">
        <f t="shared" si="1495"/>
        <v>0</v>
      </c>
      <c r="AE689" s="86">
        <f t="shared" ref="AE689:AF692" si="1496">AE618</f>
        <v>0</v>
      </c>
      <c r="AF689" s="2">
        <f t="shared" si="1496"/>
        <v>0</v>
      </c>
      <c r="AG689" s="2">
        <f t="shared" ref="AG689:AI692" si="1497">AG618-AF618</f>
        <v>0</v>
      </c>
      <c r="AH689" s="2">
        <f t="shared" si="1497"/>
        <v>0</v>
      </c>
      <c r="AI689" s="2">
        <f t="shared" si="1497"/>
        <v>0</v>
      </c>
      <c r="AJ689" s="86">
        <f t="shared" ref="AJ689:AK692" si="1498">AJ618</f>
        <v>0</v>
      </c>
      <c r="AK689" s="2">
        <f t="shared" si="1498"/>
        <v>0</v>
      </c>
      <c r="AL689" s="2">
        <f t="shared" ref="AL689:AN692" si="1499">AL618-AK618</f>
        <v>0</v>
      </c>
      <c r="AM689" s="2">
        <f t="shared" si="1499"/>
        <v>0</v>
      </c>
      <c r="AN689" s="2">
        <f t="shared" si="1499"/>
        <v>0</v>
      </c>
      <c r="AO689" s="86">
        <f t="shared" ref="AO689:AP692" si="1500">AO618</f>
        <v>0</v>
      </c>
      <c r="AP689" s="2">
        <f t="shared" si="1500"/>
        <v>0</v>
      </c>
      <c r="AQ689" s="2">
        <f t="shared" ref="AQ689:AS692" si="1501">AQ618-AP618</f>
        <v>0</v>
      </c>
      <c r="AR689" s="2">
        <f t="shared" si="1501"/>
        <v>0</v>
      </c>
      <c r="AS689" s="2">
        <f t="shared" si="1501"/>
        <v>0</v>
      </c>
      <c r="AT689" s="86">
        <f t="shared" ref="AT689:AU692" si="1502">AT618</f>
        <v>0</v>
      </c>
      <c r="AU689" s="2">
        <f t="shared" si="1502"/>
        <v>0</v>
      </c>
      <c r="AV689" s="2">
        <f t="shared" ref="AV689:AX692" si="1503">AV618-AU618</f>
        <v>175</v>
      </c>
      <c r="AW689" s="2">
        <f t="shared" si="1503"/>
        <v>0</v>
      </c>
      <c r="AX689" s="2">
        <f t="shared" si="1503"/>
        <v>0</v>
      </c>
      <c r="AY689" s="86">
        <f t="shared" ref="AY689:AZ692" si="1504">AY618</f>
        <v>175</v>
      </c>
      <c r="AZ689" s="2">
        <f t="shared" si="1504"/>
        <v>0</v>
      </c>
      <c r="BA689" s="2">
        <f t="shared" ref="BA689:BC692" si="1505">BA618-AZ618</f>
        <v>0</v>
      </c>
      <c r="BB689" s="2">
        <f t="shared" si="1505"/>
        <v>0</v>
      </c>
      <c r="BC689" s="2">
        <f t="shared" si="1505"/>
        <v>0</v>
      </c>
      <c r="BD689" s="86">
        <f t="shared" ref="BD689:BE692" si="1506">BD618</f>
        <v>0</v>
      </c>
      <c r="BE689" s="2">
        <f t="shared" si="1506"/>
        <v>0</v>
      </c>
      <c r="BF689" s="2">
        <f t="shared" ref="BF689:BH692" si="1507">BF618-BE618</f>
        <v>0</v>
      </c>
      <c r="BG689" s="2">
        <f t="shared" si="1507"/>
        <v>0</v>
      </c>
      <c r="BH689" s="2">
        <f t="shared" si="1507"/>
        <v>0</v>
      </c>
      <c r="BI689" s="90">
        <f t="shared" si="1477"/>
        <v>0</v>
      </c>
      <c r="BJ689" s="2"/>
      <c r="BK689" s="2"/>
      <c r="BL689" s="2"/>
      <c r="BM689" s="2"/>
      <c r="BN689" s="86">
        <f t="shared" si="1478"/>
        <v>0</v>
      </c>
      <c r="BO689" s="2"/>
      <c r="BP689" s="2"/>
      <c r="BQ689" s="2"/>
      <c r="BR689" s="2"/>
      <c r="BS689" s="86">
        <f t="shared" si="1479"/>
        <v>0</v>
      </c>
      <c r="BT689" s="86"/>
      <c r="BU689" s="86"/>
      <c r="BV689" s="86"/>
      <c r="BW689" s="4"/>
    </row>
    <row r="690" spans="1:75" ht="15.75" customHeight="1" x14ac:dyDescent="0.2">
      <c r="A690" s="85" t="str">
        <f t="shared" si="1454"/>
        <v>Common stock issuance direct and incremental costs</v>
      </c>
      <c r="B690" s="2"/>
      <c r="C690" s="86">
        <f t="shared" si="1486"/>
        <v>0</v>
      </c>
      <c r="D690" s="86">
        <f t="shared" si="1486"/>
        <v>0</v>
      </c>
      <c r="E690" s="86">
        <f t="shared" si="1486"/>
        <v>0</v>
      </c>
      <c r="F690" s="86">
        <f t="shared" si="1486"/>
        <v>0</v>
      </c>
      <c r="G690" s="2">
        <f t="shared" si="1486"/>
        <v>0</v>
      </c>
      <c r="H690" s="2">
        <f t="shared" si="1487"/>
        <v>0</v>
      </c>
      <c r="I690" s="2">
        <f t="shared" si="1487"/>
        <v>0</v>
      </c>
      <c r="J690" s="2">
        <f t="shared" si="1487"/>
        <v>0</v>
      </c>
      <c r="K690" s="86">
        <f t="shared" si="1488"/>
        <v>0</v>
      </c>
      <c r="L690" s="2">
        <f t="shared" si="1488"/>
        <v>0</v>
      </c>
      <c r="M690" s="2">
        <f t="shared" si="1489"/>
        <v>0</v>
      </c>
      <c r="N690" s="2">
        <f t="shared" si="1489"/>
        <v>0</v>
      </c>
      <c r="O690" s="2">
        <f t="shared" si="1489"/>
        <v>0</v>
      </c>
      <c r="P690" s="86">
        <f t="shared" si="1490"/>
        <v>0</v>
      </c>
      <c r="Q690" s="2">
        <f t="shared" si="1490"/>
        <v>0</v>
      </c>
      <c r="R690" s="2">
        <f t="shared" si="1491"/>
        <v>0</v>
      </c>
      <c r="S690" s="2">
        <f t="shared" si="1491"/>
        <v>0</v>
      </c>
      <c r="T690" s="2">
        <f t="shared" si="1491"/>
        <v>0</v>
      </c>
      <c r="U690" s="86">
        <f t="shared" si="1492"/>
        <v>0</v>
      </c>
      <c r="V690" s="2">
        <f t="shared" si="1492"/>
        <v>0</v>
      </c>
      <c r="W690" s="2">
        <f t="shared" si="1493"/>
        <v>0</v>
      </c>
      <c r="X690" s="2">
        <f t="shared" si="1493"/>
        <v>0</v>
      </c>
      <c r="Y690" s="2">
        <f t="shared" si="1493"/>
        <v>0</v>
      </c>
      <c r="Z690" s="86">
        <f t="shared" si="1494"/>
        <v>0</v>
      </c>
      <c r="AA690" s="2">
        <f t="shared" si="1494"/>
        <v>0</v>
      </c>
      <c r="AB690" s="2">
        <f t="shared" si="1495"/>
        <v>0</v>
      </c>
      <c r="AC690" s="2">
        <f t="shared" si="1495"/>
        <v>0</v>
      </c>
      <c r="AD690" s="2">
        <f t="shared" si="1495"/>
        <v>0</v>
      </c>
      <c r="AE690" s="86">
        <f t="shared" si="1496"/>
        <v>0</v>
      </c>
      <c r="AF690" s="2">
        <f t="shared" si="1496"/>
        <v>0</v>
      </c>
      <c r="AG690" s="2">
        <f t="shared" si="1497"/>
        <v>0</v>
      </c>
      <c r="AH690" s="2">
        <f t="shared" si="1497"/>
        <v>0</v>
      </c>
      <c r="AI690" s="2">
        <f t="shared" si="1497"/>
        <v>0</v>
      </c>
      <c r="AJ690" s="86">
        <f t="shared" si="1498"/>
        <v>0</v>
      </c>
      <c r="AK690" s="2">
        <f t="shared" si="1498"/>
        <v>0</v>
      </c>
      <c r="AL690" s="2">
        <f t="shared" si="1499"/>
        <v>0</v>
      </c>
      <c r="AM690" s="2">
        <f t="shared" si="1499"/>
        <v>0</v>
      </c>
      <c r="AN690" s="2">
        <f t="shared" si="1499"/>
        <v>0</v>
      </c>
      <c r="AO690" s="86">
        <f t="shared" si="1500"/>
        <v>0</v>
      </c>
      <c r="AP690" s="2">
        <f t="shared" si="1500"/>
        <v>0</v>
      </c>
      <c r="AQ690" s="2">
        <f t="shared" si="1501"/>
        <v>0</v>
      </c>
      <c r="AR690" s="2">
        <f t="shared" si="1501"/>
        <v>0</v>
      </c>
      <c r="AS690" s="2">
        <f t="shared" si="1501"/>
        <v>0</v>
      </c>
      <c r="AT690" s="86">
        <f t="shared" si="1502"/>
        <v>0</v>
      </c>
      <c r="AU690" s="2">
        <f t="shared" si="1502"/>
        <v>0</v>
      </c>
      <c r="AV690" s="2">
        <f t="shared" si="1503"/>
        <v>-7.95</v>
      </c>
      <c r="AW690" s="2">
        <f t="shared" si="1503"/>
        <v>0</v>
      </c>
      <c r="AX690" s="2">
        <f t="shared" si="1503"/>
        <v>0</v>
      </c>
      <c r="AY690" s="86">
        <f t="shared" si="1504"/>
        <v>-7.95</v>
      </c>
      <c r="AZ690" s="2">
        <f t="shared" si="1504"/>
        <v>0</v>
      </c>
      <c r="BA690" s="2">
        <f t="shared" si="1505"/>
        <v>0</v>
      </c>
      <c r="BB690" s="2">
        <f t="shared" si="1505"/>
        <v>0</v>
      </c>
      <c r="BC690" s="2">
        <f t="shared" si="1505"/>
        <v>0</v>
      </c>
      <c r="BD690" s="86">
        <f t="shared" si="1506"/>
        <v>0</v>
      </c>
      <c r="BE690" s="2">
        <f t="shared" si="1506"/>
        <v>0</v>
      </c>
      <c r="BF690" s="2">
        <f t="shared" si="1507"/>
        <v>0</v>
      </c>
      <c r="BG690" s="2">
        <f t="shared" si="1507"/>
        <v>0</v>
      </c>
      <c r="BH690" s="2">
        <f t="shared" si="1507"/>
        <v>0</v>
      </c>
      <c r="BI690" s="90">
        <f t="shared" si="1477"/>
        <v>0</v>
      </c>
      <c r="BJ690" s="2"/>
      <c r="BK690" s="2"/>
      <c r="BL690" s="2"/>
      <c r="BM690" s="2"/>
      <c r="BN690" s="86">
        <f t="shared" si="1478"/>
        <v>0</v>
      </c>
      <c r="BO690" s="2"/>
      <c r="BP690" s="2"/>
      <c r="BQ690" s="2"/>
      <c r="BR690" s="2"/>
      <c r="BS690" s="86">
        <f t="shared" si="1479"/>
        <v>0</v>
      </c>
      <c r="BT690" s="86"/>
      <c r="BU690" s="86"/>
      <c r="BV690" s="86"/>
      <c r="BW690" s="4"/>
    </row>
    <row r="691" spans="1:75" ht="15.75" customHeight="1" x14ac:dyDescent="0.2">
      <c r="A691" s="85" t="str">
        <f t="shared" si="1454"/>
        <v>Treasury stock purchases</v>
      </c>
      <c r="B691" s="2"/>
      <c r="C691" s="86">
        <f t="shared" si="1486"/>
        <v>0</v>
      </c>
      <c r="D691" s="86">
        <f t="shared" si="1486"/>
        <v>-52.088000000000001</v>
      </c>
      <c r="E691" s="86">
        <f t="shared" si="1486"/>
        <v>-172.126</v>
      </c>
      <c r="F691" s="86">
        <f t="shared" si="1486"/>
        <v>-101.392</v>
      </c>
      <c r="G691" s="2">
        <f t="shared" si="1486"/>
        <v>-41.994</v>
      </c>
      <c r="H691" s="2">
        <f t="shared" si="1487"/>
        <v>-3.2890000000000015</v>
      </c>
      <c r="I691" s="2">
        <f t="shared" si="1487"/>
        <v>-90.249000000000009</v>
      </c>
      <c r="J691" s="2">
        <f t="shared" si="1487"/>
        <v>-48.126999999999981</v>
      </c>
      <c r="K691" s="86">
        <f t="shared" si="1488"/>
        <v>-183.65899999999999</v>
      </c>
      <c r="L691" s="2">
        <f t="shared" si="1488"/>
        <v>-98.980999999999995</v>
      </c>
      <c r="M691" s="2">
        <f t="shared" si="1489"/>
        <v>-24.206000000000003</v>
      </c>
      <c r="N691" s="2">
        <f t="shared" si="1489"/>
        <v>-17.14</v>
      </c>
      <c r="O691" s="2">
        <f t="shared" si="1489"/>
        <v>-0.15600000000000591</v>
      </c>
      <c r="P691" s="86">
        <f t="shared" si="1490"/>
        <v>-140.483</v>
      </c>
      <c r="Q691" s="2">
        <f t="shared" si="1490"/>
        <v>-80.388999999999996</v>
      </c>
      <c r="R691" s="2">
        <f t="shared" si="1491"/>
        <v>-3.8080000000000069</v>
      </c>
      <c r="S691" s="2">
        <f t="shared" si="1491"/>
        <v>-7.828000000000003</v>
      </c>
      <c r="T691" s="2">
        <f t="shared" si="1491"/>
        <v>-17.345999999999989</v>
      </c>
      <c r="U691" s="86">
        <f t="shared" si="1492"/>
        <v>-109.371</v>
      </c>
      <c r="V691" s="2">
        <f t="shared" si="1492"/>
        <v>-50.045999999999999</v>
      </c>
      <c r="W691" s="2">
        <f t="shared" si="1493"/>
        <v>-26.583999999999996</v>
      </c>
      <c r="X691" s="2">
        <f t="shared" si="1493"/>
        <v>-42.371000000000009</v>
      </c>
      <c r="Y691" s="2">
        <f t="shared" si="1493"/>
        <v>-27.466000000000008</v>
      </c>
      <c r="Z691" s="86">
        <f t="shared" si="1494"/>
        <v>-146.46700000000001</v>
      </c>
      <c r="AA691" s="2">
        <f t="shared" si="1494"/>
        <v>-9.2910000000000004</v>
      </c>
      <c r="AB691" s="2">
        <f t="shared" si="1495"/>
        <v>-21.262999999999998</v>
      </c>
      <c r="AC691" s="2">
        <f t="shared" si="1495"/>
        <v>-75.825999999999993</v>
      </c>
      <c r="AD691" s="2">
        <f t="shared" si="1495"/>
        <v>-16.594999999999999</v>
      </c>
      <c r="AE691" s="86">
        <f t="shared" si="1496"/>
        <v>-122.97499999999999</v>
      </c>
      <c r="AF691" s="2">
        <f t="shared" si="1496"/>
        <v>-34.902999999999999</v>
      </c>
      <c r="AG691" s="2">
        <f t="shared" si="1497"/>
        <v>-7.1260000000000048</v>
      </c>
      <c r="AH691" s="2">
        <f t="shared" si="1497"/>
        <v>-18.863999999999997</v>
      </c>
      <c r="AI691" s="2">
        <f t="shared" si="1497"/>
        <v>-48.382999999999996</v>
      </c>
      <c r="AJ691" s="86">
        <f t="shared" si="1498"/>
        <v>-109.276</v>
      </c>
      <c r="AK691" s="2">
        <f t="shared" si="1498"/>
        <v>-11.071</v>
      </c>
      <c r="AL691" s="2">
        <f t="shared" si="1499"/>
        <v>-28.093000000000004</v>
      </c>
      <c r="AM691" s="2">
        <f t="shared" si="1499"/>
        <v>-11.396999999999998</v>
      </c>
      <c r="AN691" s="2">
        <f t="shared" si="1499"/>
        <v>-0.42099999999999937</v>
      </c>
      <c r="AO691" s="86">
        <f t="shared" si="1500"/>
        <v>-50.981999999999999</v>
      </c>
      <c r="AP691" s="2">
        <f t="shared" si="1500"/>
        <v>-2.5859999999999999</v>
      </c>
      <c r="AQ691" s="2">
        <f t="shared" si="1501"/>
        <v>-0.26600000000000001</v>
      </c>
      <c r="AR691" s="2">
        <f t="shared" si="1501"/>
        <v>-0.39000000000000012</v>
      </c>
      <c r="AS691" s="2">
        <f t="shared" si="1501"/>
        <v>-0.379</v>
      </c>
      <c r="AT691" s="86">
        <f t="shared" si="1502"/>
        <v>-3.621</v>
      </c>
      <c r="AU691" s="2">
        <f t="shared" si="1502"/>
        <v>-3.9569999999999999</v>
      </c>
      <c r="AV691" s="2">
        <f t="shared" si="1503"/>
        <v>-0.60299999999999976</v>
      </c>
      <c r="AW691" s="2">
        <f t="shared" si="1503"/>
        <v>-0.68100000000000005</v>
      </c>
      <c r="AX691" s="2">
        <f t="shared" si="1503"/>
        <v>-0.52500000000000036</v>
      </c>
      <c r="AY691" s="86">
        <f t="shared" si="1504"/>
        <v>-5.766</v>
      </c>
      <c r="AZ691" s="2">
        <f t="shared" si="1504"/>
        <v>-3.9380000000000002</v>
      </c>
      <c r="BA691" s="2">
        <f t="shared" si="1505"/>
        <v>-10.879</v>
      </c>
      <c r="BB691" s="2">
        <f t="shared" si="1505"/>
        <v>-26.679000000000002</v>
      </c>
      <c r="BC691" s="2">
        <f t="shared" si="1505"/>
        <v>-21.635999999999996</v>
      </c>
      <c r="BD691" s="86">
        <f t="shared" si="1506"/>
        <v>-63.131999999999998</v>
      </c>
      <c r="BE691" s="2">
        <f t="shared" si="1506"/>
        <v>-12.375999999999999</v>
      </c>
      <c r="BF691" s="2">
        <f t="shared" si="1507"/>
        <v>-9.3190000000000008</v>
      </c>
      <c r="BG691" s="2">
        <f t="shared" si="1507"/>
        <v>-14.564999999999998</v>
      </c>
      <c r="BH691" s="2">
        <f t="shared" si="1507"/>
        <v>-9.8250000000000028</v>
      </c>
      <c r="BI691" s="90">
        <f t="shared" si="1477"/>
        <v>-46.085000000000001</v>
      </c>
      <c r="BJ691" s="2">
        <f t="shared" ref="BJ691:BM691" si="1508">BJ507</f>
        <v>0</v>
      </c>
      <c r="BK691" s="2">
        <f t="shared" si="1508"/>
        <v>0</v>
      </c>
      <c r="BL691" s="2">
        <f t="shared" si="1508"/>
        <v>0</v>
      </c>
      <c r="BM691" s="2">
        <f t="shared" si="1508"/>
        <v>0</v>
      </c>
      <c r="BN691" s="86">
        <f t="shared" si="1478"/>
        <v>0</v>
      </c>
      <c r="BO691" s="2">
        <f t="shared" ref="BO691:BR691" si="1509">BO507</f>
        <v>0</v>
      </c>
      <c r="BP691" s="2">
        <f t="shared" si="1509"/>
        <v>0</v>
      </c>
      <c r="BQ691" s="2">
        <f t="shared" si="1509"/>
        <v>0</v>
      </c>
      <c r="BR691" s="2">
        <f t="shared" si="1509"/>
        <v>0</v>
      </c>
      <c r="BS691" s="86">
        <f t="shared" si="1479"/>
        <v>0</v>
      </c>
      <c r="BT691" s="86">
        <f t="shared" ref="BT691:BV691" si="1510">BT507</f>
        <v>0</v>
      </c>
      <c r="BU691" s="86">
        <f t="shared" si="1510"/>
        <v>0</v>
      </c>
      <c r="BV691" s="86">
        <f t="shared" si="1510"/>
        <v>0</v>
      </c>
      <c r="BW691" s="4"/>
    </row>
    <row r="692" spans="1:75" ht="15.75" customHeight="1" x14ac:dyDescent="0.2">
      <c r="A692" s="92" t="str">
        <f t="shared" si="1454"/>
        <v>Payment for future treasury stock purchases under accelerated stock repurchase agreement</v>
      </c>
      <c r="B692" s="94"/>
      <c r="C692" s="93">
        <f t="shared" si="1486"/>
        <v>0</v>
      </c>
      <c r="D692" s="93">
        <f t="shared" si="1486"/>
        <v>0</v>
      </c>
      <c r="E692" s="93">
        <f t="shared" si="1486"/>
        <v>0</v>
      </c>
      <c r="F692" s="93">
        <f t="shared" si="1486"/>
        <v>0</v>
      </c>
      <c r="G692" s="94">
        <f t="shared" si="1486"/>
        <v>0</v>
      </c>
      <c r="H692" s="94">
        <f t="shared" si="1487"/>
        <v>0</v>
      </c>
      <c r="I692" s="94">
        <f t="shared" si="1487"/>
        <v>0</v>
      </c>
      <c r="J692" s="94">
        <f t="shared" si="1487"/>
        <v>0</v>
      </c>
      <c r="K692" s="93">
        <f t="shared" si="1488"/>
        <v>0</v>
      </c>
      <c r="L692" s="94">
        <f t="shared" si="1488"/>
        <v>-4.9039999999999999</v>
      </c>
      <c r="M692" s="94">
        <f t="shared" si="1489"/>
        <v>0</v>
      </c>
      <c r="N692" s="94">
        <f t="shared" si="1489"/>
        <v>4.9039999999999999</v>
      </c>
      <c r="O692" s="94">
        <f t="shared" si="1489"/>
        <v>0</v>
      </c>
      <c r="P692" s="93">
        <f t="shared" si="1490"/>
        <v>0</v>
      </c>
      <c r="Q692" s="94">
        <f t="shared" si="1490"/>
        <v>-4.601</v>
      </c>
      <c r="R692" s="94">
        <f t="shared" si="1491"/>
        <v>0</v>
      </c>
      <c r="S692" s="94">
        <f t="shared" si="1491"/>
        <v>4.601</v>
      </c>
      <c r="T692" s="94">
        <f t="shared" si="1491"/>
        <v>0</v>
      </c>
      <c r="U692" s="93">
        <f t="shared" si="1492"/>
        <v>0</v>
      </c>
      <c r="V692" s="94">
        <f t="shared" si="1492"/>
        <v>0</v>
      </c>
      <c r="W692" s="94">
        <f t="shared" si="1493"/>
        <v>0</v>
      </c>
      <c r="X692" s="94">
        <f t="shared" si="1493"/>
        <v>0</v>
      </c>
      <c r="Y692" s="94">
        <f t="shared" si="1493"/>
        <v>0</v>
      </c>
      <c r="Z692" s="93">
        <f t="shared" si="1494"/>
        <v>0</v>
      </c>
      <c r="AA692" s="94">
        <f t="shared" si="1494"/>
        <v>0</v>
      </c>
      <c r="AB692" s="94">
        <f t="shared" si="1495"/>
        <v>0</v>
      </c>
      <c r="AC692" s="94">
        <f t="shared" si="1495"/>
        <v>0</v>
      </c>
      <c r="AD692" s="94">
        <f t="shared" si="1495"/>
        <v>0</v>
      </c>
      <c r="AE692" s="93">
        <f t="shared" si="1496"/>
        <v>0</v>
      </c>
      <c r="AF692" s="94">
        <f t="shared" si="1496"/>
        <v>0</v>
      </c>
      <c r="AG692" s="94">
        <f t="shared" si="1497"/>
        <v>0</v>
      </c>
      <c r="AH692" s="94">
        <f t="shared" si="1497"/>
        <v>0</v>
      </c>
      <c r="AI692" s="94">
        <f t="shared" si="1497"/>
        <v>0</v>
      </c>
      <c r="AJ692" s="93">
        <f t="shared" si="1498"/>
        <v>0</v>
      </c>
      <c r="AK692" s="94">
        <f t="shared" si="1498"/>
        <v>0</v>
      </c>
      <c r="AL692" s="94">
        <f t="shared" si="1499"/>
        <v>0</v>
      </c>
      <c r="AM692" s="94">
        <f t="shared" si="1499"/>
        <v>0</v>
      </c>
      <c r="AN692" s="94">
        <f t="shared" si="1499"/>
        <v>0</v>
      </c>
      <c r="AO692" s="93">
        <f t="shared" si="1500"/>
        <v>0</v>
      </c>
      <c r="AP692" s="94">
        <f t="shared" si="1500"/>
        <v>0</v>
      </c>
      <c r="AQ692" s="94">
        <f t="shared" si="1501"/>
        <v>0</v>
      </c>
      <c r="AR692" s="94">
        <f t="shared" si="1501"/>
        <v>0</v>
      </c>
      <c r="AS692" s="94">
        <f t="shared" si="1501"/>
        <v>0</v>
      </c>
      <c r="AT692" s="93">
        <f t="shared" si="1502"/>
        <v>0</v>
      </c>
      <c r="AU692" s="94">
        <f t="shared" si="1502"/>
        <v>0</v>
      </c>
      <c r="AV692" s="94">
        <f t="shared" si="1503"/>
        <v>0</v>
      </c>
      <c r="AW692" s="94">
        <f t="shared" si="1503"/>
        <v>0</v>
      </c>
      <c r="AX692" s="94">
        <f t="shared" si="1503"/>
        <v>0</v>
      </c>
      <c r="AY692" s="93">
        <f t="shared" si="1504"/>
        <v>0</v>
      </c>
      <c r="AZ692" s="94">
        <f t="shared" si="1504"/>
        <v>0</v>
      </c>
      <c r="BA692" s="94">
        <f t="shared" si="1505"/>
        <v>0</v>
      </c>
      <c r="BB692" s="94">
        <f t="shared" si="1505"/>
        <v>0</v>
      </c>
      <c r="BC692" s="94">
        <f t="shared" si="1505"/>
        <v>0</v>
      </c>
      <c r="BD692" s="93">
        <f t="shared" si="1506"/>
        <v>0</v>
      </c>
      <c r="BE692" s="94">
        <f t="shared" si="1506"/>
        <v>0</v>
      </c>
      <c r="BF692" s="94">
        <f t="shared" si="1507"/>
        <v>0</v>
      </c>
      <c r="BG692" s="94">
        <f t="shared" si="1507"/>
        <v>0</v>
      </c>
      <c r="BH692" s="94">
        <f t="shared" si="1507"/>
        <v>0</v>
      </c>
      <c r="BI692" s="97">
        <f t="shared" si="1477"/>
        <v>0</v>
      </c>
      <c r="BJ692" s="94"/>
      <c r="BK692" s="94"/>
      <c r="BL692" s="94"/>
      <c r="BM692" s="94"/>
      <c r="BN692" s="93">
        <f t="shared" si="1478"/>
        <v>0</v>
      </c>
      <c r="BO692" s="94"/>
      <c r="BP692" s="94"/>
      <c r="BQ692" s="94"/>
      <c r="BR692" s="94"/>
      <c r="BS692" s="93">
        <f t="shared" si="1479"/>
        <v>0</v>
      </c>
      <c r="BT692" s="93"/>
      <c r="BU692" s="93"/>
      <c r="BV692" s="93"/>
      <c r="BW692" s="4"/>
    </row>
    <row r="693" spans="1:75" ht="15.75" customHeight="1" x14ac:dyDescent="0.2">
      <c r="A693" s="102" t="str">
        <f t="shared" si="1454"/>
        <v>Net CFF</v>
      </c>
      <c r="B693" s="102"/>
      <c r="C693" s="103">
        <f t="shared" ref="C693:BV693" si="1511">SUM(C673:C692)</f>
        <v>-167.542</v>
      </c>
      <c r="D693" s="103">
        <f t="shared" si="1511"/>
        <v>-115.48500000000001</v>
      </c>
      <c r="E693" s="103">
        <f t="shared" si="1511"/>
        <v>-151.85599999999999</v>
      </c>
      <c r="F693" s="103">
        <f t="shared" si="1511"/>
        <v>-71.858999999999995</v>
      </c>
      <c r="G693" s="106">
        <f t="shared" si="1511"/>
        <v>-26.541</v>
      </c>
      <c r="H693" s="106">
        <f t="shared" si="1511"/>
        <v>23.277000000000001</v>
      </c>
      <c r="I693" s="106">
        <f t="shared" si="1511"/>
        <v>-79.674000000000007</v>
      </c>
      <c r="J693" s="106">
        <f t="shared" si="1511"/>
        <v>-35.72199999999998</v>
      </c>
      <c r="K693" s="103">
        <f t="shared" si="1511"/>
        <v>-118.66</v>
      </c>
      <c r="L693" s="106">
        <f t="shared" si="1511"/>
        <v>-76.962999999999994</v>
      </c>
      <c r="M693" s="106">
        <f t="shared" si="1511"/>
        <v>-22.863000000000003</v>
      </c>
      <c r="N693" s="106">
        <f t="shared" si="1511"/>
        <v>-11.419999999999998</v>
      </c>
      <c r="O693" s="106">
        <f t="shared" si="1511"/>
        <v>-16.275000000000006</v>
      </c>
      <c r="P693" s="103">
        <f t="shared" si="1511"/>
        <v>-127.52099999999999</v>
      </c>
      <c r="Q693" s="106">
        <f t="shared" si="1511"/>
        <v>-59.189999999999991</v>
      </c>
      <c r="R693" s="106">
        <f t="shared" si="1511"/>
        <v>2.1749999999999918</v>
      </c>
      <c r="S693" s="106">
        <f t="shared" si="1511"/>
        <v>-22.613000000000003</v>
      </c>
      <c r="T693" s="106">
        <f t="shared" si="1511"/>
        <v>-14.25799999999999</v>
      </c>
      <c r="U693" s="103">
        <f t="shared" si="1511"/>
        <v>-93.885999999999996</v>
      </c>
      <c r="V693" s="106">
        <f t="shared" si="1511"/>
        <v>-43.179000000000002</v>
      </c>
      <c r="W693" s="106">
        <f t="shared" si="1511"/>
        <v>-31.710999999999995</v>
      </c>
      <c r="X693" s="106">
        <f t="shared" si="1511"/>
        <v>-47.748000000000012</v>
      </c>
      <c r="Y693" s="106">
        <f t="shared" si="1511"/>
        <v>-10.436000000000007</v>
      </c>
      <c r="Z693" s="103">
        <f t="shared" si="1511"/>
        <v>-133.07400000000001</v>
      </c>
      <c r="AA693" s="106">
        <f t="shared" si="1511"/>
        <v>-16.664000000000001</v>
      </c>
      <c r="AB693" s="106">
        <f t="shared" si="1511"/>
        <v>-31.481999999999999</v>
      </c>
      <c r="AC693" s="106">
        <f t="shared" si="1511"/>
        <v>-56.763999999999996</v>
      </c>
      <c r="AD693" s="106">
        <f t="shared" si="1511"/>
        <v>-41.181000000000004</v>
      </c>
      <c r="AE693" s="103">
        <f t="shared" si="1511"/>
        <v>-146.09100000000001</v>
      </c>
      <c r="AF693" s="106">
        <f t="shared" si="1511"/>
        <v>-25.171999999999997</v>
      </c>
      <c r="AG693" s="106">
        <f t="shared" si="1511"/>
        <v>-25.939000000000007</v>
      </c>
      <c r="AH693" s="106">
        <f t="shared" si="1511"/>
        <v>-18.536999999999995</v>
      </c>
      <c r="AI693" s="106">
        <f t="shared" si="1511"/>
        <v>-70.643000000000001</v>
      </c>
      <c r="AJ693" s="103">
        <f t="shared" si="1511"/>
        <v>-140.291</v>
      </c>
      <c r="AK693" s="106">
        <f t="shared" si="1511"/>
        <v>-10.157999999999999</v>
      </c>
      <c r="AL693" s="106">
        <f t="shared" si="1511"/>
        <v>-27.102000000000004</v>
      </c>
      <c r="AM693" s="106">
        <f t="shared" si="1511"/>
        <v>273.22499999999997</v>
      </c>
      <c r="AN693" s="106">
        <f t="shared" si="1511"/>
        <v>-59.945</v>
      </c>
      <c r="AO693" s="103">
        <f t="shared" si="1511"/>
        <v>176.01999999999998</v>
      </c>
      <c r="AP693" s="106">
        <f t="shared" si="1511"/>
        <v>71.736000000000004</v>
      </c>
      <c r="AQ693" s="106">
        <f t="shared" si="1511"/>
        <v>185.477</v>
      </c>
      <c r="AR693" s="106">
        <f t="shared" si="1511"/>
        <v>-0.39000000000000012</v>
      </c>
      <c r="AS693" s="106">
        <f t="shared" si="1511"/>
        <v>-113.131</v>
      </c>
      <c r="AT693" s="103">
        <f t="shared" si="1511"/>
        <v>143.69199999999998</v>
      </c>
      <c r="AU693" s="106">
        <f t="shared" si="1511"/>
        <v>14.286999999999999</v>
      </c>
      <c r="AV693" s="106">
        <f t="shared" si="1511"/>
        <v>-104.90899999999999</v>
      </c>
      <c r="AW693" s="106">
        <f t="shared" si="1511"/>
        <v>-0.68100000000000005</v>
      </c>
      <c r="AX693" s="106">
        <f t="shared" si="1511"/>
        <v>-17.524000000000001</v>
      </c>
      <c r="AY693" s="103">
        <f t="shared" si="1511"/>
        <v>-108.827</v>
      </c>
      <c r="AZ693" s="106">
        <f t="shared" si="1511"/>
        <v>-11.042</v>
      </c>
      <c r="BA693" s="106">
        <f t="shared" si="1511"/>
        <v>-25.167000000000002</v>
      </c>
      <c r="BB693" s="106">
        <f t="shared" si="1511"/>
        <v>-40.74</v>
      </c>
      <c r="BC693" s="106">
        <f t="shared" si="1511"/>
        <v>-46.686999999999983</v>
      </c>
      <c r="BD693" s="103">
        <f t="shared" si="1511"/>
        <v>-123.636</v>
      </c>
      <c r="BE693" s="106">
        <f t="shared" si="1511"/>
        <v>-25.558</v>
      </c>
      <c r="BF693" s="106">
        <f t="shared" si="1511"/>
        <v>-36.129000000000005</v>
      </c>
      <c r="BG693" s="106">
        <f t="shared" si="1511"/>
        <v>-38.941999999999993</v>
      </c>
      <c r="BH693" s="106">
        <f t="shared" si="1511"/>
        <v>-22.906000000000006</v>
      </c>
      <c r="BI693" s="115">
        <f t="shared" si="1511"/>
        <v>-123.535</v>
      </c>
      <c r="BJ693" s="106">
        <f t="shared" ca="1" si="1511"/>
        <v>-12.8974996727415</v>
      </c>
      <c r="BK693" s="106">
        <f t="shared" ca="1" si="1511"/>
        <v>-12.898789422708774</v>
      </c>
      <c r="BL693" s="106">
        <f t="shared" ca="1" si="1511"/>
        <v>-12.900079301651045</v>
      </c>
      <c r="BM693" s="106">
        <f t="shared" ca="1" si="1511"/>
        <v>-12.901369309581209</v>
      </c>
      <c r="BN693" s="103">
        <f t="shared" ca="1" si="1511"/>
        <v>-51.597737706682523</v>
      </c>
      <c r="BO693" s="106">
        <f t="shared" ca="1" si="1511"/>
        <v>-12.902659446512168</v>
      </c>
      <c r="BP693" s="106">
        <f t="shared" ca="1" si="1511"/>
        <v>-12.903949712456818</v>
      </c>
      <c r="BQ693" s="106">
        <f t="shared" ca="1" si="1511"/>
        <v>-12.905240107428064</v>
      </c>
      <c r="BR693" s="106">
        <f t="shared" ca="1" si="1511"/>
        <v>-12.906530631438805</v>
      </c>
      <c r="BS693" s="103">
        <f t="shared" ca="1" si="1511"/>
        <v>-51.618379897835858</v>
      </c>
      <c r="BT693" s="103">
        <f t="shared" ca="1" si="1511"/>
        <v>-51.639029443563224</v>
      </c>
      <c r="BU693" s="103">
        <f t="shared" ca="1" si="1511"/>
        <v>-51.659685055340645</v>
      </c>
      <c r="BV693" s="103">
        <f t="shared" ca="1" si="1511"/>
        <v>-51.680348929362786</v>
      </c>
      <c r="BW693" s="83"/>
    </row>
    <row r="694" spans="1:75" ht="15.75" customHeight="1" x14ac:dyDescent="0.2">
      <c r="A694" s="108"/>
      <c r="B694" s="108"/>
      <c r="C694" s="109"/>
      <c r="D694" s="109"/>
      <c r="E694" s="109"/>
      <c r="F694" s="109"/>
      <c r="G694" s="110"/>
      <c r="H694" s="110"/>
      <c r="I694" s="110"/>
      <c r="J694" s="110"/>
      <c r="K694" s="109"/>
      <c r="L694" s="110"/>
      <c r="M694" s="110"/>
      <c r="N694" s="110"/>
      <c r="O694" s="110"/>
      <c r="P694" s="109"/>
      <c r="Q694" s="110"/>
      <c r="R694" s="110"/>
      <c r="S694" s="110"/>
      <c r="T694" s="110"/>
      <c r="U694" s="109"/>
      <c r="V694" s="110"/>
      <c r="W694" s="110"/>
      <c r="X694" s="110"/>
      <c r="Y694" s="110"/>
      <c r="Z694" s="109"/>
      <c r="AA694" s="110"/>
      <c r="AB694" s="110"/>
      <c r="AC694" s="110"/>
      <c r="AD694" s="110"/>
      <c r="AE694" s="109"/>
      <c r="AF694" s="110"/>
      <c r="AG694" s="110"/>
      <c r="AH694" s="110"/>
      <c r="AI694" s="110"/>
      <c r="AJ694" s="109"/>
      <c r="AK694" s="110"/>
      <c r="AL694" s="110"/>
      <c r="AM694" s="110"/>
      <c r="AN694" s="110"/>
      <c r="AO694" s="109"/>
      <c r="AP694" s="110"/>
      <c r="AQ694" s="110"/>
      <c r="AR694" s="110"/>
      <c r="AS694" s="110"/>
      <c r="AT694" s="109"/>
      <c r="AU694" s="110"/>
      <c r="AV694" s="110"/>
      <c r="AW694" s="110"/>
      <c r="AX694" s="110"/>
      <c r="AY694" s="109"/>
      <c r="AZ694" s="110"/>
      <c r="BA694" s="110"/>
      <c r="BB694" s="110"/>
      <c r="BC694" s="110"/>
      <c r="BD694" s="109"/>
      <c r="BE694" s="110"/>
      <c r="BF694" s="110"/>
      <c r="BG694" s="110"/>
      <c r="BH694" s="110"/>
      <c r="BI694" s="107"/>
      <c r="BJ694" s="110"/>
      <c r="BK694" s="110"/>
      <c r="BL694" s="110"/>
      <c r="BM694" s="110"/>
      <c r="BN694" s="109"/>
      <c r="BO694" s="110"/>
      <c r="BP694" s="110"/>
      <c r="BQ694" s="110"/>
      <c r="BR694" s="110"/>
      <c r="BS694" s="109"/>
      <c r="BT694" s="109"/>
      <c r="BU694" s="109"/>
      <c r="BV694" s="109"/>
      <c r="BW694" s="83"/>
    </row>
    <row r="695" spans="1:75" ht="15.75" customHeight="1" x14ac:dyDescent="0.2">
      <c r="A695" s="85" t="str">
        <f t="shared" ref="A695:A696" si="1512">A624</f>
        <v>FX</v>
      </c>
      <c r="B695" s="85"/>
      <c r="C695" s="86">
        <f t="shared" ref="C695:G695" si="1513">C624</f>
        <v>0</v>
      </c>
      <c r="D695" s="86">
        <f t="shared" si="1513"/>
        <v>0</v>
      </c>
      <c r="E695" s="86">
        <f t="shared" si="1513"/>
        <v>0</v>
      </c>
      <c r="F695" s="86">
        <f t="shared" si="1513"/>
        <v>0</v>
      </c>
      <c r="G695" s="2">
        <f t="shared" si="1513"/>
        <v>0</v>
      </c>
      <c r="H695" s="2">
        <f t="shared" ref="H695:J695" si="1514">H624-G624</f>
        <v>0</v>
      </c>
      <c r="I695" s="2">
        <f t="shared" si="1514"/>
        <v>0</v>
      </c>
      <c r="J695" s="2">
        <f t="shared" si="1514"/>
        <v>0</v>
      </c>
      <c r="K695" s="86">
        <f t="shared" ref="K695:L695" si="1515">K624</f>
        <v>0</v>
      </c>
      <c r="L695" s="2">
        <f t="shared" si="1515"/>
        <v>0</v>
      </c>
      <c r="M695" s="2">
        <f t="shared" ref="M695:O695" si="1516">M624-L624</f>
        <v>0</v>
      </c>
      <c r="N695" s="2">
        <f t="shared" si="1516"/>
        <v>0</v>
      </c>
      <c r="O695" s="2">
        <f t="shared" si="1516"/>
        <v>0</v>
      </c>
      <c r="P695" s="86">
        <f t="shared" ref="P695:Q695" si="1517">P624</f>
        <v>0</v>
      </c>
      <c r="Q695" s="2">
        <f t="shared" si="1517"/>
        <v>0</v>
      </c>
      <c r="R695" s="2">
        <f t="shared" ref="R695:T695" si="1518">R624-Q624</f>
        <v>0</v>
      </c>
      <c r="S695" s="2">
        <f t="shared" si="1518"/>
        <v>0</v>
      </c>
      <c r="T695" s="2">
        <f t="shared" si="1518"/>
        <v>0</v>
      </c>
      <c r="U695" s="86">
        <f t="shared" ref="U695:V695" si="1519">U624</f>
        <v>0</v>
      </c>
      <c r="V695" s="2">
        <f t="shared" si="1519"/>
        <v>0</v>
      </c>
      <c r="W695" s="2">
        <f t="shared" ref="W695:Y695" si="1520">W624-V624</f>
        <v>0</v>
      </c>
      <c r="X695" s="2">
        <f t="shared" si="1520"/>
        <v>0</v>
      </c>
      <c r="Y695" s="2">
        <f t="shared" si="1520"/>
        <v>0</v>
      </c>
      <c r="Z695" s="86">
        <f t="shared" ref="Z695:AA695" si="1521">Z624</f>
        <v>0</v>
      </c>
      <c r="AA695" s="2">
        <f t="shared" si="1521"/>
        <v>0</v>
      </c>
      <c r="AB695" s="2">
        <f t="shared" ref="AB695:AD695" si="1522">AB624-AA624</f>
        <v>0</v>
      </c>
      <c r="AC695" s="2">
        <f t="shared" si="1522"/>
        <v>-2.4E-2</v>
      </c>
      <c r="AD695" s="2">
        <f t="shared" si="1522"/>
        <v>-7.8999999999999987E-2</v>
      </c>
      <c r="AE695" s="86">
        <f t="shared" ref="AE695:AF695" si="1523">AE624</f>
        <v>-0.10299999999999999</v>
      </c>
      <c r="AF695" s="2">
        <f t="shared" si="1523"/>
        <v>1.7000000000000001E-2</v>
      </c>
      <c r="AG695" s="2">
        <f t="shared" ref="AG695:AI695" si="1524">AG624-AF624</f>
        <v>-2.8000000000000001E-2</v>
      </c>
      <c r="AH695" s="2">
        <f t="shared" si="1524"/>
        <v>3.6999999999999998E-2</v>
      </c>
      <c r="AI695" s="2">
        <f t="shared" si="1524"/>
        <v>-9.0999999999999998E-2</v>
      </c>
      <c r="AJ695" s="86">
        <f t="shared" ref="AJ695:AK695" si="1525">AJ624</f>
        <v>-6.5000000000000002E-2</v>
      </c>
      <c r="AK695" s="2">
        <f t="shared" si="1525"/>
        <v>0.04</v>
      </c>
      <c r="AL695" s="2">
        <f t="shared" ref="AL695:AN695" si="1526">AL624-AK624</f>
        <v>4.5999999999999992E-2</v>
      </c>
      <c r="AM695" s="2">
        <f t="shared" si="1526"/>
        <v>-2.8999999999999991E-2</v>
      </c>
      <c r="AN695" s="2">
        <f t="shared" si="1526"/>
        <v>6.0000000000000005E-2</v>
      </c>
      <c r="AO695" s="86">
        <f t="shared" ref="AO695:AP695" si="1527">AO624</f>
        <v>0.11700000000000001</v>
      </c>
      <c r="AP695" s="2">
        <f t="shared" si="1527"/>
        <v>-0.246</v>
      </c>
      <c r="AQ695" s="2">
        <f t="shared" ref="AQ695:AS695" si="1528">AQ624-AP624</f>
        <v>0.10699999999999998</v>
      </c>
      <c r="AR695" s="2">
        <f t="shared" si="1528"/>
        <v>3.9000000000000007E-2</v>
      </c>
      <c r="AS695" s="2">
        <f t="shared" si="1528"/>
        <v>8.3000000000000004E-2</v>
      </c>
      <c r="AT695" s="86">
        <f t="shared" ref="AT695:AU695" si="1529">AT624</f>
        <v>-1.7000000000000001E-2</v>
      </c>
      <c r="AU695" s="2">
        <f t="shared" si="1529"/>
        <v>3.7999999999999999E-2</v>
      </c>
      <c r="AV695" s="2">
        <f t="shared" ref="AV695:AX695" si="1530">AV624-AU624</f>
        <v>4.3000000000000003E-2</v>
      </c>
      <c r="AW695" s="2">
        <f t="shared" si="1530"/>
        <v>-7.0000000000000007E-2</v>
      </c>
      <c r="AX695" s="2">
        <f t="shared" si="1530"/>
        <v>-3.7999999999999999E-2</v>
      </c>
      <c r="AY695" s="86">
        <f t="shared" ref="AY695:AZ695" si="1531">AY624</f>
        <v>-2.7E-2</v>
      </c>
      <c r="AZ695" s="2">
        <f t="shared" si="1531"/>
        <v>9.0999999999999998E-2</v>
      </c>
      <c r="BA695" s="2">
        <f t="shared" ref="BA695:BC695" si="1532">BA624-AZ624</f>
        <v>-0.11699999999999999</v>
      </c>
      <c r="BB695" s="2">
        <f t="shared" si="1532"/>
        <v>-0.33499999999999996</v>
      </c>
      <c r="BC695" s="2">
        <f t="shared" si="1532"/>
        <v>3.5999999999999976E-2</v>
      </c>
      <c r="BD695" s="86">
        <f t="shared" ref="BD695:BE695" si="1533">BD624</f>
        <v>-0.32500000000000001</v>
      </c>
      <c r="BE695" s="2">
        <f t="shared" si="1533"/>
        <v>7.1999999999999995E-2</v>
      </c>
      <c r="BF695" s="2">
        <f t="shared" ref="BF695:BH695" si="1534">BF624-BE624</f>
        <v>8.7000000000000008E-2</v>
      </c>
      <c r="BG695" s="2">
        <f t="shared" si="1534"/>
        <v>-0.218</v>
      </c>
      <c r="BH695" s="2">
        <f t="shared" si="1534"/>
        <v>0.20299999999999999</v>
      </c>
      <c r="BI695" s="90">
        <f>BI624</f>
        <v>0.14399999999999999</v>
      </c>
      <c r="BJ695" s="88">
        <v>0</v>
      </c>
      <c r="BK695" s="88">
        <v>0</v>
      </c>
      <c r="BL695" s="88">
        <v>0</v>
      </c>
      <c r="BM695" s="88">
        <v>0</v>
      </c>
      <c r="BN695" s="86">
        <f>SUM(BJ695,BK695,BL695,BM695)</f>
        <v>0</v>
      </c>
      <c r="BO695" s="88">
        <v>0</v>
      </c>
      <c r="BP695" s="88">
        <v>0</v>
      </c>
      <c r="BQ695" s="88">
        <v>0</v>
      </c>
      <c r="BR695" s="88">
        <v>0</v>
      </c>
      <c r="BS695" s="86">
        <f>SUM(BO695,BP695,BQ695,BR695)</f>
        <v>0</v>
      </c>
      <c r="BT695" s="87">
        <v>0</v>
      </c>
      <c r="BU695" s="87">
        <v>0</v>
      </c>
      <c r="BV695" s="87">
        <v>0</v>
      </c>
      <c r="BW695" s="4"/>
    </row>
    <row r="696" spans="1:75" ht="15.75" customHeight="1" x14ac:dyDescent="0.2">
      <c r="A696" s="108" t="str">
        <f t="shared" si="1512"/>
        <v>Net Change in Cash Balance</v>
      </c>
      <c r="B696" s="108"/>
      <c r="C696" s="109">
        <f t="shared" ref="C696:BV696" si="1535">C693+C670+C658+C695</f>
        <v>-6.6500000000000057</v>
      </c>
      <c r="D696" s="109">
        <f t="shared" si="1535"/>
        <v>7.9040000000000532</v>
      </c>
      <c r="E696" s="109">
        <f t="shared" si="1535"/>
        <v>-33.408000000000015</v>
      </c>
      <c r="F696" s="109">
        <f t="shared" si="1535"/>
        <v>35.358000000000004</v>
      </c>
      <c r="G696" s="110">
        <f t="shared" si="1535"/>
        <v>3.5710000000000051</v>
      </c>
      <c r="H696" s="110">
        <f t="shared" si="1535"/>
        <v>43.48299999999999</v>
      </c>
      <c r="I696" s="110">
        <f t="shared" si="1535"/>
        <v>-47.998000000000012</v>
      </c>
      <c r="J696" s="110">
        <f t="shared" si="1535"/>
        <v>-20.873999999999981</v>
      </c>
      <c r="K696" s="109">
        <f t="shared" si="1535"/>
        <v>-21.817999999999984</v>
      </c>
      <c r="L696" s="110">
        <f t="shared" si="1535"/>
        <v>-30.286000000000001</v>
      </c>
      <c r="M696" s="110">
        <f t="shared" si="1535"/>
        <v>-5.8880000000000052</v>
      </c>
      <c r="N696" s="110">
        <f t="shared" si="1535"/>
        <v>-3.4359999999999928</v>
      </c>
      <c r="O696" s="110">
        <f t="shared" si="1535"/>
        <v>35.876999999999981</v>
      </c>
      <c r="P696" s="109">
        <f t="shared" si="1535"/>
        <v>-3.7329999999999472</v>
      </c>
      <c r="Q696" s="110">
        <f t="shared" si="1535"/>
        <v>-18.540000000000006</v>
      </c>
      <c r="R696" s="110">
        <f t="shared" si="1535"/>
        <v>22.069999999999979</v>
      </c>
      <c r="S696" s="110">
        <f t="shared" si="1535"/>
        <v>-31.941000000000017</v>
      </c>
      <c r="T696" s="110">
        <f t="shared" si="1535"/>
        <v>14.247000000000028</v>
      </c>
      <c r="U696" s="109">
        <f t="shared" si="1535"/>
        <v>-14.163999999999959</v>
      </c>
      <c r="V696" s="110">
        <f t="shared" si="1535"/>
        <v>10.067999999999984</v>
      </c>
      <c r="W696" s="110">
        <f t="shared" si="1535"/>
        <v>25.696000000000012</v>
      </c>
      <c r="X696" s="110">
        <f t="shared" si="1535"/>
        <v>-13.773000000000025</v>
      </c>
      <c r="Y696" s="110">
        <f t="shared" si="1535"/>
        <v>-12.006000000000014</v>
      </c>
      <c r="Z696" s="109">
        <f t="shared" si="1535"/>
        <v>9.9850000000000136</v>
      </c>
      <c r="AA696" s="110">
        <f t="shared" si="1535"/>
        <v>11.826999999999991</v>
      </c>
      <c r="AB696" s="110">
        <f t="shared" si="1535"/>
        <v>0.64800000000001035</v>
      </c>
      <c r="AC696" s="110">
        <f t="shared" si="1535"/>
        <v>-46.518999999999991</v>
      </c>
      <c r="AD696" s="110">
        <f t="shared" si="1535"/>
        <v>-13.787000000000013</v>
      </c>
      <c r="AE696" s="109">
        <f t="shared" si="1535"/>
        <v>-47.831000000000039</v>
      </c>
      <c r="AF696" s="110">
        <f t="shared" si="1535"/>
        <v>18.792999999999989</v>
      </c>
      <c r="AG696" s="110">
        <f t="shared" si="1535"/>
        <v>4.5679999999999827</v>
      </c>
      <c r="AH696" s="110">
        <f t="shared" si="1535"/>
        <v>-16.72999999999999</v>
      </c>
      <c r="AI696" s="110">
        <f t="shared" si="1535"/>
        <v>13.938999999999973</v>
      </c>
      <c r="AJ696" s="109">
        <f t="shared" si="1535"/>
        <v>20.569999999999933</v>
      </c>
      <c r="AK696" s="110">
        <f t="shared" si="1535"/>
        <v>-4.0489999999999844</v>
      </c>
      <c r="AL696" s="110">
        <f t="shared" si="1535"/>
        <v>7.4999999999996347E-2</v>
      </c>
      <c r="AM696" s="110">
        <f t="shared" si="1535"/>
        <v>283.64799999999997</v>
      </c>
      <c r="AN696" s="110">
        <f t="shared" si="1535"/>
        <v>-247.83599999999998</v>
      </c>
      <c r="AO696" s="109">
        <f t="shared" si="1535"/>
        <v>31.837999999999948</v>
      </c>
      <c r="AP696" s="110">
        <f t="shared" si="1535"/>
        <v>22.606999999999989</v>
      </c>
      <c r="AQ696" s="110">
        <f t="shared" si="1535"/>
        <v>169.13200000000003</v>
      </c>
      <c r="AR696" s="110">
        <f t="shared" si="1535"/>
        <v>-6.3870000000000271</v>
      </c>
      <c r="AS696" s="110">
        <f t="shared" si="1535"/>
        <v>-89.682999999999979</v>
      </c>
      <c r="AT696" s="109">
        <f t="shared" si="1535"/>
        <v>95.669000000000011</v>
      </c>
      <c r="AU696" s="110">
        <f t="shared" si="1535"/>
        <v>27.259999999999998</v>
      </c>
      <c r="AV696" s="110">
        <f t="shared" si="1535"/>
        <v>-19.577000000000005</v>
      </c>
      <c r="AW696" s="110">
        <f t="shared" si="1535"/>
        <v>-30.737999999999982</v>
      </c>
      <c r="AX696" s="110">
        <f t="shared" si="1535"/>
        <v>58.597000000000008</v>
      </c>
      <c r="AY696" s="109">
        <f t="shared" si="1535"/>
        <v>35.542000000000044</v>
      </c>
      <c r="AZ696" s="110">
        <f t="shared" si="1535"/>
        <v>-6.0709999999999988</v>
      </c>
      <c r="BA696" s="110">
        <f t="shared" si="1535"/>
        <v>11.334999999999997</v>
      </c>
      <c r="BB696" s="110">
        <f t="shared" si="1535"/>
        <v>-61.734000000000002</v>
      </c>
      <c r="BC696" s="110">
        <f t="shared" si="1535"/>
        <v>-18.379999999999995</v>
      </c>
      <c r="BD696" s="109">
        <f t="shared" si="1535"/>
        <v>-74.850000000000009</v>
      </c>
      <c r="BE696" s="110">
        <f t="shared" si="1535"/>
        <v>1.3869999999999765</v>
      </c>
      <c r="BF696" s="110">
        <f t="shared" si="1535"/>
        <v>-24.606999999999982</v>
      </c>
      <c r="BG696" s="110">
        <f t="shared" si="1535"/>
        <v>-27.56999999999999</v>
      </c>
      <c r="BH696" s="110">
        <f t="shared" si="1535"/>
        <v>-7.6970000000000054</v>
      </c>
      <c r="BI696" s="107">
        <f t="shared" si="1535"/>
        <v>-58.486999999999973</v>
      </c>
      <c r="BJ696" s="110">
        <f t="shared" ca="1" si="1535"/>
        <v>8.0790697284832476</v>
      </c>
      <c r="BK696" s="110">
        <f t="shared" ca="1" si="1535"/>
        <v>13.391209715334213</v>
      </c>
      <c r="BL696" s="110">
        <f t="shared" ca="1" si="1535"/>
        <v>-8.5211088580612326</v>
      </c>
      <c r="BM696" s="110">
        <f t="shared" ca="1" si="1535"/>
        <v>45.905196500398006</v>
      </c>
      <c r="BN696" s="109">
        <f t="shared" ca="1" si="1535"/>
        <v>58.854367086154213</v>
      </c>
      <c r="BO696" s="110">
        <f t="shared" ca="1" si="1535"/>
        <v>11.44697476485603</v>
      </c>
      <c r="BP696" s="110">
        <f t="shared" ca="1" si="1535"/>
        <v>14.751229520325367</v>
      </c>
      <c r="BQ696" s="110">
        <f t="shared" ca="1" si="1535"/>
        <v>-4.4337497829030212</v>
      </c>
      <c r="BR696" s="110">
        <f t="shared" ca="1" si="1535"/>
        <v>53.028438466648375</v>
      </c>
      <c r="BS696" s="109">
        <f t="shared" ca="1" si="1535"/>
        <v>74.792892968926736</v>
      </c>
      <c r="BT696" s="109">
        <f t="shared" ca="1" si="1535"/>
        <v>109.76193654093362</v>
      </c>
      <c r="BU696" s="109">
        <f t="shared" ca="1" si="1535"/>
        <v>132.18834173578043</v>
      </c>
      <c r="BV696" s="109">
        <f t="shared" ca="1" si="1535"/>
        <v>162.29523502563129</v>
      </c>
      <c r="BW696" s="83"/>
    </row>
    <row r="697" spans="1:75" ht="15.75" customHeight="1" x14ac:dyDescent="0.2">
      <c r="A697" s="108"/>
      <c r="B697" s="108"/>
      <c r="C697" s="109"/>
      <c r="D697" s="109"/>
      <c r="E697" s="109"/>
      <c r="F697" s="109"/>
      <c r="G697" s="110"/>
      <c r="H697" s="110"/>
      <c r="I697" s="110"/>
      <c r="J697" s="110"/>
      <c r="K697" s="109"/>
      <c r="L697" s="110"/>
      <c r="M697" s="110"/>
      <c r="N697" s="110"/>
      <c r="O697" s="110"/>
      <c r="P697" s="109"/>
      <c r="Q697" s="110"/>
      <c r="R697" s="110"/>
      <c r="S697" s="110"/>
      <c r="T697" s="110"/>
      <c r="U697" s="109"/>
      <c r="V697" s="110"/>
      <c r="W697" s="110"/>
      <c r="X697" s="110"/>
      <c r="Y697" s="110"/>
      <c r="Z697" s="109"/>
      <c r="AA697" s="110"/>
      <c r="AB697" s="110"/>
      <c r="AC697" s="110"/>
      <c r="AD697" s="110"/>
      <c r="AE697" s="109"/>
      <c r="AF697" s="110"/>
      <c r="AG697" s="110"/>
      <c r="AH697" s="110"/>
      <c r="AI697" s="110"/>
      <c r="AJ697" s="109"/>
      <c r="AK697" s="110"/>
      <c r="AL697" s="110"/>
      <c r="AM697" s="110"/>
      <c r="AN697" s="110"/>
      <c r="AO697" s="109"/>
      <c r="AP697" s="110"/>
      <c r="AQ697" s="110"/>
      <c r="AR697" s="110"/>
      <c r="AS697" s="110"/>
      <c r="AT697" s="109"/>
      <c r="AU697" s="110"/>
      <c r="AV697" s="110"/>
      <c r="AW697" s="110"/>
      <c r="AX697" s="110"/>
      <c r="AY697" s="109"/>
      <c r="AZ697" s="110"/>
      <c r="BA697" s="110"/>
      <c r="BB697" s="110"/>
      <c r="BC697" s="110"/>
      <c r="BD697" s="109"/>
      <c r="BE697" s="110"/>
      <c r="BF697" s="110"/>
      <c r="BG697" s="110"/>
      <c r="BH697" s="110"/>
      <c r="BI697" s="107"/>
      <c r="BJ697" s="110"/>
      <c r="BK697" s="110"/>
      <c r="BL697" s="110"/>
      <c r="BM697" s="110"/>
      <c r="BN697" s="109"/>
      <c r="BO697" s="110"/>
      <c r="BP697" s="110"/>
      <c r="BQ697" s="110"/>
      <c r="BR697" s="110"/>
      <c r="BS697" s="109"/>
      <c r="BT697" s="109"/>
      <c r="BU697" s="109"/>
      <c r="BV697" s="109"/>
      <c r="BW697" s="83"/>
    </row>
    <row r="698" spans="1:75" ht="15.75" customHeight="1" x14ac:dyDescent="0.2">
      <c r="A698" s="108" t="str">
        <f t="shared" ref="A698:A699" si="1536">A627</f>
        <v>Beginning Cash Balance</v>
      </c>
      <c r="B698" s="108"/>
      <c r="C698" s="109">
        <f>C627</f>
        <v>80.364999999999995</v>
      </c>
      <c r="D698" s="109">
        <f t="shared" ref="D698:J698" si="1537">C699</f>
        <v>73.714999999999989</v>
      </c>
      <c r="E698" s="109">
        <f t="shared" si="1537"/>
        <v>81.619000000000042</v>
      </c>
      <c r="F698" s="109">
        <f t="shared" si="1537"/>
        <v>48.211000000000027</v>
      </c>
      <c r="G698" s="110">
        <f t="shared" si="1537"/>
        <v>83.569000000000031</v>
      </c>
      <c r="H698" s="110">
        <f t="shared" si="1537"/>
        <v>87.140000000000043</v>
      </c>
      <c r="I698" s="110">
        <f t="shared" si="1537"/>
        <v>130.62300000000005</v>
      </c>
      <c r="J698" s="110">
        <f t="shared" si="1537"/>
        <v>82.625000000000028</v>
      </c>
      <c r="K698" s="109">
        <f>F699</f>
        <v>83.569000000000031</v>
      </c>
      <c r="L698" s="110">
        <f>K699</f>
        <v>61.751000000000047</v>
      </c>
      <c r="M698" s="110">
        <f t="shared" ref="M698:O698" si="1538">L699</f>
        <v>31.465000000000046</v>
      </c>
      <c r="N698" s="110">
        <f t="shared" si="1538"/>
        <v>25.577000000000041</v>
      </c>
      <c r="O698" s="110">
        <f t="shared" si="1538"/>
        <v>22.141000000000048</v>
      </c>
      <c r="P698" s="109">
        <f>K699</f>
        <v>61.751000000000047</v>
      </c>
      <c r="Q698" s="110">
        <f t="shared" ref="Q698:T698" si="1539">P699</f>
        <v>58.0180000000001</v>
      </c>
      <c r="R698" s="110">
        <f t="shared" si="1539"/>
        <v>39.478000000000094</v>
      </c>
      <c r="S698" s="110">
        <f t="shared" si="1539"/>
        <v>61.548000000000073</v>
      </c>
      <c r="T698" s="110">
        <f t="shared" si="1539"/>
        <v>29.607000000000056</v>
      </c>
      <c r="U698" s="109">
        <f>P699</f>
        <v>58.0180000000001</v>
      </c>
      <c r="V698" s="110">
        <f t="shared" ref="V698:Y698" si="1540">U699</f>
        <v>43.854000000000141</v>
      </c>
      <c r="W698" s="110">
        <f t="shared" si="1540"/>
        <v>53.922000000000125</v>
      </c>
      <c r="X698" s="110">
        <f t="shared" si="1540"/>
        <v>79.618000000000137</v>
      </c>
      <c r="Y698" s="110">
        <f t="shared" si="1540"/>
        <v>65.845000000000113</v>
      </c>
      <c r="Z698" s="109">
        <f>U699</f>
        <v>43.854000000000141</v>
      </c>
      <c r="AA698" s="110">
        <f t="shared" ref="AA698:AD698" si="1541">Z699</f>
        <v>53.839000000000155</v>
      </c>
      <c r="AB698" s="110">
        <f t="shared" si="1541"/>
        <v>65.666000000000139</v>
      </c>
      <c r="AC698" s="110">
        <f t="shared" si="1541"/>
        <v>66.314000000000149</v>
      </c>
      <c r="AD698" s="110">
        <f t="shared" si="1541"/>
        <v>19.795000000000158</v>
      </c>
      <c r="AE698" s="109">
        <f>Z699</f>
        <v>53.839000000000155</v>
      </c>
      <c r="AF698" s="110">
        <f t="shared" ref="AF698:AI698" si="1542">AE699</f>
        <v>6.0080000000001164</v>
      </c>
      <c r="AG698" s="110">
        <f t="shared" si="1542"/>
        <v>24.801000000000105</v>
      </c>
      <c r="AH698" s="110">
        <f t="shared" si="1542"/>
        <v>29.369000000000089</v>
      </c>
      <c r="AI698" s="110">
        <f t="shared" si="1542"/>
        <v>12.639000000000099</v>
      </c>
      <c r="AJ698" s="109">
        <f>AE699</f>
        <v>6.0080000000001164</v>
      </c>
      <c r="AK698" s="110">
        <f t="shared" ref="AK698:AN698" si="1543">AJ699</f>
        <v>26.578000000000049</v>
      </c>
      <c r="AL698" s="110">
        <f t="shared" si="1543"/>
        <v>22.529000000000064</v>
      </c>
      <c r="AM698" s="110">
        <f t="shared" si="1543"/>
        <v>22.60400000000006</v>
      </c>
      <c r="AN698" s="110">
        <f t="shared" si="1543"/>
        <v>306.25200000000001</v>
      </c>
      <c r="AO698" s="109">
        <f>AJ699</f>
        <v>26.578000000000049</v>
      </c>
      <c r="AP698" s="110">
        <f t="shared" ref="AP698:AS698" si="1544">AO699</f>
        <v>58.415999999999997</v>
      </c>
      <c r="AQ698" s="110">
        <f t="shared" si="1544"/>
        <v>81.022999999999982</v>
      </c>
      <c r="AR698" s="110">
        <f t="shared" si="1544"/>
        <v>250.15500000000003</v>
      </c>
      <c r="AS698" s="110">
        <f t="shared" si="1544"/>
        <v>243.768</v>
      </c>
      <c r="AT698" s="109">
        <f>AO699</f>
        <v>58.415999999999997</v>
      </c>
      <c r="AU698" s="110">
        <f t="shared" ref="AU698:AX698" si="1545">AT699</f>
        <v>154.08500000000001</v>
      </c>
      <c r="AV698" s="110">
        <f t="shared" si="1545"/>
        <v>181.345</v>
      </c>
      <c r="AW698" s="110">
        <f t="shared" si="1545"/>
        <v>161.768</v>
      </c>
      <c r="AX698" s="110">
        <f t="shared" si="1545"/>
        <v>131.03000000000003</v>
      </c>
      <c r="AY698" s="109">
        <f>AT699</f>
        <v>154.08500000000001</v>
      </c>
      <c r="AZ698" s="110">
        <f t="shared" ref="AZ698:BC698" si="1546">AY699</f>
        <v>189.62700000000007</v>
      </c>
      <c r="BA698" s="110">
        <f t="shared" si="1546"/>
        <v>183.55600000000007</v>
      </c>
      <c r="BB698" s="110">
        <f t="shared" si="1546"/>
        <v>194.89100000000008</v>
      </c>
      <c r="BC698" s="110">
        <f t="shared" si="1546"/>
        <v>133.15700000000007</v>
      </c>
      <c r="BD698" s="109">
        <f>AY699</f>
        <v>189.62700000000007</v>
      </c>
      <c r="BE698" s="110">
        <f t="shared" ref="BE698:BH698" si="1547">BD699</f>
        <v>114.77700000000006</v>
      </c>
      <c r="BF698" s="110">
        <f t="shared" si="1547"/>
        <v>116.16400000000003</v>
      </c>
      <c r="BG698" s="110">
        <f t="shared" si="1547"/>
        <v>91.557000000000045</v>
      </c>
      <c r="BH698" s="110">
        <f t="shared" si="1547"/>
        <v>63.987000000000052</v>
      </c>
      <c r="BI698" s="107">
        <f>BD699</f>
        <v>114.77700000000006</v>
      </c>
      <c r="BJ698" s="110">
        <f t="shared" ref="BJ698:BM698" si="1548">BI699</f>
        <v>56.290000000000084</v>
      </c>
      <c r="BK698" s="110">
        <f t="shared" ca="1" si="1548"/>
        <v>64.369069728483339</v>
      </c>
      <c r="BL698" s="110">
        <f t="shared" ca="1" si="1548"/>
        <v>77.760279443817552</v>
      </c>
      <c r="BM698" s="110">
        <f t="shared" ca="1" si="1548"/>
        <v>69.239170585756312</v>
      </c>
      <c r="BN698" s="109">
        <f>BI699</f>
        <v>56.290000000000084</v>
      </c>
      <c r="BO698" s="110">
        <f t="shared" ref="BO698:BR698" ca="1" si="1549">BN699</f>
        <v>115.14436708615429</v>
      </c>
      <c r="BP698" s="110">
        <f t="shared" ca="1" si="1549"/>
        <v>126.59134185101033</v>
      </c>
      <c r="BQ698" s="110">
        <f t="shared" ca="1" si="1549"/>
        <v>141.34257137133568</v>
      </c>
      <c r="BR698" s="110">
        <f t="shared" ca="1" si="1549"/>
        <v>136.90882158843266</v>
      </c>
      <c r="BS698" s="109">
        <f ca="1">BN699</f>
        <v>115.14436708615429</v>
      </c>
      <c r="BT698" s="109">
        <f t="shared" ref="BT698:BV698" ca="1" si="1550">BS699</f>
        <v>189.93726005508103</v>
      </c>
      <c r="BU698" s="109">
        <f t="shared" ca="1" si="1550"/>
        <v>299.69919659601464</v>
      </c>
      <c r="BV698" s="109">
        <f t="shared" ca="1" si="1550"/>
        <v>431.8875383317951</v>
      </c>
      <c r="BW698" s="83"/>
    </row>
    <row r="699" spans="1:75" ht="15.75" customHeight="1" x14ac:dyDescent="0.2">
      <c r="A699" s="108" t="str">
        <f t="shared" si="1536"/>
        <v>Ending Cash Balance</v>
      </c>
      <c r="B699" s="108"/>
      <c r="C699" s="109">
        <f t="shared" ref="C699:BV699" si="1551">C698+C696</f>
        <v>73.714999999999989</v>
      </c>
      <c r="D699" s="109">
        <f t="shared" si="1551"/>
        <v>81.619000000000042</v>
      </c>
      <c r="E699" s="109">
        <f t="shared" si="1551"/>
        <v>48.211000000000027</v>
      </c>
      <c r="F699" s="109">
        <f t="shared" si="1551"/>
        <v>83.569000000000031</v>
      </c>
      <c r="G699" s="110">
        <f t="shared" si="1551"/>
        <v>87.140000000000043</v>
      </c>
      <c r="H699" s="110">
        <f t="shared" si="1551"/>
        <v>130.62300000000005</v>
      </c>
      <c r="I699" s="110">
        <f t="shared" si="1551"/>
        <v>82.625000000000028</v>
      </c>
      <c r="J699" s="110">
        <f t="shared" si="1551"/>
        <v>61.751000000000047</v>
      </c>
      <c r="K699" s="109">
        <f t="shared" si="1551"/>
        <v>61.751000000000047</v>
      </c>
      <c r="L699" s="110">
        <f t="shared" si="1551"/>
        <v>31.465000000000046</v>
      </c>
      <c r="M699" s="110">
        <f t="shared" si="1551"/>
        <v>25.577000000000041</v>
      </c>
      <c r="N699" s="110">
        <f t="shared" si="1551"/>
        <v>22.141000000000048</v>
      </c>
      <c r="O699" s="110">
        <f t="shared" si="1551"/>
        <v>58.018000000000029</v>
      </c>
      <c r="P699" s="109">
        <f t="shared" si="1551"/>
        <v>58.0180000000001</v>
      </c>
      <c r="Q699" s="110">
        <f t="shared" si="1551"/>
        <v>39.478000000000094</v>
      </c>
      <c r="R699" s="110">
        <f t="shared" si="1551"/>
        <v>61.548000000000073</v>
      </c>
      <c r="S699" s="110">
        <f t="shared" si="1551"/>
        <v>29.607000000000056</v>
      </c>
      <c r="T699" s="110">
        <f t="shared" si="1551"/>
        <v>43.854000000000084</v>
      </c>
      <c r="U699" s="109">
        <f t="shared" si="1551"/>
        <v>43.854000000000141</v>
      </c>
      <c r="V699" s="110">
        <f t="shared" si="1551"/>
        <v>53.922000000000125</v>
      </c>
      <c r="W699" s="110">
        <f t="shared" si="1551"/>
        <v>79.618000000000137</v>
      </c>
      <c r="X699" s="110">
        <f t="shared" si="1551"/>
        <v>65.845000000000113</v>
      </c>
      <c r="Y699" s="110">
        <f t="shared" si="1551"/>
        <v>53.839000000000098</v>
      </c>
      <c r="Z699" s="109">
        <f t="shared" si="1551"/>
        <v>53.839000000000155</v>
      </c>
      <c r="AA699" s="110">
        <f t="shared" si="1551"/>
        <v>65.666000000000139</v>
      </c>
      <c r="AB699" s="110">
        <f t="shared" si="1551"/>
        <v>66.314000000000149</v>
      </c>
      <c r="AC699" s="110">
        <f t="shared" si="1551"/>
        <v>19.795000000000158</v>
      </c>
      <c r="AD699" s="110">
        <f t="shared" si="1551"/>
        <v>6.0080000000001448</v>
      </c>
      <c r="AE699" s="109">
        <f t="shared" si="1551"/>
        <v>6.0080000000001164</v>
      </c>
      <c r="AF699" s="110">
        <f t="shared" si="1551"/>
        <v>24.801000000000105</v>
      </c>
      <c r="AG699" s="110">
        <f t="shared" si="1551"/>
        <v>29.369000000000089</v>
      </c>
      <c r="AH699" s="110">
        <f t="shared" si="1551"/>
        <v>12.639000000000099</v>
      </c>
      <c r="AI699" s="110">
        <f t="shared" si="1551"/>
        <v>26.578000000000074</v>
      </c>
      <c r="AJ699" s="109">
        <f t="shared" si="1551"/>
        <v>26.578000000000049</v>
      </c>
      <c r="AK699" s="110">
        <f t="shared" si="1551"/>
        <v>22.529000000000064</v>
      </c>
      <c r="AL699" s="110">
        <f t="shared" si="1551"/>
        <v>22.60400000000006</v>
      </c>
      <c r="AM699" s="110">
        <f t="shared" si="1551"/>
        <v>306.25200000000001</v>
      </c>
      <c r="AN699" s="110">
        <f t="shared" si="1551"/>
        <v>58.416000000000025</v>
      </c>
      <c r="AO699" s="109">
        <f t="shared" si="1551"/>
        <v>58.415999999999997</v>
      </c>
      <c r="AP699" s="110">
        <f t="shared" si="1551"/>
        <v>81.022999999999982</v>
      </c>
      <c r="AQ699" s="110">
        <f t="shared" si="1551"/>
        <v>250.15500000000003</v>
      </c>
      <c r="AR699" s="110">
        <f t="shared" si="1551"/>
        <v>243.768</v>
      </c>
      <c r="AS699" s="110">
        <f t="shared" si="1551"/>
        <v>154.08500000000004</v>
      </c>
      <c r="AT699" s="109">
        <f t="shared" si="1551"/>
        <v>154.08500000000001</v>
      </c>
      <c r="AU699" s="110">
        <f t="shared" si="1551"/>
        <v>181.345</v>
      </c>
      <c r="AV699" s="110">
        <f t="shared" si="1551"/>
        <v>161.768</v>
      </c>
      <c r="AW699" s="110">
        <f t="shared" si="1551"/>
        <v>131.03000000000003</v>
      </c>
      <c r="AX699" s="110">
        <f t="shared" si="1551"/>
        <v>189.62700000000004</v>
      </c>
      <c r="AY699" s="109">
        <f t="shared" si="1551"/>
        <v>189.62700000000007</v>
      </c>
      <c r="AZ699" s="110">
        <f t="shared" si="1551"/>
        <v>183.55600000000007</v>
      </c>
      <c r="BA699" s="110">
        <f t="shared" si="1551"/>
        <v>194.89100000000008</v>
      </c>
      <c r="BB699" s="110">
        <f t="shared" si="1551"/>
        <v>133.15700000000007</v>
      </c>
      <c r="BC699" s="110">
        <f t="shared" si="1551"/>
        <v>114.77700000000007</v>
      </c>
      <c r="BD699" s="109">
        <f t="shared" si="1551"/>
        <v>114.77700000000006</v>
      </c>
      <c r="BE699" s="110">
        <f t="shared" si="1551"/>
        <v>116.16400000000003</v>
      </c>
      <c r="BF699" s="110">
        <f t="shared" si="1551"/>
        <v>91.557000000000045</v>
      </c>
      <c r="BG699" s="110">
        <f t="shared" si="1551"/>
        <v>63.987000000000052</v>
      </c>
      <c r="BH699" s="110">
        <f t="shared" si="1551"/>
        <v>56.290000000000049</v>
      </c>
      <c r="BI699" s="107">
        <f t="shared" si="1551"/>
        <v>56.290000000000084</v>
      </c>
      <c r="BJ699" s="110">
        <f t="shared" ca="1" si="1551"/>
        <v>64.369069728483339</v>
      </c>
      <c r="BK699" s="110">
        <f t="shared" ca="1" si="1551"/>
        <v>77.760279443817552</v>
      </c>
      <c r="BL699" s="110">
        <f t="shared" ca="1" si="1551"/>
        <v>69.239170585756312</v>
      </c>
      <c r="BM699" s="110">
        <f t="shared" ca="1" si="1551"/>
        <v>115.14436708615432</v>
      </c>
      <c r="BN699" s="109">
        <f t="shared" ca="1" si="1551"/>
        <v>115.14436708615429</v>
      </c>
      <c r="BO699" s="110">
        <f t="shared" ca="1" si="1551"/>
        <v>126.59134185101033</v>
      </c>
      <c r="BP699" s="110">
        <f t="shared" ca="1" si="1551"/>
        <v>141.34257137133568</v>
      </c>
      <c r="BQ699" s="110">
        <f t="shared" ca="1" si="1551"/>
        <v>136.90882158843266</v>
      </c>
      <c r="BR699" s="110">
        <f t="shared" ca="1" si="1551"/>
        <v>189.93726005508103</v>
      </c>
      <c r="BS699" s="109">
        <f t="shared" ca="1" si="1551"/>
        <v>189.93726005508103</v>
      </c>
      <c r="BT699" s="109">
        <f t="shared" ca="1" si="1551"/>
        <v>299.69919659601464</v>
      </c>
      <c r="BU699" s="109">
        <f t="shared" ca="1" si="1551"/>
        <v>431.8875383317951</v>
      </c>
      <c r="BV699" s="109">
        <f t="shared" ca="1" si="1551"/>
        <v>594.18277335742641</v>
      </c>
      <c r="BW699" s="83"/>
    </row>
    <row r="700" spans="1:75" ht="15.75" customHeight="1" x14ac:dyDescent="0.2">
      <c r="A700" s="108"/>
      <c r="B700" s="108"/>
      <c r="C700" s="109"/>
      <c r="D700" s="109"/>
      <c r="E700" s="109"/>
      <c r="F700" s="109"/>
      <c r="G700" s="110"/>
      <c r="H700" s="110"/>
      <c r="I700" s="110"/>
      <c r="J700" s="110"/>
      <c r="K700" s="109"/>
      <c r="L700" s="110"/>
      <c r="M700" s="110"/>
      <c r="N700" s="110"/>
      <c r="O700" s="110"/>
      <c r="P700" s="109"/>
      <c r="Q700" s="110"/>
      <c r="R700" s="110"/>
      <c r="S700" s="110"/>
      <c r="T700" s="110"/>
      <c r="U700" s="109"/>
      <c r="V700" s="110"/>
      <c r="W700" s="110"/>
      <c r="X700" s="110"/>
      <c r="Y700" s="110"/>
      <c r="Z700" s="109"/>
      <c r="AA700" s="110"/>
      <c r="AB700" s="110"/>
      <c r="AC700" s="110"/>
      <c r="AD700" s="110"/>
      <c r="AE700" s="109"/>
      <c r="AF700" s="110"/>
      <c r="AG700" s="110"/>
      <c r="AH700" s="110"/>
      <c r="AI700" s="110"/>
      <c r="AJ700" s="109"/>
      <c r="AK700" s="110"/>
      <c r="AL700" s="110"/>
      <c r="AM700" s="110"/>
      <c r="AN700" s="110"/>
      <c r="AO700" s="109"/>
      <c r="AP700" s="110"/>
      <c r="AQ700" s="110"/>
      <c r="AR700" s="110"/>
      <c r="AS700" s="110"/>
      <c r="AT700" s="109"/>
      <c r="AU700" s="110"/>
      <c r="AV700" s="110"/>
      <c r="AW700" s="110"/>
      <c r="AX700" s="110"/>
      <c r="AY700" s="109"/>
      <c r="AZ700" s="110"/>
      <c r="BA700" s="110"/>
      <c r="BB700" s="110"/>
      <c r="BC700" s="110"/>
      <c r="BD700" s="109"/>
      <c r="BE700" s="110"/>
      <c r="BF700" s="110"/>
      <c r="BG700" s="110"/>
      <c r="BH700" s="110"/>
      <c r="BI700" s="107"/>
      <c r="BJ700" s="110"/>
      <c r="BK700" s="110"/>
      <c r="BL700" s="110"/>
      <c r="BM700" s="110"/>
      <c r="BN700" s="109"/>
      <c r="BO700" s="110"/>
      <c r="BP700" s="110"/>
      <c r="BQ700" s="110"/>
      <c r="BR700" s="110"/>
      <c r="BS700" s="109"/>
      <c r="BT700" s="109"/>
      <c r="BU700" s="109"/>
      <c r="BV700" s="109"/>
      <c r="BW700" s="83"/>
    </row>
    <row r="701" spans="1:75" ht="15.75" customHeight="1" x14ac:dyDescent="0.2">
      <c r="A701" s="484" t="s">
        <v>459</v>
      </c>
      <c r="B701" s="85"/>
      <c r="C701" s="86">
        <f t="shared" ref="C701:G702" si="1552">C630</f>
        <v>24.486000000000001</v>
      </c>
      <c r="D701" s="86">
        <f t="shared" si="1552"/>
        <v>17.492000000000001</v>
      </c>
      <c r="E701" s="86">
        <f t="shared" si="1552"/>
        <v>4.25</v>
      </c>
      <c r="F701" s="86">
        <f t="shared" si="1552"/>
        <v>4.4340000000000002</v>
      </c>
      <c r="G701" s="2">
        <f t="shared" si="1552"/>
        <v>1.1180000000000001</v>
      </c>
      <c r="H701" s="2">
        <f t="shared" ref="H701:J702" si="1553">H630-G630</f>
        <v>1.135</v>
      </c>
      <c r="I701" s="2">
        <f t="shared" si="1553"/>
        <v>1.1419999999999999</v>
      </c>
      <c r="J701" s="2">
        <f t="shared" si="1553"/>
        <v>1.2070000000000003</v>
      </c>
      <c r="K701" s="86">
        <f t="shared" ref="K701:L702" si="1554">K630</f>
        <v>4.6020000000000003</v>
      </c>
      <c r="L701" s="2">
        <f t="shared" si="1554"/>
        <v>1.234</v>
      </c>
      <c r="M701" s="2">
        <f t="shared" ref="M701:O702" si="1555">M630-L630</f>
        <v>1.371</v>
      </c>
      <c r="N701" s="2">
        <f t="shared" si="1555"/>
        <v>1.347</v>
      </c>
      <c r="O701" s="2">
        <f t="shared" si="1555"/>
        <v>1.4779999999999998</v>
      </c>
      <c r="P701" s="86">
        <f t="shared" ref="P701:Q702" si="1556">P630</f>
        <v>5.43</v>
      </c>
      <c r="Q701" s="2">
        <f t="shared" si="1556"/>
        <v>1.4550000000000001</v>
      </c>
      <c r="R701" s="2">
        <f t="shared" ref="R701:T702" si="1557">R630-Q630</f>
        <v>1.5329999999999999</v>
      </c>
      <c r="S701" s="2">
        <f t="shared" si="1557"/>
        <v>1.4300000000000002</v>
      </c>
      <c r="T701" s="2">
        <f t="shared" si="1557"/>
        <v>1.6390000000000002</v>
      </c>
      <c r="U701" s="86">
        <f t="shared" ref="U701:V702" si="1558">U630</f>
        <v>6.0570000000000004</v>
      </c>
      <c r="V701" s="2">
        <f t="shared" si="1558"/>
        <v>1.4830000000000001</v>
      </c>
      <c r="W701" s="2">
        <f t="shared" ref="W701:Y702" si="1559">W630-V630</f>
        <v>1.5720000000000001</v>
      </c>
      <c r="X701" s="2">
        <f t="shared" si="1559"/>
        <v>1.6640000000000001</v>
      </c>
      <c r="Y701" s="2">
        <f t="shared" si="1559"/>
        <v>1.319</v>
      </c>
      <c r="Z701" s="86">
        <f t="shared" ref="Z701:AA702" si="1560">Z630</f>
        <v>6.0380000000000003</v>
      </c>
      <c r="AA701" s="2">
        <f t="shared" si="1560"/>
        <v>1.627</v>
      </c>
      <c r="AB701" s="2">
        <f t="shared" ref="AB701:AD702" si="1561">AB630-AA630</f>
        <v>1.748</v>
      </c>
      <c r="AC701" s="2">
        <f t="shared" si="1561"/>
        <v>1.7800000000000002</v>
      </c>
      <c r="AD701" s="2">
        <f t="shared" si="1561"/>
        <v>1.9729999999999999</v>
      </c>
      <c r="AE701" s="86">
        <f t="shared" ref="AE701:AF702" si="1562">AE630</f>
        <v>7.1280000000000001</v>
      </c>
      <c r="AF701" s="2">
        <f t="shared" si="1562"/>
        <v>2.0299999999999998</v>
      </c>
      <c r="AG701" s="2">
        <f t="shared" ref="AG701:AI702" si="1563">AG630-AF630</f>
        <v>2.1149999999999998</v>
      </c>
      <c r="AH701" s="2">
        <f t="shared" si="1563"/>
        <v>2.0110000000000001</v>
      </c>
      <c r="AI701" s="2">
        <f t="shared" si="1563"/>
        <v>2.0000000000000009</v>
      </c>
      <c r="AJ701" s="86">
        <f t="shared" ref="AJ701:AK702" si="1564">AJ630</f>
        <v>8.1560000000000006</v>
      </c>
      <c r="AK701" s="2">
        <f t="shared" si="1564"/>
        <v>0.316</v>
      </c>
      <c r="AL701" s="2">
        <f t="shared" ref="AL701:AN702" si="1565">AL630-AK630</f>
        <v>0.32</v>
      </c>
      <c r="AM701" s="2">
        <f t="shared" si="1565"/>
        <v>0.21799999999999997</v>
      </c>
      <c r="AN701" s="2">
        <f t="shared" si="1565"/>
        <v>0.79199999999999993</v>
      </c>
      <c r="AO701" s="86">
        <f t="shared" ref="AO701:AP702" si="1566">AO630</f>
        <v>1.6459999999999999</v>
      </c>
      <c r="AP701" s="2">
        <f t="shared" si="1566"/>
        <v>0.253</v>
      </c>
      <c r="AQ701" s="2">
        <f t="shared" ref="AQ701:AS702" si="1567">AQ630-AP630</f>
        <v>7.0359999999999996</v>
      </c>
      <c r="AR701" s="2">
        <f t="shared" si="1567"/>
        <v>3.0579999999999998</v>
      </c>
      <c r="AS701" s="2">
        <f t="shared" si="1567"/>
        <v>2.6980000000000004</v>
      </c>
      <c r="AT701" s="86">
        <f t="shared" ref="AT701:AU702" si="1568">AT630</f>
        <v>13.045</v>
      </c>
      <c r="AU701" s="2">
        <f t="shared" si="1568"/>
        <v>1.742</v>
      </c>
      <c r="AV701" s="2">
        <f t="shared" ref="AV701:AX702" si="1569">AV630-AU630</f>
        <v>5.1420000000000003</v>
      </c>
      <c r="AW701" s="2">
        <f t="shared" si="1569"/>
        <v>0.86499999999999932</v>
      </c>
      <c r="AX701" s="2">
        <f t="shared" si="1569"/>
        <v>1.8370000000000006</v>
      </c>
      <c r="AY701" s="86">
        <f t="shared" ref="AY701:AZ702" si="1570">AY630</f>
        <v>9.5860000000000003</v>
      </c>
      <c r="AZ701" s="2">
        <f t="shared" si="1570"/>
        <v>1.1359999999999999</v>
      </c>
      <c r="BA701" s="2">
        <f t="shared" ref="BA701:BC702" si="1571">BA630-AZ630</f>
        <v>1.59</v>
      </c>
      <c r="BB701" s="2">
        <f t="shared" si="1571"/>
        <v>1.9800000000000004</v>
      </c>
      <c r="BC701" s="2">
        <f t="shared" si="1571"/>
        <v>2.5269999999999992</v>
      </c>
      <c r="BD701" s="86">
        <f t="shared" ref="BD701:BE702" si="1572">BD630</f>
        <v>7.2329999999999997</v>
      </c>
      <c r="BE701" s="2">
        <f t="shared" si="1572"/>
        <v>2.1840000000000002</v>
      </c>
      <c r="BF701" s="2">
        <f t="shared" ref="BF701:BH702" si="1573">BF630-BE630</f>
        <v>3.1239999999999997</v>
      </c>
      <c r="BG701" s="2">
        <f t="shared" si="1573"/>
        <v>1.0780000000000003</v>
      </c>
      <c r="BH701" s="2">
        <f t="shared" si="1573"/>
        <v>3.3779999999999992</v>
      </c>
      <c r="BI701" s="90">
        <f t="shared" ref="BI701:BI702" si="1574">BI630</f>
        <v>9.7639999999999993</v>
      </c>
      <c r="BJ701" s="2"/>
      <c r="BK701" s="2"/>
      <c r="BL701" s="2"/>
      <c r="BM701" s="2"/>
      <c r="BN701" s="86"/>
      <c r="BO701" s="2"/>
      <c r="BP701" s="2"/>
      <c r="BQ701" s="2"/>
      <c r="BR701" s="2"/>
      <c r="BS701" s="86"/>
      <c r="BT701" s="86"/>
      <c r="BU701" s="86"/>
      <c r="BV701" s="86"/>
      <c r="BW701" s="4"/>
    </row>
    <row r="702" spans="1:75" ht="15.75" customHeight="1" x14ac:dyDescent="0.2">
      <c r="A702" s="484" t="s">
        <v>460</v>
      </c>
      <c r="B702" s="85"/>
      <c r="C702" s="86">
        <f t="shared" si="1552"/>
        <v>18.576000000000001</v>
      </c>
      <c r="D702" s="86">
        <f t="shared" si="1552"/>
        <v>31.038</v>
      </c>
      <c r="E702" s="86">
        <f t="shared" si="1552"/>
        <v>27.245999999999999</v>
      </c>
      <c r="F702" s="86">
        <f t="shared" si="1552"/>
        <v>40.954000000000001</v>
      </c>
      <c r="G702" s="2">
        <f t="shared" si="1552"/>
        <v>2.8610000000000002</v>
      </c>
      <c r="H702" s="2">
        <f t="shared" si="1553"/>
        <v>14.654</v>
      </c>
      <c r="I702" s="2">
        <f t="shared" si="1553"/>
        <v>8.384999999999998</v>
      </c>
      <c r="J702" s="2">
        <f t="shared" si="1553"/>
        <v>11.359000000000002</v>
      </c>
      <c r="K702" s="86">
        <f t="shared" si="1554"/>
        <v>37.259</v>
      </c>
      <c r="L702" s="2">
        <f t="shared" si="1554"/>
        <v>0.68799999999999994</v>
      </c>
      <c r="M702" s="2">
        <f t="shared" si="1555"/>
        <v>13.014999999999999</v>
      </c>
      <c r="N702" s="2">
        <f t="shared" si="1555"/>
        <v>16.731000000000002</v>
      </c>
      <c r="O702" s="2">
        <f t="shared" si="1555"/>
        <v>10.639999999999997</v>
      </c>
      <c r="P702" s="86">
        <f t="shared" si="1556"/>
        <v>41.073999999999998</v>
      </c>
      <c r="Q702" s="2">
        <f t="shared" si="1556"/>
        <v>0.54300000000000004</v>
      </c>
      <c r="R702" s="2">
        <f t="shared" si="1557"/>
        <v>3.3069999999999999</v>
      </c>
      <c r="S702" s="2">
        <f t="shared" si="1557"/>
        <v>15.365</v>
      </c>
      <c r="T702" s="2">
        <f t="shared" si="1557"/>
        <v>11.195</v>
      </c>
      <c r="U702" s="86">
        <f t="shared" si="1558"/>
        <v>30.41</v>
      </c>
      <c r="V702" s="2">
        <f t="shared" si="1558"/>
        <v>0.90900000000000003</v>
      </c>
      <c r="W702" s="2">
        <f t="shared" si="1559"/>
        <v>4.125</v>
      </c>
      <c r="X702" s="2">
        <f t="shared" si="1559"/>
        <v>7.7350000000000003</v>
      </c>
      <c r="Y702" s="2">
        <f t="shared" si="1559"/>
        <v>5.1629999999999985</v>
      </c>
      <c r="Z702" s="86">
        <f t="shared" si="1560"/>
        <v>17.931999999999999</v>
      </c>
      <c r="AA702" s="2">
        <f t="shared" si="1560"/>
        <v>0.89400000000000002</v>
      </c>
      <c r="AB702" s="2">
        <f t="shared" si="1561"/>
        <v>21.055000000000003</v>
      </c>
      <c r="AC702" s="2">
        <f t="shared" si="1561"/>
        <v>8.2459999999999987</v>
      </c>
      <c r="AD702" s="2">
        <f t="shared" si="1561"/>
        <v>1.3870000000000005</v>
      </c>
      <c r="AE702" s="86">
        <f t="shared" si="1562"/>
        <v>31.582000000000001</v>
      </c>
      <c r="AF702" s="2">
        <f t="shared" si="1562"/>
        <v>0.61</v>
      </c>
      <c r="AG702" s="2">
        <f t="shared" si="1563"/>
        <v>4.681</v>
      </c>
      <c r="AH702" s="2">
        <f t="shared" si="1563"/>
        <v>2.8529999999999998</v>
      </c>
      <c r="AI702" s="2">
        <f t="shared" si="1563"/>
        <v>2.004999999999999</v>
      </c>
      <c r="AJ702" s="86">
        <f t="shared" si="1564"/>
        <v>10.148999999999999</v>
      </c>
      <c r="AK702" s="2">
        <f t="shared" si="1564"/>
        <v>0.56599999999999995</v>
      </c>
      <c r="AL702" s="2">
        <f t="shared" si="1565"/>
        <v>9.3729999999999993</v>
      </c>
      <c r="AM702" s="2">
        <f t="shared" si="1565"/>
        <v>7.027000000000001</v>
      </c>
      <c r="AN702" s="2">
        <f t="shared" si="1565"/>
        <v>3.8119999999999976</v>
      </c>
      <c r="AO702" s="86">
        <f t="shared" si="1566"/>
        <v>20.777999999999999</v>
      </c>
      <c r="AP702" s="2">
        <f t="shared" si="1566"/>
        <v>0.35199999999999998</v>
      </c>
      <c r="AQ702" s="2">
        <f t="shared" si="1567"/>
        <v>7.1000000000000008E-2</v>
      </c>
      <c r="AR702" s="2">
        <f t="shared" si="1567"/>
        <v>6.2889999999999997</v>
      </c>
      <c r="AS702" s="2">
        <f t="shared" si="1567"/>
        <v>-3.7439999999999998</v>
      </c>
      <c r="AT702" s="86">
        <f t="shared" si="1568"/>
        <v>2.968</v>
      </c>
      <c r="AU702" s="2">
        <f t="shared" si="1568"/>
        <v>0.32700000000000001</v>
      </c>
      <c r="AV702" s="2">
        <f t="shared" si="1569"/>
        <v>4.55</v>
      </c>
      <c r="AW702" s="2">
        <f t="shared" si="1569"/>
        <v>4.2510000000000003</v>
      </c>
      <c r="AX702" s="2">
        <f t="shared" si="1569"/>
        <v>3.9030000000000005</v>
      </c>
      <c r="AY702" s="86">
        <f t="shared" si="1570"/>
        <v>13.031000000000001</v>
      </c>
      <c r="AZ702" s="2">
        <f t="shared" si="1570"/>
        <v>0.46500000000000002</v>
      </c>
      <c r="BA702" s="2">
        <f t="shared" si="1571"/>
        <v>9.2550000000000008</v>
      </c>
      <c r="BB702" s="2">
        <f t="shared" si="1571"/>
        <v>3.8829999999999991</v>
      </c>
      <c r="BC702" s="2">
        <f t="shared" si="1571"/>
        <v>1.0850000000000009</v>
      </c>
      <c r="BD702" s="86">
        <f t="shared" si="1572"/>
        <v>14.688000000000001</v>
      </c>
      <c r="BE702" s="2">
        <f t="shared" si="1572"/>
        <v>0.69299999999999995</v>
      </c>
      <c r="BF702" s="2">
        <f t="shared" si="1573"/>
        <v>4.4820000000000002</v>
      </c>
      <c r="BG702" s="2">
        <f t="shared" si="1573"/>
        <v>1.8929999999999998</v>
      </c>
      <c r="BH702" s="2">
        <f t="shared" si="1573"/>
        <v>7.4050000000000011</v>
      </c>
      <c r="BI702" s="90">
        <f t="shared" si="1574"/>
        <v>14.473000000000001</v>
      </c>
      <c r="BJ702" s="2"/>
      <c r="BK702" s="2"/>
      <c r="BL702" s="2"/>
      <c r="BM702" s="2"/>
      <c r="BN702" s="86"/>
      <c r="BO702" s="2"/>
      <c r="BP702" s="2"/>
      <c r="BQ702" s="2"/>
      <c r="BR702" s="2"/>
      <c r="BS702" s="86"/>
      <c r="BT702" s="86"/>
      <c r="BU702" s="86"/>
      <c r="BV702" s="86"/>
      <c r="BW702" s="4"/>
    </row>
    <row r="703" spans="1:75" ht="15.75" customHeight="1" x14ac:dyDescent="0.2">
      <c r="A703" s="108"/>
      <c r="B703" s="108"/>
      <c r="C703" s="109"/>
      <c r="D703" s="109"/>
      <c r="E703" s="109"/>
      <c r="F703" s="109"/>
      <c r="G703" s="110"/>
      <c r="H703" s="110"/>
      <c r="I703" s="110"/>
      <c r="J703" s="110"/>
      <c r="K703" s="109"/>
      <c r="L703" s="110"/>
      <c r="M703" s="110"/>
      <c r="N703" s="110"/>
      <c r="O703" s="110"/>
      <c r="P703" s="109"/>
      <c r="Q703" s="110"/>
      <c r="R703" s="110"/>
      <c r="S703" s="110"/>
      <c r="T703" s="110"/>
      <c r="U703" s="109"/>
      <c r="V703" s="110"/>
      <c r="W703" s="110"/>
      <c r="X703" s="110"/>
      <c r="Y703" s="110"/>
      <c r="Z703" s="109"/>
      <c r="AA703" s="110"/>
      <c r="AB703" s="110"/>
      <c r="AC703" s="110"/>
      <c r="AD703" s="110"/>
      <c r="AE703" s="109"/>
      <c r="AF703" s="110"/>
      <c r="AG703" s="110"/>
      <c r="AH703" s="110"/>
      <c r="AI703" s="110"/>
      <c r="AJ703" s="109"/>
      <c r="AK703" s="110"/>
      <c r="AL703" s="110"/>
      <c r="AM703" s="110"/>
      <c r="AN703" s="110"/>
      <c r="AO703" s="109"/>
      <c r="AP703" s="110"/>
      <c r="AQ703" s="110"/>
      <c r="AR703" s="110"/>
      <c r="AS703" s="110"/>
      <c r="AT703" s="109"/>
      <c r="AU703" s="110"/>
      <c r="AV703" s="110"/>
      <c r="AW703" s="110"/>
      <c r="AX703" s="110"/>
      <c r="AY703" s="109"/>
      <c r="AZ703" s="110"/>
      <c r="BA703" s="110"/>
      <c r="BB703" s="110"/>
      <c r="BC703" s="110"/>
      <c r="BD703" s="109"/>
      <c r="BE703" s="110"/>
      <c r="BF703" s="110"/>
      <c r="BG703" s="110"/>
      <c r="BH703" s="110"/>
      <c r="BI703" s="107"/>
      <c r="BJ703" s="110"/>
      <c r="BK703" s="110"/>
      <c r="BL703" s="110"/>
      <c r="BM703" s="110"/>
      <c r="BN703" s="109"/>
      <c r="BO703" s="110"/>
      <c r="BP703" s="110"/>
      <c r="BQ703" s="110"/>
      <c r="BR703" s="110"/>
      <c r="BS703" s="109"/>
      <c r="BT703" s="109"/>
      <c r="BU703" s="109"/>
      <c r="BV703" s="109"/>
      <c r="BW703" s="83"/>
    </row>
    <row r="704" spans="1:75" ht="15.75" customHeight="1" x14ac:dyDescent="0.2">
      <c r="A704" s="327" t="s">
        <v>835</v>
      </c>
      <c r="B704" s="327"/>
      <c r="C704" s="328">
        <f t="shared" ref="C704:BV704" si="1575">ROUND(C699-C743,6)</f>
        <v>0</v>
      </c>
      <c r="D704" s="328">
        <f t="shared" si="1575"/>
        <v>0</v>
      </c>
      <c r="E704" s="328">
        <f t="shared" si="1575"/>
        <v>0</v>
      </c>
      <c r="F704" s="328">
        <f t="shared" si="1575"/>
        <v>0</v>
      </c>
      <c r="G704" s="328">
        <f t="shared" si="1575"/>
        <v>0</v>
      </c>
      <c r="H704" s="328">
        <f t="shared" si="1575"/>
        <v>0</v>
      </c>
      <c r="I704" s="328">
        <f t="shared" si="1575"/>
        <v>0</v>
      </c>
      <c r="J704" s="328">
        <f t="shared" si="1575"/>
        <v>0</v>
      </c>
      <c r="K704" s="328">
        <f t="shared" si="1575"/>
        <v>0</v>
      </c>
      <c r="L704" s="328">
        <f t="shared" si="1575"/>
        <v>0</v>
      </c>
      <c r="M704" s="328">
        <f t="shared" si="1575"/>
        <v>0</v>
      </c>
      <c r="N704" s="328">
        <f t="shared" si="1575"/>
        <v>0</v>
      </c>
      <c r="O704" s="328">
        <f t="shared" si="1575"/>
        <v>0</v>
      </c>
      <c r="P704" s="328">
        <f t="shared" si="1575"/>
        <v>0</v>
      </c>
      <c r="Q704" s="328">
        <f t="shared" si="1575"/>
        <v>0</v>
      </c>
      <c r="R704" s="328">
        <f t="shared" si="1575"/>
        <v>0</v>
      </c>
      <c r="S704" s="328">
        <f t="shared" si="1575"/>
        <v>0</v>
      </c>
      <c r="T704" s="328">
        <f t="shared" si="1575"/>
        <v>0</v>
      </c>
      <c r="U704" s="328">
        <f t="shared" si="1575"/>
        <v>0</v>
      </c>
      <c r="V704" s="328">
        <f t="shared" si="1575"/>
        <v>0</v>
      </c>
      <c r="W704" s="328">
        <f t="shared" si="1575"/>
        <v>0</v>
      </c>
      <c r="X704" s="328">
        <f t="shared" si="1575"/>
        <v>0</v>
      </c>
      <c r="Y704" s="328">
        <f t="shared" si="1575"/>
        <v>0</v>
      </c>
      <c r="Z704" s="328">
        <f t="shared" si="1575"/>
        <v>0</v>
      </c>
      <c r="AA704" s="328">
        <f t="shared" si="1575"/>
        <v>0</v>
      </c>
      <c r="AB704" s="328">
        <f t="shared" si="1575"/>
        <v>0</v>
      </c>
      <c r="AC704" s="328">
        <f t="shared" si="1575"/>
        <v>0</v>
      </c>
      <c r="AD704" s="328">
        <f t="shared" si="1575"/>
        <v>0</v>
      </c>
      <c r="AE704" s="328">
        <f t="shared" si="1575"/>
        <v>0</v>
      </c>
      <c r="AF704" s="328">
        <f t="shared" si="1575"/>
        <v>0</v>
      </c>
      <c r="AG704" s="328">
        <f t="shared" si="1575"/>
        <v>0</v>
      </c>
      <c r="AH704" s="328">
        <f t="shared" si="1575"/>
        <v>0</v>
      </c>
      <c r="AI704" s="328">
        <f t="shared" si="1575"/>
        <v>0</v>
      </c>
      <c r="AJ704" s="328">
        <f t="shared" si="1575"/>
        <v>0</v>
      </c>
      <c r="AK704" s="328">
        <f t="shared" si="1575"/>
        <v>0</v>
      </c>
      <c r="AL704" s="328">
        <f t="shared" si="1575"/>
        <v>0</v>
      </c>
      <c r="AM704" s="328">
        <f t="shared" si="1575"/>
        <v>0</v>
      </c>
      <c r="AN704" s="328">
        <f t="shared" si="1575"/>
        <v>0</v>
      </c>
      <c r="AO704" s="328">
        <f t="shared" si="1575"/>
        <v>0</v>
      </c>
      <c r="AP704" s="328">
        <f t="shared" si="1575"/>
        <v>0</v>
      </c>
      <c r="AQ704" s="328">
        <f t="shared" si="1575"/>
        <v>0</v>
      </c>
      <c r="AR704" s="328">
        <f t="shared" si="1575"/>
        <v>0</v>
      </c>
      <c r="AS704" s="328">
        <f t="shared" si="1575"/>
        <v>0</v>
      </c>
      <c r="AT704" s="328">
        <f t="shared" si="1575"/>
        <v>0</v>
      </c>
      <c r="AU704" s="328">
        <f t="shared" si="1575"/>
        <v>0</v>
      </c>
      <c r="AV704" s="328">
        <f t="shared" si="1575"/>
        <v>0</v>
      </c>
      <c r="AW704" s="328">
        <f t="shared" si="1575"/>
        <v>0</v>
      </c>
      <c r="AX704" s="328">
        <f t="shared" si="1575"/>
        <v>0</v>
      </c>
      <c r="AY704" s="328">
        <f t="shared" si="1575"/>
        <v>0</v>
      </c>
      <c r="AZ704" s="328">
        <f t="shared" si="1575"/>
        <v>0</v>
      </c>
      <c r="BA704" s="328">
        <f t="shared" si="1575"/>
        <v>0</v>
      </c>
      <c r="BB704" s="328">
        <f t="shared" si="1575"/>
        <v>0</v>
      </c>
      <c r="BC704" s="328">
        <f t="shared" si="1575"/>
        <v>0</v>
      </c>
      <c r="BD704" s="328">
        <f t="shared" si="1575"/>
        <v>0</v>
      </c>
      <c r="BE704" s="328">
        <f t="shared" si="1575"/>
        <v>0</v>
      </c>
      <c r="BF704" s="328">
        <f t="shared" si="1575"/>
        <v>0</v>
      </c>
      <c r="BG704" s="328">
        <f t="shared" si="1575"/>
        <v>0</v>
      </c>
      <c r="BH704" s="328">
        <f t="shared" si="1575"/>
        <v>0</v>
      </c>
      <c r="BI704" s="329">
        <f t="shared" si="1575"/>
        <v>0</v>
      </c>
      <c r="BJ704" s="328">
        <f t="shared" ca="1" si="1575"/>
        <v>0</v>
      </c>
      <c r="BK704" s="328">
        <f t="shared" ca="1" si="1575"/>
        <v>0</v>
      </c>
      <c r="BL704" s="328">
        <f t="shared" ca="1" si="1575"/>
        <v>0</v>
      </c>
      <c r="BM704" s="328">
        <f t="shared" ca="1" si="1575"/>
        <v>0</v>
      </c>
      <c r="BN704" s="328">
        <f t="shared" ca="1" si="1575"/>
        <v>0</v>
      </c>
      <c r="BO704" s="328">
        <f t="shared" ca="1" si="1575"/>
        <v>0</v>
      </c>
      <c r="BP704" s="328">
        <f t="shared" ca="1" si="1575"/>
        <v>0</v>
      </c>
      <c r="BQ704" s="328">
        <f t="shared" ca="1" si="1575"/>
        <v>0</v>
      </c>
      <c r="BR704" s="328">
        <f t="shared" ca="1" si="1575"/>
        <v>0</v>
      </c>
      <c r="BS704" s="328">
        <f t="shared" ca="1" si="1575"/>
        <v>0</v>
      </c>
      <c r="BT704" s="328">
        <f t="shared" ca="1" si="1575"/>
        <v>0</v>
      </c>
      <c r="BU704" s="328">
        <f t="shared" ca="1" si="1575"/>
        <v>0</v>
      </c>
      <c r="BV704" s="328">
        <f t="shared" ca="1" si="1575"/>
        <v>0</v>
      </c>
      <c r="BW704" s="4"/>
    </row>
    <row r="705" spans="1:75" ht="15.75" customHeight="1" x14ac:dyDescent="0.2">
      <c r="A705" s="108"/>
      <c r="B705" s="108"/>
      <c r="C705" s="109"/>
      <c r="D705" s="109"/>
      <c r="E705" s="109"/>
      <c r="F705" s="109"/>
      <c r="G705" s="110"/>
      <c r="H705" s="110"/>
      <c r="I705" s="110"/>
      <c r="J705" s="110"/>
      <c r="K705" s="109"/>
      <c r="L705" s="110"/>
      <c r="M705" s="110"/>
      <c r="N705" s="110"/>
      <c r="O705" s="110"/>
      <c r="P705" s="109"/>
      <c r="Q705" s="110"/>
      <c r="R705" s="110"/>
      <c r="S705" s="110"/>
      <c r="T705" s="110"/>
      <c r="U705" s="109"/>
      <c r="V705" s="110"/>
      <c r="W705" s="110"/>
      <c r="X705" s="110"/>
      <c r="Y705" s="110"/>
      <c r="Z705" s="109"/>
      <c r="AA705" s="110"/>
      <c r="AB705" s="110"/>
      <c r="AC705" s="110"/>
      <c r="AD705" s="110"/>
      <c r="AE705" s="109"/>
      <c r="AF705" s="110"/>
      <c r="AG705" s="110"/>
      <c r="AH705" s="110"/>
      <c r="AI705" s="110"/>
      <c r="AJ705" s="109"/>
      <c r="AK705" s="110"/>
      <c r="AL705" s="110"/>
      <c r="AM705" s="110"/>
      <c r="AN705" s="110"/>
      <c r="AO705" s="109"/>
      <c r="AP705" s="110"/>
      <c r="AQ705" s="110"/>
      <c r="AR705" s="110"/>
      <c r="AS705" s="110"/>
      <c r="AT705" s="109"/>
      <c r="AU705" s="110"/>
      <c r="AV705" s="110"/>
      <c r="AW705" s="110"/>
      <c r="AX705" s="110"/>
      <c r="AY705" s="109"/>
      <c r="AZ705" s="110"/>
      <c r="BA705" s="110"/>
      <c r="BB705" s="110"/>
      <c r="BC705" s="110"/>
      <c r="BD705" s="109"/>
      <c r="BE705" s="110"/>
      <c r="BF705" s="110"/>
      <c r="BG705" s="110"/>
      <c r="BH705" s="110"/>
      <c r="BI705" s="107"/>
      <c r="BJ705" s="110"/>
      <c r="BK705" s="110"/>
      <c r="BL705" s="110"/>
      <c r="BM705" s="110"/>
      <c r="BN705" s="109"/>
      <c r="BO705" s="110"/>
      <c r="BP705" s="110"/>
      <c r="BQ705" s="110"/>
      <c r="BR705" s="110"/>
      <c r="BS705" s="109"/>
      <c r="BT705" s="109"/>
      <c r="BU705" s="109"/>
      <c r="BV705" s="109"/>
      <c r="BW705" s="83"/>
    </row>
    <row r="706" spans="1:75" ht="15.75" customHeight="1" x14ac:dyDescent="0.2">
      <c r="A706" s="81" t="s">
        <v>836</v>
      </c>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2"/>
      <c r="BJ706" s="81"/>
      <c r="BK706" s="81"/>
      <c r="BL706" s="81"/>
      <c r="BM706" s="81"/>
      <c r="BN706" s="81"/>
      <c r="BO706" s="81"/>
      <c r="BP706" s="81"/>
      <c r="BQ706" s="81"/>
      <c r="BR706" s="81"/>
      <c r="BS706" s="81"/>
      <c r="BT706" s="81"/>
      <c r="BU706" s="81"/>
      <c r="BV706" s="81"/>
      <c r="BW706" s="83"/>
    </row>
    <row r="707" spans="1:75" ht="15.75" customHeight="1" x14ac:dyDescent="0.2">
      <c r="A707" s="66" t="s">
        <v>837</v>
      </c>
      <c r="B707" s="66"/>
      <c r="C707" s="363">
        <f t="shared" ref="C707:F707" si="1576">C746/C$382</f>
        <v>2.4236276700665409E-2</v>
      </c>
      <c r="D707" s="363">
        <f t="shared" si="1576"/>
        <v>2.6202178613526306E-2</v>
      </c>
      <c r="E707" s="363">
        <f t="shared" si="1576"/>
        <v>2.4709494180780413E-2</v>
      </c>
      <c r="F707" s="363">
        <f t="shared" si="1576"/>
        <v>3.4636490425463108E-2</v>
      </c>
      <c r="G707" s="67"/>
      <c r="H707" s="67"/>
      <c r="I707" s="67"/>
      <c r="J707" s="67">
        <f>J746/(J$382+I$382+H$382+G$382)</f>
        <v>3.4901566102741879E-2</v>
      </c>
      <c r="K707" s="363">
        <f>K746/K$382</f>
        <v>3.4901566102741879E-2</v>
      </c>
      <c r="L707" s="67">
        <f>L746/(L$382+J$382+I$382+H$382)</f>
        <v>2.1304387490949594E-2</v>
      </c>
      <c r="M707" s="67">
        <f>M746/(M$382+L$382+J$382+I$382)</f>
        <v>2.1149884193942505E-2</v>
      </c>
      <c r="N707" s="67">
        <f>N746/(N$382+M$382+L$382+J$382)</f>
        <v>2.3856239619759162E-2</v>
      </c>
      <c r="O707" s="67">
        <f>O746/(O$382+N$382+M$382+L$382)</f>
        <v>3.9206748476189705E-2</v>
      </c>
      <c r="P707" s="363">
        <f>P746/P$382</f>
        <v>3.9206748476189705E-2</v>
      </c>
      <c r="Q707" s="67">
        <f>Q746/(Q$382+O$382+N$382+M$382)</f>
        <v>2.1029065660755249E-2</v>
      </c>
      <c r="R707" s="67">
        <f>R746/(R$382+Q$382+O$382+N$382)</f>
        <v>2.0638682768723479E-2</v>
      </c>
      <c r="S707" s="67">
        <f>S746/(S$382+R$382+Q$382+O$382)</f>
        <v>2.2122645399603846E-2</v>
      </c>
      <c r="T707" s="67">
        <f>T746/(T$382+S$382+R$382+Q$382)</f>
        <v>4.1329443032949019E-2</v>
      </c>
      <c r="U707" s="363">
        <f>U746/U$382</f>
        <v>4.1329443032949019E-2</v>
      </c>
      <c r="V707" s="67">
        <f>V746/(V$382+T$382+S$382+R$382)</f>
        <v>2.044020373266477E-2</v>
      </c>
      <c r="W707" s="67">
        <f>W746/(W$382+V$382+T$382+S$382)</f>
        <v>1.9213474639026003E-2</v>
      </c>
      <c r="X707" s="67">
        <f>X746/(X$382+W$382+V$382+T$382)</f>
        <v>2.0330415283343655E-2</v>
      </c>
      <c r="Y707" s="67">
        <f>Y746/(Y$382+X$382+W$382+V$382)</f>
        <v>3.525215547262206E-2</v>
      </c>
      <c r="Z707" s="363">
        <f>Z746/Z$382</f>
        <v>3.525215547262206E-2</v>
      </c>
      <c r="AA707" s="67">
        <f>AA746/(AA$382+Y$382+X$382+W$382)</f>
        <v>1.9596998755607206E-2</v>
      </c>
      <c r="AB707" s="67">
        <f>AB746/(AB$382+AA$382+Y$382+X$382)</f>
        <v>2.1256639025560659E-2</v>
      </c>
      <c r="AC707" s="67">
        <f>AC746/(AC$382+AB$382+AA$382+Y$382)</f>
        <v>2.054774497094684E-2</v>
      </c>
      <c r="AD707" s="67">
        <f>AD746/(AD$382+AC$382+AB$382+AA$382)</f>
        <v>3.8656457724877039E-2</v>
      </c>
      <c r="AE707" s="363">
        <f>AE746/AE$382</f>
        <v>3.8656457724877039E-2</v>
      </c>
      <c r="AF707" s="67">
        <f>AF746/(AF$382+AD$382+AC$382+AB$382)</f>
        <v>1.8674978701939488E-2</v>
      </c>
      <c r="AG707" s="67">
        <f>AG746/(AG$382+AF$382+AD$382+AC$382)</f>
        <v>2.1470951193296974E-2</v>
      </c>
      <c r="AH707" s="67">
        <f>AH746/(AH$382+AG$382+AF$382+AD$382)</f>
        <v>2.1784533370767186E-2</v>
      </c>
      <c r="AI707" s="67">
        <f>AI746/(AI$382+AH$382+AG$382+AF$382)</f>
        <v>3.7925346801106083E-2</v>
      </c>
      <c r="AJ707" s="363">
        <f t="shared" ref="AJ707:AJ711" si="1577">AI707</f>
        <v>3.7925346801106083E-2</v>
      </c>
      <c r="AK707" s="67">
        <f>AK746/(AK$382+AI$382+AH$382+AG$382)</f>
        <v>1.9582006328920726E-2</v>
      </c>
      <c r="AL707" s="67">
        <f>AL746/(AL$382+AK$382+AI$382+AH$382)</f>
        <v>2.0129948825313122E-2</v>
      </c>
      <c r="AM707" s="67">
        <f>AM746/(AM$382+AL$382+AK$382+AI$382)</f>
        <v>2.0136767071766697E-2</v>
      </c>
      <c r="AN707" s="67">
        <f>AN746/(AN$382+AM$382+AL$382+AK$382)</f>
        <v>3.6372614887388369E-2</v>
      </c>
      <c r="AO707" s="363">
        <f>AO746/AO$382</f>
        <v>3.6372614887388369E-2</v>
      </c>
      <c r="AP707" s="67">
        <f>AP746/(AP$382+AN$382+AM$382+AL$382)</f>
        <v>2.0071512141973977E-2</v>
      </c>
      <c r="AQ707" s="67">
        <f>AQ746/(AQ$382+AP$382+AN$382+AM$382)</f>
        <v>2.2169057773977274E-2</v>
      </c>
      <c r="AR707" s="67">
        <f>AR746/(AR$382+AQ$382+AP$382+AN$382)</f>
        <v>2.4371285102060908E-2</v>
      </c>
      <c r="AS707" s="67">
        <f>AS746/(AS$382+AR$382+AQ$382+AP$382)</f>
        <v>3.8214020093534522E-2</v>
      </c>
      <c r="AT707" s="363">
        <f>AT746/AT$382</f>
        <v>3.8214020093534529E-2</v>
      </c>
      <c r="AU707" s="69">
        <f>AU746/(AU$382+AS$382+AR$382+AQ$382)</f>
        <v>2.8972165874231282E-2</v>
      </c>
      <c r="AV707" s="67">
        <f>AV746/(AV$382+AU$382+AS$382+AR$382)</f>
        <v>2.3467972864422162E-2</v>
      </c>
      <c r="AW707" s="67">
        <f>AW746/(AW$382+AV$382+AU$382+AS$382)</f>
        <v>2.4640727670853721E-2</v>
      </c>
      <c r="AX707" s="67">
        <f>AX746/(AX$382+AW$382+AV$382+AU$382)</f>
        <v>3.4330530069614763E-2</v>
      </c>
      <c r="AY707" s="363">
        <f>AY746/AY$382</f>
        <v>3.4330530069614763E-2</v>
      </c>
      <c r="AZ707" s="67">
        <f>AZ746/(AZ$382+AX$382+AW$382+AV$382)</f>
        <v>2.1478534878902639E-2</v>
      </c>
      <c r="BA707" s="67">
        <f>BA746/(BA$382+AZ$382+AX$382+AW$382)</f>
        <v>2.2593047708328054E-2</v>
      </c>
      <c r="BB707" s="67">
        <f>BB746/(BB$382+BA$382+AZ$382+AX$382)</f>
        <v>2.1229997549455655E-2</v>
      </c>
      <c r="BC707" s="67">
        <f>BC746/(BC$382+BB$382+BA$382+AZ$382)</f>
        <v>3.1942481675101025E-2</v>
      </c>
      <c r="BD707" s="363">
        <f>BD746/BD$382</f>
        <v>3.1942481675101025E-2</v>
      </c>
      <c r="BE707" s="67">
        <f>BE746/(BE$382+BC$382+BB$382+BA$382)</f>
        <v>2.0279894299020017E-2</v>
      </c>
      <c r="BF707" s="67">
        <f>BF746/(BF$382+BE$382+BC$382+BB$382)</f>
        <v>2.0934050671044771E-2</v>
      </c>
      <c r="BG707" s="67">
        <f>BG746/(BG$382+BF$382+BE$382+BC$382)</f>
        <v>2.0327057363537019E-2</v>
      </c>
      <c r="BH707" s="67">
        <f>BH746/(BH$382+BG$382+BF$382+BE$382)</f>
        <v>2.9973516522590615E-2</v>
      </c>
      <c r="BI707" s="364">
        <f>BI746/BI$382</f>
        <v>2.9973516522590615E-2</v>
      </c>
      <c r="BJ707" s="67">
        <f t="shared" ref="BJ707:BM711" si="1578">BE707+BJ713</f>
        <v>2.0279894299020017E-2</v>
      </c>
      <c r="BK707" s="67">
        <f t="shared" si="1578"/>
        <v>2.0934050671044771E-2</v>
      </c>
      <c r="BL707" s="67">
        <f t="shared" si="1578"/>
        <v>2.0327057363537019E-2</v>
      </c>
      <c r="BM707" s="67">
        <f t="shared" si="1578"/>
        <v>2.9973516522590615E-2</v>
      </c>
      <c r="BN707" s="363">
        <f>BN746/BN$382</f>
        <v>2.9973516522590619E-2</v>
      </c>
      <c r="BO707" s="67">
        <f t="shared" ref="BO707:BR711" si="1579">BJ707+BO713</f>
        <v>2.0279894299020017E-2</v>
      </c>
      <c r="BP707" s="67">
        <f t="shared" si="1579"/>
        <v>2.0934050671044771E-2</v>
      </c>
      <c r="BQ707" s="67">
        <f t="shared" si="1579"/>
        <v>2.0327057363537019E-2</v>
      </c>
      <c r="BR707" s="67">
        <f t="shared" si="1579"/>
        <v>2.9973516522590615E-2</v>
      </c>
      <c r="BS707" s="363">
        <f>BS746/BS$382</f>
        <v>2.9973516522590615E-2</v>
      </c>
      <c r="BT707" s="363">
        <f t="shared" ref="BT707:BV711" si="1580">BS707+BT713</f>
        <v>2.9973516522590615E-2</v>
      </c>
      <c r="BU707" s="363">
        <f t="shared" si="1580"/>
        <v>2.9973516522590615E-2</v>
      </c>
      <c r="BV707" s="363">
        <f t="shared" si="1580"/>
        <v>2.9973516522590615E-2</v>
      </c>
      <c r="BW707" s="37"/>
    </row>
    <row r="708" spans="1:75" ht="15.75" customHeight="1" x14ac:dyDescent="0.2">
      <c r="A708" s="66" t="s">
        <v>838</v>
      </c>
      <c r="B708" s="66"/>
      <c r="C708" s="363">
        <f t="shared" ref="C708:F708" si="1581">C748/C$382</f>
        <v>1.3858753323928542E-2</v>
      </c>
      <c r="D708" s="363">
        <f t="shared" si="1581"/>
        <v>1.3882092606743144E-2</v>
      </c>
      <c r="E708" s="363">
        <f t="shared" si="1581"/>
        <v>1.6050076694446594E-2</v>
      </c>
      <c r="F708" s="363">
        <f t="shared" si="1581"/>
        <v>1.5940148710598075E-2</v>
      </c>
      <c r="G708" s="67"/>
      <c r="H708" s="67"/>
      <c r="I708" s="67"/>
      <c r="J708" s="67"/>
      <c r="K708" s="363">
        <f>K748/K$382</f>
        <v>1.8892279182708437E-2</v>
      </c>
      <c r="L708" s="67">
        <f>L748/(L$382+J$382+I$382+H$382)</f>
        <v>1.8274840309377677E-2</v>
      </c>
      <c r="M708" s="67">
        <f>M748/(M$382+L$382+J$382+I$382)</f>
        <v>1.8921664340836496E-2</v>
      </c>
      <c r="N708" s="67">
        <f>N748/(N$382+M$382+L$382+J$382)</f>
        <v>1.9039705413759857E-2</v>
      </c>
      <c r="O708" s="67">
        <f>O748/(O$382+N$382+M$382+L$382)</f>
        <v>1.6824140554804558E-2</v>
      </c>
      <c r="P708" s="363">
        <f>P748/P$382</f>
        <v>1.6824140554804558E-2</v>
      </c>
      <c r="Q708" s="67">
        <f>Q748/(Q$382+O$382+N$382+M$382)</f>
        <v>1.6156144103367531E-2</v>
      </c>
      <c r="R708" s="67">
        <f>R748/(R$382+Q$382+O$382+N$382)</f>
        <v>1.7824228065656273E-2</v>
      </c>
      <c r="S708" s="67">
        <f>S748/(S$382+R$382+Q$382+O$382)</f>
        <v>1.7720301662791465E-2</v>
      </c>
      <c r="T708" s="67">
        <f>T748/(T$382+S$382+R$382+Q$382)</f>
        <v>1.6190542837815129E-2</v>
      </c>
      <c r="U708" s="363">
        <f>U748/U$382</f>
        <v>1.6190542837815129E-2</v>
      </c>
      <c r="V708" s="67">
        <f>V748/(V$382+T$382+S$382+R$382)</f>
        <v>1.663741867474532E-2</v>
      </c>
      <c r="W708" s="67">
        <f>W748/(W$382+V$382+T$382+S$382)</f>
        <v>1.5960138203319908E-2</v>
      </c>
      <c r="X708" s="67">
        <f>X748/(X$382+W$382+V$382+T$382)</f>
        <v>1.6159304251041409E-2</v>
      </c>
      <c r="Y708" s="67">
        <f>Y748/(Y$382+X$382+W$382+V$382)</f>
        <v>1.534723751043077E-2</v>
      </c>
      <c r="Z708" s="363">
        <f>Z748/Z$382</f>
        <v>1.534723751043077E-2</v>
      </c>
      <c r="AA708" s="67">
        <f>AA748/(AA$382+Y$382+X$382+W$382)</f>
        <v>1.6863622600693427E-2</v>
      </c>
      <c r="AB708" s="67">
        <f>AB748/(AB$382+AA$382+Y$382+X$382)</f>
        <v>1.7525242122763789E-2</v>
      </c>
      <c r="AC708" s="67">
        <f>AC748/(AC$382+AB$382+AA$382+Y$382)</f>
        <v>1.9283691263717734E-2</v>
      </c>
      <c r="AD708" s="67">
        <f>AD748/(AD$382+AC$382+AB$382+AA$382)</f>
        <v>1.8827676330301853E-2</v>
      </c>
      <c r="AE708" s="363">
        <f>AE748/AE$382</f>
        <v>1.8827676330301853E-2</v>
      </c>
      <c r="AF708" s="67">
        <f>AF748/(AF$382+AD$382+AC$382+AB$382)</f>
        <v>1.7903484052353234E-2</v>
      </c>
      <c r="AG708" s="67">
        <f>AG748/(AG$382+AF$382+AD$382+AC$382)</f>
        <v>1.5010756894191278E-2</v>
      </c>
      <c r="AH708" s="67">
        <f>AH748/(AH$382+AG$382+AF$382+AD$382)</f>
        <v>1.7020276765133107E-2</v>
      </c>
      <c r="AI708" s="67">
        <f>AI748/(AI$382+AH$382+AG$382+AF$382)</f>
        <v>1.6547895958391529E-2</v>
      </c>
      <c r="AJ708" s="363">
        <f t="shared" si="1577"/>
        <v>1.6547895958391529E-2</v>
      </c>
      <c r="AK708" s="67">
        <f>AK748/(AK$382+AI$382+AH$382+AG$382)</f>
        <v>1.7818319953058808E-2</v>
      </c>
      <c r="AL708" s="67">
        <f>AL748/(AL$382+AK$382+AI$382+AH$382)</f>
        <v>1.9428983562364586E-2</v>
      </c>
      <c r="AM708" s="67">
        <f>AM748/(AM$382+AL$382+AK$382+AI$382)</f>
        <v>2.0127078035080209E-2</v>
      </c>
      <c r="AN708" s="67">
        <f>AN748/(AN$382+AM$382+AL$382+AK$382)</f>
        <v>1.9021690970929941E-2</v>
      </c>
      <c r="AO708" s="363">
        <f>AO748/AO$382</f>
        <v>1.9021690970929941E-2</v>
      </c>
      <c r="AP708" s="67">
        <f>AP748/(AP$382+AN$382+AM$382+AL$382)</f>
        <v>1.9141686183138489E-2</v>
      </c>
      <c r="AQ708" s="67">
        <f>AQ748/(AQ$382+AP$382+AN$382+AM$382)</f>
        <v>1.8485318201086641E-2</v>
      </c>
      <c r="AR708" s="67">
        <f>AR748/(AR$382+AQ$382+AP$382+AN$382)</f>
        <v>1.7773094022102944E-2</v>
      </c>
      <c r="AS708" s="67">
        <f>AS748/(AS$382+AR$382+AQ$382+AP$382)</f>
        <v>1.9810157697689366E-2</v>
      </c>
      <c r="AT708" s="363">
        <f>AT748/AT$382</f>
        <v>1.981015769768937E-2</v>
      </c>
      <c r="AU708" s="67">
        <f>AU748/(AU$382+AS$382+AR$382+AQ$382)</f>
        <v>1.9521071030540165E-2</v>
      </c>
      <c r="AV708" s="67">
        <f>AV748/(AV$382+AU$382+AS$382+AR$382)</f>
        <v>1.6959938686913163E-2</v>
      </c>
      <c r="AW708" s="67">
        <f>AW748/(AW$382+AV$382+AU$382+AS$382)</f>
        <v>1.5993943961685502E-2</v>
      </c>
      <c r="AX708" s="67">
        <f>AX748/(AX$382+AW$382+AV$382+AU$382)</f>
        <v>1.4633104927686727E-2</v>
      </c>
      <c r="AY708" s="363">
        <f>AY748/AY$382</f>
        <v>1.4633104927686727E-2</v>
      </c>
      <c r="AZ708" s="67">
        <f>AZ748/(AZ$382+AX$382+AW$382+AV$382)</f>
        <v>1.5088080061205629E-2</v>
      </c>
      <c r="BA708" s="67">
        <f>BA748/(BA$382+AZ$382+AX$382+AW$382)</f>
        <v>1.6559198358205175E-2</v>
      </c>
      <c r="BB708" s="67">
        <f>BB748/(BB$382+BA$382+AZ$382+AX$382)</f>
        <v>1.9540031885315778E-2</v>
      </c>
      <c r="BC708" s="67">
        <f>BC748/(BC$382+BB$382+BA$382+AZ$382)</f>
        <v>1.6819974593994348E-2</v>
      </c>
      <c r="BD708" s="363">
        <f>BD748/BD$382</f>
        <v>1.6819974593994348E-2</v>
      </c>
      <c r="BE708" s="67">
        <f>BE748/(BE$382+BC$382+BB$382+BA$382)</f>
        <v>1.7475322613136786E-2</v>
      </c>
      <c r="BF708" s="67">
        <f>BF748/(BF$382+BE$382+BC$382+BB$382)</f>
        <v>1.7854633806646768E-2</v>
      </c>
      <c r="BG708" s="67">
        <f>BG748/(BG$382+BF$382+BE$382+BC$382)</f>
        <v>1.6980310804052677E-2</v>
      </c>
      <c r="BH708" s="67">
        <f>BH748/(BH$382+BG$382+BF$382+BE$382)</f>
        <v>1.6762305484251651E-2</v>
      </c>
      <c r="BI708" s="364">
        <f>BI748/BI$382</f>
        <v>1.6762305484251651E-2</v>
      </c>
      <c r="BJ708" s="67">
        <f t="shared" si="1578"/>
        <v>1.7475322613136786E-2</v>
      </c>
      <c r="BK708" s="67">
        <f t="shared" si="1578"/>
        <v>1.7854633806646768E-2</v>
      </c>
      <c r="BL708" s="67">
        <f t="shared" si="1578"/>
        <v>1.6980310804052677E-2</v>
      </c>
      <c r="BM708" s="67">
        <f t="shared" si="1578"/>
        <v>1.6762305484251651E-2</v>
      </c>
      <c r="BN708" s="363">
        <f>BN748/BN$382</f>
        <v>1.6762305484251654E-2</v>
      </c>
      <c r="BO708" s="67">
        <f t="shared" si="1579"/>
        <v>1.7475322613136786E-2</v>
      </c>
      <c r="BP708" s="67">
        <f t="shared" si="1579"/>
        <v>1.7854633806646768E-2</v>
      </c>
      <c r="BQ708" s="67">
        <f t="shared" si="1579"/>
        <v>1.6980310804052677E-2</v>
      </c>
      <c r="BR708" s="67">
        <f t="shared" si="1579"/>
        <v>1.6762305484251651E-2</v>
      </c>
      <c r="BS708" s="363">
        <f>BS748/BS$382</f>
        <v>1.6762305484251651E-2</v>
      </c>
      <c r="BT708" s="363">
        <f t="shared" si="1580"/>
        <v>1.6762305484251651E-2</v>
      </c>
      <c r="BU708" s="363">
        <f t="shared" si="1580"/>
        <v>1.6762305484251651E-2</v>
      </c>
      <c r="BV708" s="363">
        <f t="shared" si="1580"/>
        <v>1.6762305484251651E-2</v>
      </c>
      <c r="BW708" s="37"/>
    </row>
    <row r="709" spans="1:75" ht="15.75" customHeight="1" x14ac:dyDescent="0.2">
      <c r="A709" s="66" t="s">
        <v>839</v>
      </c>
      <c r="B709" s="66"/>
      <c r="C709" s="363">
        <f t="shared" ref="C709:F709" si="1582">C764/C$382</f>
        <v>2.1190746682313581E-2</v>
      </c>
      <c r="D709" s="363">
        <f t="shared" si="1582"/>
        <v>1.9676341626270639E-2</v>
      </c>
      <c r="E709" s="363">
        <f t="shared" si="1582"/>
        <v>2.0572659453899127E-2</v>
      </c>
      <c r="F709" s="363">
        <f t="shared" si="1582"/>
        <v>2.5979855357909847E-2</v>
      </c>
      <c r="G709" s="67"/>
      <c r="H709" s="67"/>
      <c r="I709" s="67"/>
      <c r="J709" s="67"/>
      <c r="K709" s="363">
        <f>K764/K$382</f>
        <v>1.8860328769749347E-2</v>
      </c>
      <c r="L709" s="67">
        <f>L764/(L$382+J$382+I$382+H$382)</f>
        <v>2.5935455088610962E-2</v>
      </c>
      <c r="M709" s="67">
        <f>M764/(M$382+L$382+J$382+I$382)</f>
        <v>2.4702865010134654E-2</v>
      </c>
      <c r="N709" s="67">
        <f>N764/(N$382+M$382+L$382+J$382)</f>
        <v>2.5945863425999447E-2</v>
      </c>
      <c r="O709" s="67">
        <f>O764/(O$382+N$382+M$382+L$382)</f>
        <v>2.900146917167858E-2</v>
      </c>
      <c r="P709" s="363">
        <f>P764/P$382</f>
        <v>2.900146917167858E-2</v>
      </c>
      <c r="Q709" s="67">
        <f>Q764/(Q$382+O$382+N$382+M$382)</f>
        <v>2.6898924380801187E-2</v>
      </c>
      <c r="R709" s="67">
        <f>R764/(R$382+Q$382+O$382+N$382)</f>
        <v>2.550068015174007E-2</v>
      </c>
      <c r="S709" s="67">
        <f>S764/(S$382+R$382+Q$382+O$382)</f>
        <v>2.1321079307296424E-2</v>
      </c>
      <c r="T709" s="67">
        <f>T764/(T$382+S$382+R$382+Q$382)</f>
        <v>2.2741024150615373E-2</v>
      </c>
      <c r="U709" s="363">
        <f>U764/U$382</f>
        <v>2.2741024150615373E-2</v>
      </c>
      <c r="V709" s="67">
        <f>V764/(V$382+T$382+S$382+R$382)</f>
        <v>1.7957440075943357E-2</v>
      </c>
      <c r="W709" s="67">
        <f>W764/(W$382+V$382+T$382+S$382)</f>
        <v>1.7807711981622135E-2</v>
      </c>
      <c r="X709" s="67">
        <f>X764/(X$382+W$382+V$382+T$382)</f>
        <v>1.7689257229425655E-2</v>
      </c>
      <c r="Y709" s="67">
        <f>Y764/(Y$382+X$382+W$382+V$382)</f>
        <v>1.8264117845832459E-2</v>
      </c>
      <c r="Z709" s="363">
        <f>Z764/Z$382</f>
        <v>1.8264117845832459E-2</v>
      </c>
      <c r="AA709" s="67">
        <f>AA764/(AA$382+Y$382+X$382+W$382)</f>
        <v>1.528669164786659E-2</v>
      </c>
      <c r="AB709" s="67">
        <f>AB764/(AB$382+AA$382+Y$382+X$382)</f>
        <v>2.0126202993391133E-2</v>
      </c>
      <c r="AC709" s="67">
        <f>AC764/(AC$382+AB$382+AA$382+Y$382)</f>
        <v>2.0320852348316831E-2</v>
      </c>
      <c r="AD709" s="67">
        <f>AD764/(AD$382+AC$382+AB$382+AA$382)</f>
        <v>2.2554282190416112E-2</v>
      </c>
      <c r="AE709" s="363">
        <f>AE764/AE$382</f>
        <v>2.2554282190416112E-2</v>
      </c>
      <c r="AF709" s="67">
        <f>AF764/(AF$382+AD$382+AC$382+AB$382)</f>
        <v>1.6961954604642865E-2</v>
      </c>
      <c r="AG709" s="67">
        <f>AG764/(AG$382+AF$382+AD$382+AC$382)</f>
        <v>1.6577559543693065E-2</v>
      </c>
      <c r="AH709" s="67">
        <f>AH764/(AH$382+AG$382+AF$382+AD$382)</f>
        <v>1.6746798506868631E-2</v>
      </c>
      <c r="AI709" s="67">
        <f>AI764/(AI$382+AH$382+AG$382+AF$382)</f>
        <v>2.0882111880219888E-2</v>
      </c>
      <c r="AJ709" s="363">
        <f t="shared" si="1577"/>
        <v>2.0882111880219888E-2</v>
      </c>
      <c r="AK709" s="67">
        <f>AK764/(AK$382+AI$382+AH$382+AG$382)</f>
        <v>1.5429712010365049E-2</v>
      </c>
      <c r="AL709" s="67">
        <f>AL764/(AL$382+AK$382+AI$382+AH$382)</f>
        <v>1.518476557568039E-2</v>
      </c>
      <c r="AM709" s="67">
        <f>AM764/(AM$382+AL$382+AK$382+AI$382)</f>
        <v>1.5205468660810836E-2</v>
      </c>
      <c r="AN709" s="67">
        <f>AN764/(AN$382+AM$382+AL$382+AK$382)</f>
        <v>2.4951141744525701E-2</v>
      </c>
      <c r="AO709" s="363">
        <f>AO764/AO$382</f>
        <v>2.4951141744525701E-2</v>
      </c>
      <c r="AP709" s="67">
        <f>AP764/(AP$382+AN$382+AM$382+AL$382)</f>
        <v>2.2372661275570714E-2</v>
      </c>
      <c r="AQ709" s="67">
        <f>AQ764/(AQ$382+AP$382+AN$382+AM$382)</f>
        <v>2.6252063062993176E-2</v>
      </c>
      <c r="AR709" s="67">
        <f>AR764/(AR$382+AQ$382+AP$382+AN$382)</f>
        <v>2.899557780810598E-2</v>
      </c>
      <c r="AS709" s="67">
        <f>AS764/(AS$382+AR$382+AQ$382+AP$382)</f>
        <v>2.9463121935231755E-2</v>
      </c>
      <c r="AT709" s="363">
        <f>AT764/AT$382</f>
        <v>2.9463121935231758E-2</v>
      </c>
      <c r="AU709" s="67">
        <f>AU764/(AU$382+AS$382+AR$382+AQ$382)</f>
        <v>2.80861883724473E-2</v>
      </c>
      <c r="AV709" s="67">
        <f>AV764/(AV$382+AU$382+AS$382+AR$382)</f>
        <v>2.2432180296770573E-2</v>
      </c>
      <c r="AW709" s="67">
        <f>AW764/(AW$382+AV$382+AU$382+AS$382)</f>
        <v>1.9549796536481309E-2</v>
      </c>
      <c r="AX709" s="67">
        <f>AX764/(AX$382+AW$382+AV$382+AU$382)</f>
        <v>1.8474897012508797E-2</v>
      </c>
      <c r="AY709" s="363">
        <f>AY764/AY$382</f>
        <v>1.8474897012508797E-2</v>
      </c>
      <c r="AZ709" s="67">
        <f>AZ764/(AZ$382+AX$382+AW$382+AV$382)</f>
        <v>1.9956151479410815E-2</v>
      </c>
      <c r="BA709" s="67">
        <f>BA764/(BA$382+AZ$382+AX$382+AW$382)</f>
        <v>1.8662431275177988E-2</v>
      </c>
      <c r="BB709" s="67">
        <f>BB764/(BB$382+BA$382+AZ$382+AX$382)</f>
        <v>1.8521847967726865E-2</v>
      </c>
      <c r="BC709" s="67">
        <f>BC764/(BC$382+BB$382+BA$382+AZ$382)</f>
        <v>2.0174039615446563E-2</v>
      </c>
      <c r="BD709" s="363">
        <f>BD764/BD$382</f>
        <v>2.0174039615446563E-2</v>
      </c>
      <c r="BE709" s="67">
        <f>BE764/(BE$382+BC$382+BB$382+BA$382)</f>
        <v>1.6886383296401193E-2</v>
      </c>
      <c r="BF709" s="67">
        <f>BF764/(BF$382+BE$382+BC$382+BB$382)</f>
        <v>2.132007778035586E-2</v>
      </c>
      <c r="BG709" s="67">
        <f>BG764/(BG$382+BF$382+BE$382+BC$382)</f>
        <v>1.5452221748874773E-2</v>
      </c>
      <c r="BH709" s="67">
        <f>BH764/(BH$382+BG$382+BF$382+BE$382)</f>
        <v>1.8360792242367575E-2</v>
      </c>
      <c r="BI709" s="364">
        <f>BI764/BI$382</f>
        <v>1.8360792242367575E-2</v>
      </c>
      <c r="BJ709" s="67">
        <f t="shared" si="1578"/>
        <v>1.6886383296401193E-2</v>
      </c>
      <c r="BK709" s="67">
        <f t="shared" si="1578"/>
        <v>2.132007778035586E-2</v>
      </c>
      <c r="BL709" s="67">
        <f t="shared" si="1578"/>
        <v>1.5452221748874773E-2</v>
      </c>
      <c r="BM709" s="67">
        <f t="shared" si="1578"/>
        <v>1.8360792242367575E-2</v>
      </c>
      <c r="BN709" s="363">
        <f>BN764/BN$382</f>
        <v>1.8360792242367578E-2</v>
      </c>
      <c r="BO709" s="67">
        <f t="shared" si="1579"/>
        <v>1.6886383296401193E-2</v>
      </c>
      <c r="BP709" s="67">
        <f t="shared" si="1579"/>
        <v>2.132007778035586E-2</v>
      </c>
      <c r="BQ709" s="67">
        <f t="shared" si="1579"/>
        <v>1.5452221748874773E-2</v>
      </c>
      <c r="BR709" s="67">
        <f t="shared" si="1579"/>
        <v>1.8360792242367575E-2</v>
      </c>
      <c r="BS709" s="363">
        <f>BS764/BS$382</f>
        <v>1.8360792242367575E-2</v>
      </c>
      <c r="BT709" s="363">
        <f t="shared" si="1580"/>
        <v>1.8360792242367575E-2</v>
      </c>
      <c r="BU709" s="363">
        <f t="shared" si="1580"/>
        <v>1.8360792242367575E-2</v>
      </c>
      <c r="BV709" s="363">
        <f t="shared" si="1580"/>
        <v>1.8360792242367575E-2</v>
      </c>
      <c r="BW709" s="37"/>
    </row>
    <row r="710" spans="1:75" ht="15.75" customHeight="1" x14ac:dyDescent="0.2">
      <c r="A710" s="66" t="s">
        <v>840</v>
      </c>
      <c r="B710" s="66"/>
      <c r="C710" s="363"/>
      <c r="D710" s="363"/>
      <c r="E710" s="363"/>
      <c r="F710" s="363"/>
      <c r="G710" s="67"/>
      <c r="H710" s="67"/>
      <c r="I710" s="67"/>
      <c r="J710" s="67"/>
      <c r="K710" s="363"/>
      <c r="L710" s="67"/>
      <c r="M710" s="67"/>
      <c r="N710" s="67"/>
      <c r="O710" s="67"/>
      <c r="P710" s="363"/>
      <c r="Q710" s="67"/>
      <c r="R710" s="67"/>
      <c r="S710" s="67"/>
      <c r="T710" s="67"/>
      <c r="U710" s="363"/>
      <c r="V710" s="67"/>
      <c r="W710" s="67"/>
      <c r="X710" s="67"/>
      <c r="Y710" s="67">
        <f>Y766/(Y$382+X$382+W$382+V$382)</f>
        <v>6.7507895306933755E-2</v>
      </c>
      <c r="Z710" s="363">
        <f>Z766/Z$382</f>
        <v>6.7507895306933755E-2</v>
      </c>
      <c r="AA710" s="67">
        <f>AA766/(AA$382+Y$382+X$382+W$382)</f>
        <v>5.5839282557673488E-2</v>
      </c>
      <c r="AB710" s="67">
        <f>AB766/(AB$382+AA$382+Y$382+X$382)</f>
        <v>5.3839411023667308E-2</v>
      </c>
      <c r="AC710" s="67">
        <f>AC766/(AC$382+AB$382+AA$382+Y$382)</f>
        <v>5.0797331219159518E-2</v>
      </c>
      <c r="AD710" s="67">
        <f>AD766/(AD$382+AC$382+AB$382+AA$382)</f>
        <v>7.2528579934899418E-2</v>
      </c>
      <c r="AE710" s="363">
        <f>AE766/AE$382</f>
        <v>7.2528579934899418E-2</v>
      </c>
      <c r="AF710" s="67">
        <f>AF766/(AF$382+AD$382+AC$382+AB$382)</f>
        <v>6.037940052461635E-2</v>
      </c>
      <c r="AG710" s="67">
        <f>AG766/(AG$382+AF$382+AD$382+AC$382)</f>
        <v>5.781592643426698E-2</v>
      </c>
      <c r="AH710" s="67">
        <f>AH766/(AH$382+AG$382+AF$382+AD$382)</f>
        <v>5.364368051234162E-2</v>
      </c>
      <c r="AI710" s="67">
        <f>AI766/(AI$382+AH$382+AG$382+AF$382)</f>
        <v>7.3337401581169637E-2</v>
      </c>
      <c r="AJ710" s="363">
        <f t="shared" si="1577"/>
        <v>7.3337401581169637E-2</v>
      </c>
      <c r="AK710" s="67">
        <f>AK766/(AK$382+AI$382+AH$382+AG$382)</f>
        <v>6.1790497800479592E-2</v>
      </c>
      <c r="AL710" s="67">
        <f>AL766/(AL$382+AK$382+AI$382+AH$382)</f>
        <v>6.0114527589528254E-2</v>
      </c>
      <c r="AM710" s="67">
        <f>AM766/(AM$382+AL$382+AK$382+AI$382)</f>
        <v>5.7108867279996735E-2</v>
      </c>
      <c r="AN710" s="67">
        <f>AN766/(AN$382+AM$382+AL$382+AK$382)</f>
        <v>7.571539280748478E-2</v>
      </c>
      <c r="AO710" s="363">
        <f>AO766/AO$382</f>
        <v>7.571539280748478E-2</v>
      </c>
      <c r="AP710" s="67">
        <f>AP766/(AP$382+AN$382+AM$382+AL$382)</f>
        <v>6.4529441219829189E-2</v>
      </c>
      <c r="AQ710" s="67">
        <f>AQ766/(AQ$382+AP$382+AN$382+AM$382)</f>
        <v>7.4031164628434204E-2</v>
      </c>
      <c r="AR710" s="67">
        <f>AR766/(AR$382+AQ$382+AP$382+AN$382)</f>
        <v>7.3249060278333777E-2</v>
      </c>
      <c r="AS710" s="67">
        <f>AS766/(AS$382+AR$382+AQ$382+AP$382)</f>
        <v>9.3108447100051672E-2</v>
      </c>
      <c r="AT710" s="363">
        <f>AT766/AT$382</f>
        <v>9.3108447100051686E-2</v>
      </c>
      <c r="AU710" s="67">
        <f>AU766/(AU$382+AS$382+AR$382+AQ$382)</f>
        <v>8.3274869508743507E-2</v>
      </c>
      <c r="AV710" s="67">
        <f>AV766/(AV$382+AU$382+AS$382+AR$382)</f>
        <v>6.8498416740222653E-2</v>
      </c>
      <c r="AW710" s="67">
        <f>AW766/(AW$382+AV$382+AU$382+AS$382)</f>
        <v>5.9700251238357073E-2</v>
      </c>
      <c r="AX710" s="67">
        <f>AX766/(AX$382+AW$382+AV$382+AU$382)</f>
        <v>7.2136332893828939E-2</v>
      </c>
      <c r="AY710" s="363">
        <f>AY766/AY$382</f>
        <v>7.2136332893828939E-2</v>
      </c>
      <c r="AZ710" s="67">
        <f>AZ766/(AZ$382+AX$382+AW$382+AV$382)</f>
        <v>5.996186607357281E-2</v>
      </c>
      <c r="BA710" s="67">
        <f>BA766/(BA$382+AZ$382+AX$382+AW$382)</f>
        <v>5.7733601053991737E-2</v>
      </c>
      <c r="BB710" s="67">
        <f>BB766/(BB$382+BA$382+AZ$382+AX$382)</f>
        <v>5.4823477658158162E-2</v>
      </c>
      <c r="BC710" s="67">
        <f>BC766/(BC$382+BB$382+BA$382+AZ$382)</f>
        <v>6.6544843779706431E-2</v>
      </c>
      <c r="BD710" s="363">
        <f>BD766/BD$382</f>
        <v>6.6544843779706431E-2</v>
      </c>
      <c r="BE710" s="67">
        <f>BE766/(BE$382+BC$382+BB$382+BA$382)</f>
        <v>5.6852196376304974E-2</v>
      </c>
      <c r="BF710" s="67">
        <f>BF766/(BF$382+BE$382+BC$382+BB$382)</f>
        <v>5.4995076394354275E-2</v>
      </c>
      <c r="BG710" s="67">
        <f>BG766/(BG$382+BF$382+BE$382+BC$382)</f>
        <v>5.2151827224064161E-2</v>
      </c>
      <c r="BH710" s="67">
        <f>BH766/(BH$382+BG$382+BF$382+BE$382)</f>
        <v>6.4810235664862034E-2</v>
      </c>
      <c r="BI710" s="364">
        <f>BI766/BI$382</f>
        <v>6.4810235664862034E-2</v>
      </c>
      <c r="BJ710" s="67">
        <f t="shared" si="1578"/>
        <v>5.6852196376304974E-2</v>
      </c>
      <c r="BK710" s="67">
        <f t="shared" si="1578"/>
        <v>5.4995076394354275E-2</v>
      </c>
      <c r="BL710" s="67">
        <f t="shared" si="1578"/>
        <v>5.2151827224064161E-2</v>
      </c>
      <c r="BM710" s="67">
        <f t="shared" si="1578"/>
        <v>6.4810235664862034E-2</v>
      </c>
      <c r="BN710" s="363">
        <f>BN766/BN$382</f>
        <v>6.4810235664862034E-2</v>
      </c>
      <c r="BO710" s="67">
        <f t="shared" si="1579"/>
        <v>5.6852196376304974E-2</v>
      </c>
      <c r="BP710" s="67">
        <f t="shared" si="1579"/>
        <v>5.4995076394354275E-2</v>
      </c>
      <c r="BQ710" s="67">
        <f t="shared" si="1579"/>
        <v>5.2151827224064161E-2</v>
      </c>
      <c r="BR710" s="67">
        <f t="shared" si="1579"/>
        <v>6.4810235664862034E-2</v>
      </c>
      <c r="BS710" s="363">
        <f>BS766/BS$382</f>
        <v>6.4810235664862034E-2</v>
      </c>
      <c r="BT710" s="363">
        <f t="shared" si="1580"/>
        <v>6.4810235664862034E-2</v>
      </c>
      <c r="BU710" s="363">
        <f t="shared" si="1580"/>
        <v>6.4810235664862034E-2</v>
      </c>
      <c r="BV710" s="363">
        <f t="shared" si="1580"/>
        <v>6.4810235664862034E-2</v>
      </c>
      <c r="BW710" s="37"/>
    </row>
    <row r="711" spans="1:75" ht="15.75" customHeight="1" x14ac:dyDescent="0.2">
      <c r="A711" s="66" t="s">
        <v>841</v>
      </c>
      <c r="B711" s="66"/>
      <c r="C711" s="363">
        <f t="shared" ref="C711:F711" si="1583">C768/C$382</f>
        <v>0.10393940150559919</v>
      </c>
      <c r="D711" s="363">
        <f t="shared" si="1583"/>
        <v>0.1024789623262328</v>
      </c>
      <c r="E711" s="363">
        <f t="shared" si="1583"/>
        <v>0.10643971634433758</v>
      </c>
      <c r="F711" s="363">
        <f t="shared" si="1583"/>
        <v>0.11322336937684942</v>
      </c>
      <c r="G711" s="67"/>
      <c r="H711" s="67"/>
      <c r="I711" s="67"/>
      <c r="J711" s="67"/>
      <c r="K711" s="363">
        <f>K768/K$382</f>
        <v>0.12185301745025054</v>
      </c>
      <c r="L711" s="67">
        <f>L768/(L$382+J$382+I$382+H$382)</f>
        <v>0.11035356318517468</v>
      </c>
      <c r="M711" s="67">
        <f>M768/(M$382+L$382+J$382+I$382)</f>
        <v>0.10788401813991494</v>
      </c>
      <c r="N711" s="67">
        <f>N768/(N$382+M$382+L$382+J$382)</f>
        <v>0.10860152477477246</v>
      </c>
      <c r="O711" s="67">
        <f>O768/(O$382+N$382+M$382+L$382)</f>
        <v>0.13390811808416775</v>
      </c>
      <c r="P711" s="363">
        <f>P768/P$382</f>
        <v>0.13390811808416775</v>
      </c>
      <c r="Q711" s="67">
        <f>Q768/(Q$382+O$382+N$382+M$382)</f>
        <v>0.12101485918200486</v>
      </c>
      <c r="R711" s="67">
        <f>R768/(R$382+Q$382+O$382+N$382)</f>
        <v>0.1202766357734887</v>
      </c>
      <c r="S711" s="67">
        <f>S768/(S$382+R$382+Q$382+O$382)</f>
        <v>0.11884977677204224</v>
      </c>
      <c r="T711" s="67">
        <f>T768/(T$382+S$382+R$382+Q$382)</f>
        <v>0.14398491104246436</v>
      </c>
      <c r="U711" s="363">
        <f>U768/U$382</f>
        <v>0.14398491104246436</v>
      </c>
      <c r="V711" s="67">
        <f>V768/(V$382+T$382+S$382+R$382)</f>
        <v>0.12538190512790867</v>
      </c>
      <c r="W711" s="67">
        <f>W768/(W$382+V$382+T$382+S$382)</f>
        <v>0.12273346740015624</v>
      </c>
      <c r="X711" s="67">
        <f>X768/(X$382+W$382+V$382+T$382)</f>
        <v>0.12057620802631973</v>
      </c>
      <c r="Y711" s="67">
        <f>Y768/(Y$382+X$382+W$382+V$382)</f>
        <v>7.8671400115743639E-2</v>
      </c>
      <c r="Z711" s="363">
        <f>Z768/Z$382</f>
        <v>7.8671400115743639E-2</v>
      </c>
      <c r="AA711" s="67">
        <f>AA768/(AA$382+Y$382+X$382+W$382)</f>
        <v>6.7855723944322599E-2</v>
      </c>
      <c r="AB711" s="67">
        <f>AB768/(AB$382+AA$382+Y$382+X$382)</f>
        <v>6.9692513561095584E-2</v>
      </c>
      <c r="AC711" s="67">
        <f>AC768/(AC$382+AB$382+AA$382+Y$382)</f>
        <v>6.9735883897299691E-2</v>
      </c>
      <c r="AD711" s="67">
        <f>AD768/(AD$382+AC$382+AB$382+AA$382)</f>
        <v>8.0962547257202158E-2</v>
      </c>
      <c r="AE711" s="363">
        <f>AE768/AE$382</f>
        <v>8.0962547257202158E-2</v>
      </c>
      <c r="AF711" s="67">
        <f>AF768/(AF$382+AD$382+AC$382+AB$382)</f>
        <v>7.3157362616035629E-2</v>
      </c>
      <c r="AG711" s="67">
        <f>AG768/(AG$382+AF$382+AD$382+AC$382)</f>
        <v>7.9036344975240966E-2</v>
      </c>
      <c r="AH711" s="67">
        <f>AH768/(AH$382+AG$382+AF$382+AD$382)</f>
        <v>7.6634685260335053E-2</v>
      </c>
      <c r="AI711" s="67">
        <f>AI768/(AI$382+AH$382+AG$382+AF$382)</f>
        <v>8.2718627894051933E-2</v>
      </c>
      <c r="AJ711" s="363">
        <f t="shared" si="1577"/>
        <v>8.2718627894051933E-2</v>
      </c>
      <c r="AK711" s="67">
        <f>AK768/(AK$382+AI$382+AH$382+AG$382)</f>
        <v>7.2631233529034694E-2</v>
      </c>
      <c r="AL711" s="67">
        <f>AL768/(AL$382+AK$382+AI$382+AH$382)</f>
        <v>7.3041002667468422E-2</v>
      </c>
      <c r="AM711" s="67">
        <f>AM768/(AM$382+AL$382+AK$382+AI$382)</f>
        <v>7.2498427637850776E-2</v>
      </c>
      <c r="AN711" s="67">
        <f>AN768/(AN$382+AM$382+AL$382+AK$382)</f>
        <v>9.5292529238423448E-2</v>
      </c>
      <c r="AO711" s="363">
        <f>AO768/AO$382</f>
        <v>9.5292529238423448E-2</v>
      </c>
      <c r="AP711" s="67">
        <f>AP768/(AP$382+AN$382+AM$382+AL$382)</f>
        <v>6.6776153706675334E-2</v>
      </c>
      <c r="AQ711" s="67">
        <f>AQ768/(AQ$382+AP$382+AN$382+AM$382)</f>
        <v>8.78608164276624E-2</v>
      </c>
      <c r="AR711" s="67">
        <f>AR768/(AR$382+AQ$382+AP$382+AN$382)</f>
        <v>9.1663789046324398E-2</v>
      </c>
      <c r="AS711" s="67">
        <f>AS768/(AS$382+AR$382+AQ$382+AP$382)</f>
        <v>0.10612058641858589</v>
      </c>
      <c r="AT711" s="363">
        <f>AT768/AT$382</f>
        <v>0.1061205864185859</v>
      </c>
      <c r="AU711" s="67">
        <f>AU768/(AU$382+AS$382+AR$382+AQ$382)</f>
        <v>0.10183279078904114</v>
      </c>
      <c r="AV711" s="67">
        <f>AV768/(AV$382+AU$382+AS$382+AR$382)</f>
        <v>9.7822243088403704E-2</v>
      </c>
      <c r="AW711" s="67">
        <f>AW768/(AW$382+AV$382+AU$382+AS$382)</f>
        <v>7.7679854247007546E-2</v>
      </c>
      <c r="AX711" s="67">
        <f>AX768/(AX$382+AW$382+AV$382+AU$382)</f>
        <v>8.1702384937524339E-2</v>
      </c>
      <c r="AY711" s="363">
        <f>AY768/AY$382</f>
        <v>8.1702384937524339E-2</v>
      </c>
      <c r="AZ711" s="67">
        <f>AZ768/(AZ$382+AX$382+AW$382+AV$382)</f>
        <v>6.5361317175167508E-2</v>
      </c>
      <c r="BA711" s="67">
        <f>BA768/(BA$382+AZ$382+AX$382+AW$382)</f>
        <v>7.5202374015049783E-2</v>
      </c>
      <c r="BB711" s="67">
        <f>BB768/(BB$382+BA$382+AZ$382+AX$382)</f>
        <v>7.0598268553930962E-2</v>
      </c>
      <c r="BC711" s="67">
        <f>BC768/(BC$382+BB$382+BA$382+AZ$382)</f>
        <v>6.9973383031258593E-2</v>
      </c>
      <c r="BD711" s="363">
        <f>BD768/BD$382</f>
        <v>6.9973383031258593E-2</v>
      </c>
      <c r="BE711" s="67">
        <f>BE768/(BE$382+BC$382+BB$382+BA$382)</f>
        <v>7.0297372880351719E-2</v>
      </c>
      <c r="BF711" s="67">
        <f>BF768/(BF$382+BE$382+BC$382+BB$382)</f>
        <v>6.4802394306745476E-2</v>
      </c>
      <c r="BG711" s="67">
        <f>BG768/(BG$382+BF$382+BE$382+BC$382)</f>
        <v>6.9585934171775735E-2</v>
      </c>
      <c r="BH711" s="67">
        <f>BH768/(BH$382+BG$382+BF$382+BE$382)</f>
        <v>6.9690010446276693E-2</v>
      </c>
      <c r="BI711" s="364">
        <f>BI768/BI$382</f>
        <v>6.9690010446276693E-2</v>
      </c>
      <c r="BJ711" s="67">
        <f t="shared" si="1578"/>
        <v>7.0297372880351719E-2</v>
      </c>
      <c r="BK711" s="67">
        <f t="shared" si="1578"/>
        <v>6.4802394306745476E-2</v>
      </c>
      <c r="BL711" s="67">
        <f t="shared" si="1578"/>
        <v>6.9585934171775735E-2</v>
      </c>
      <c r="BM711" s="67">
        <f t="shared" si="1578"/>
        <v>6.9690010446276693E-2</v>
      </c>
      <c r="BN711" s="363">
        <f>BN768/BN$382</f>
        <v>6.9690010446276707E-2</v>
      </c>
      <c r="BO711" s="67">
        <f t="shared" si="1579"/>
        <v>7.0297372880351719E-2</v>
      </c>
      <c r="BP711" s="67">
        <f t="shared" si="1579"/>
        <v>6.4802394306745476E-2</v>
      </c>
      <c r="BQ711" s="67">
        <f t="shared" si="1579"/>
        <v>6.9585934171775735E-2</v>
      </c>
      <c r="BR711" s="67">
        <f t="shared" si="1579"/>
        <v>6.9690010446276693E-2</v>
      </c>
      <c r="BS711" s="363">
        <f>BS768/BS$382</f>
        <v>6.9690010446276693E-2</v>
      </c>
      <c r="BT711" s="363">
        <f t="shared" si="1580"/>
        <v>6.9690010446276693E-2</v>
      </c>
      <c r="BU711" s="363">
        <f t="shared" si="1580"/>
        <v>6.9690010446276693E-2</v>
      </c>
      <c r="BV711" s="363">
        <f t="shared" si="1580"/>
        <v>6.9690010446276693E-2</v>
      </c>
      <c r="BW711" s="37"/>
    </row>
    <row r="712" spans="1:75" ht="15.75" customHeight="1" x14ac:dyDescent="0.2">
      <c r="A712" s="66"/>
      <c r="B712" s="66"/>
      <c r="C712" s="363"/>
      <c r="D712" s="363"/>
      <c r="E712" s="363"/>
      <c r="F712" s="363"/>
      <c r="G712" s="67"/>
      <c r="H712" s="67"/>
      <c r="I712" s="67"/>
      <c r="J712" s="67"/>
      <c r="K712" s="363"/>
      <c r="L712" s="67"/>
      <c r="M712" s="67"/>
      <c r="N712" s="67"/>
      <c r="O712" s="67"/>
      <c r="P712" s="363"/>
      <c r="Q712" s="67"/>
      <c r="R712" s="67"/>
      <c r="S712" s="67"/>
      <c r="T712" s="67"/>
      <c r="U712" s="363"/>
      <c r="V712" s="67"/>
      <c r="W712" s="67"/>
      <c r="X712" s="67"/>
      <c r="Y712" s="67"/>
      <c r="Z712" s="363"/>
      <c r="AA712" s="67"/>
      <c r="AB712" s="67"/>
      <c r="AC712" s="67"/>
      <c r="AD712" s="67"/>
      <c r="AE712" s="363"/>
      <c r="AF712" s="67"/>
      <c r="AG712" s="67"/>
      <c r="AH712" s="67"/>
      <c r="AI712" s="67"/>
      <c r="AJ712" s="363"/>
      <c r="AK712" s="67"/>
      <c r="AL712" s="67"/>
      <c r="AM712" s="67"/>
      <c r="AN712" s="67"/>
      <c r="AO712" s="363"/>
      <c r="AP712" s="67"/>
      <c r="AQ712" s="67"/>
      <c r="AR712" s="67"/>
      <c r="AS712" s="67"/>
      <c r="AT712" s="363"/>
      <c r="AU712" s="67"/>
      <c r="AV712" s="67"/>
      <c r="AW712" s="67"/>
      <c r="AX712" s="67"/>
      <c r="AY712" s="363"/>
      <c r="AZ712" s="67"/>
      <c r="BA712" s="67"/>
      <c r="BB712" s="67"/>
      <c r="BC712" s="67"/>
      <c r="BD712" s="363"/>
      <c r="BE712" s="67"/>
      <c r="BF712" s="67"/>
      <c r="BG712" s="67"/>
      <c r="BH712" s="67"/>
      <c r="BI712" s="364"/>
      <c r="BJ712" s="67"/>
      <c r="BK712" s="67"/>
      <c r="BL712" s="67"/>
      <c r="BM712" s="67"/>
      <c r="BN712" s="363"/>
      <c r="BO712" s="67"/>
      <c r="BP712" s="67"/>
      <c r="BQ712" s="67"/>
      <c r="BR712" s="67"/>
      <c r="BS712" s="363"/>
      <c r="BT712" s="363"/>
      <c r="BU712" s="363"/>
      <c r="BV712" s="363"/>
      <c r="BW712" s="37"/>
    </row>
    <row r="713" spans="1:75" ht="15.75" customHeight="1" x14ac:dyDescent="0.2">
      <c r="A713" s="485" t="s">
        <v>842</v>
      </c>
      <c r="B713" s="485"/>
      <c r="C713" s="486"/>
      <c r="D713" s="486">
        <f t="shared" ref="D713:F715" si="1584">D707-C707</f>
        <v>1.965901912860897E-3</v>
      </c>
      <c r="E713" s="486">
        <f t="shared" si="1584"/>
        <v>-1.4926844327458923E-3</v>
      </c>
      <c r="F713" s="486">
        <f t="shared" si="1584"/>
        <v>9.9269962446826947E-3</v>
      </c>
      <c r="G713" s="487"/>
      <c r="H713" s="487"/>
      <c r="I713" s="487"/>
      <c r="J713" s="487"/>
      <c r="K713" s="486">
        <f t="shared" ref="K713:K715" si="1585">K707-F707</f>
        <v>2.6507567727877129E-4</v>
      </c>
      <c r="L713" s="487"/>
      <c r="M713" s="487"/>
      <c r="N713" s="487"/>
      <c r="O713" s="487">
        <f t="shared" ref="O713:T713" si="1586">O707-J707</f>
        <v>4.3051823734478259E-3</v>
      </c>
      <c r="P713" s="486">
        <f t="shared" si="1586"/>
        <v>4.3051823734478259E-3</v>
      </c>
      <c r="Q713" s="487">
        <f t="shared" si="1586"/>
        <v>-2.7532183019434581E-4</v>
      </c>
      <c r="R713" s="487">
        <f t="shared" si="1586"/>
        <v>-5.1120142521902598E-4</v>
      </c>
      <c r="S713" s="487">
        <f t="shared" si="1586"/>
        <v>-1.7335942201553156E-3</v>
      </c>
      <c r="T713" s="487">
        <f t="shared" si="1586"/>
        <v>2.1226945567593136E-3</v>
      </c>
      <c r="U713" s="486">
        <f t="shared" ref="U713:BI716" si="1587">U707-P707</f>
        <v>2.1226945567593136E-3</v>
      </c>
      <c r="V713" s="487">
        <f t="shared" si="1587"/>
        <v>-5.8886192809047902E-4</v>
      </c>
      <c r="W713" s="487">
        <f t="shared" si="1587"/>
        <v>-1.4252081296974757E-3</v>
      </c>
      <c r="X713" s="487">
        <f t="shared" si="1587"/>
        <v>-1.7922301162601913E-3</v>
      </c>
      <c r="Y713" s="487">
        <f t="shared" si="1587"/>
        <v>-6.0772875603269591E-3</v>
      </c>
      <c r="Z713" s="486">
        <f t="shared" si="1587"/>
        <v>-6.0772875603269591E-3</v>
      </c>
      <c r="AA713" s="487">
        <f t="shared" si="1587"/>
        <v>-8.432049770575635E-4</v>
      </c>
      <c r="AB713" s="487">
        <f t="shared" si="1587"/>
        <v>2.0431643865346551E-3</v>
      </c>
      <c r="AC713" s="487">
        <f t="shared" si="1587"/>
        <v>2.1732968760318494E-4</v>
      </c>
      <c r="AD713" s="487">
        <f t="shared" si="1587"/>
        <v>3.4043022522549787E-3</v>
      </c>
      <c r="AE713" s="486">
        <f t="shared" si="1587"/>
        <v>3.4043022522549787E-3</v>
      </c>
      <c r="AF713" s="487">
        <f t="shared" si="1587"/>
        <v>-9.2202005366771866E-4</v>
      </c>
      <c r="AG713" s="487">
        <f t="shared" si="1587"/>
        <v>2.1431216773631565E-4</v>
      </c>
      <c r="AH713" s="487">
        <f t="shared" si="1587"/>
        <v>1.2367883998203461E-3</v>
      </c>
      <c r="AI713" s="487">
        <f t="shared" si="1587"/>
        <v>-7.3111092377095566E-4</v>
      </c>
      <c r="AJ713" s="486">
        <f t="shared" si="1587"/>
        <v>-7.3111092377095566E-4</v>
      </c>
      <c r="AK713" s="487">
        <f t="shared" si="1587"/>
        <v>9.0702762698123898E-4</v>
      </c>
      <c r="AL713" s="487">
        <f t="shared" si="1587"/>
        <v>-1.3410023679838526E-3</v>
      </c>
      <c r="AM713" s="487">
        <f t="shared" si="1587"/>
        <v>-1.6477662990004895E-3</v>
      </c>
      <c r="AN713" s="487">
        <f t="shared" si="1587"/>
        <v>-1.5527319137177142E-3</v>
      </c>
      <c r="AO713" s="486">
        <f t="shared" si="1587"/>
        <v>-1.5527319137177142E-3</v>
      </c>
      <c r="AP713" s="487">
        <f t="shared" si="1587"/>
        <v>4.8950581305325092E-4</v>
      </c>
      <c r="AQ713" s="487">
        <f t="shared" si="1587"/>
        <v>2.039108948664152E-3</v>
      </c>
      <c r="AR713" s="487">
        <f t="shared" si="1587"/>
        <v>4.2345180302942112E-3</v>
      </c>
      <c r="AS713" s="487">
        <f t="shared" si="1587"/>
        <v>1.8414052061461531E-3</v>
      </c>
      <c r="AT713" s="486">
        <f t="shared" si="1587"/>
        <v>1.84140520614616E-3</v>
      </c>
      <c r="AU713" s="487">
        <f t="shared" si="1587"/>
        <v>8.9006537322573048E-3</v>
      </c>
      <c r="AV713" s="487">
        <f t="shared" si="1587"/>
        <v>1.2989150904448889E-3</v>
      </c>
      <c r="AW713" s="487">
        <f t="shared" si="1587"/>
        <v>2.6944256879281314E-4</v>
      </c>
      <c r="AX713" s="487">
        <f t="shared" si="1587"/>
        <v>-3.8834900239197584E-3</v>
      </c>
      <c r="AY713" s="486">
        <f t="shared" si="1587"/>
        <v>-3.8834900239197653E-3</v>
      </c>
      <c r="AZ713" s="487">
        <f t="shared" si="1587"/>
        <v>-7.4936309953286435E-3</v>
      </c>
      <c r="BA713" s="487">
        <f t="shared" si="1587"/>
        <v>-8.7492515609410848E-4</v>
      </c>
      <c r="BB713" s="487">
        <f t="shared" si="1587"/>
        <v>-3.4107301213980659E-3</v>
      </c>
      <c r="BC713" s="487">
        <f t="shared" si="1587"/>
        <v>-2.3880483945137379E-3</v>
      </c>
      <c r="BD713" s="486">
        <f t="shared" si="1587"/>
        <v>-2.3880483945137379E-3</v>
      </c>
      <c r="BE713" s="487">
        <f t="shared" si="1587"/>
        <v>-1.1986405798826219E-3</v>
      </c>
      <c r="BF713" s="487">
        <f t="shared" si="1587"/>
        <v>-1.658997037283283E-3</v>
      </c>
      <c r="BG713" s="487">
        <f t="shared" si="1587"/>
        <v>-9.0294018591863603E-4</v>
      </c>
      <c r="BH713" s="487">
        <f t="shared" si="1587"/>
        <v>-1.9689651525104102E-3</v>
      </c>
      <c r="BI713" s="488">
        <f t="shared" si="1587"/>
        <v>-1.9689651525104102E-3</v>
      </c>
      <c r="BJ713" s="489">
        <v>0</v>
      </c>
      <c r="BK713" s="489">
        <v>0</v>
      </c>
      <c r="BL713" s="489">
        <v>0</v>
      </c>
      <c r="BM713" s="489">
        <v>0</v>
      </c>
      <c r="BN713" s="486">
        <f t="shared" ref="BN713:BN717" si="1588">BN707-BI707</f>
        <v>0</v>
      </c>
      <c r="BO713" s="489">
        <v>0</v>
      </c>
      <c r="BP713" s="489">
        <v>0</v>
      </c>
      <c r="BQ713" s="489">
        <v>0</v>
      </c>
      <c r="BR713" s="489">
        <v>0</v>
      </c>
      <c r="BS713" s="486">
        <f t="shared" ref="BS713:BS717" si="1589">BS707-BN707</f>
        <v>0</v>
      </c>
      <c r="BT713" s="490">
        <v>0</v>
      </c>
      <c r="BU713" s="490">
        <v>0</v>
      </c>
      <c r="BV713" s="490">
        <v>0</v>
      </c>
      <c r="BW713" s="83"/>
    </row>
    <row r="714" spans="1:75" ht="15.75" customHeight="1" x14ac:dyDescent="0.2">
      <c r="A714" s="485" t="s">
        <v>843</v>
      </c>
      <c r="B714" s="108"/>
      <c r="C714" s="486"/>
      <c r="D714" s="486">
        <f t="shared" si="1584"/>
        <v>2.3339282814602291E-5</v>
      </c>
      <c r="E714" s="486">
        <f t="shared" si="1584"/>
        <v>2.1679840877034499E-3</v>
      </c>
      <c r="F714" s="486">
        <f t="shared" si="1584"/>
        <v>-1.0992798384851926E-4</v>
      </c>
      <c r="G714" s="487"/>
      <c r="H714" s="487"/>
      <c r="I714" s="487"/>
      <c r="J714" s="487"/>
      <c r="K714" s="486">
        <f t="shared" si="1585"/>
        <v>2.9521304721103619E-3</v>
      </c>
      <c r="L714" s="487"/>
      <c r="M714" s="487"/>
      <c r="N714" s="487"/>
      <c r="O714" s="487"/>
      <c r="P714" s="486">
        <f t="shared" ref="P714:T715" si="1590">P708-K708</f>
        <v>-2.0681386279038788E-3</v>
      </c>
      <c r="Q714" s="487">
        <f t="shared" si="1590"/>
        <v>-2.1186962060101462E-3</v>
      </c>
      <c r="R714" s="487">
        <f t="shared" si="1590"/>
        <v>-1.0974362751802226E-3</v>
      </c>
      <c r="S714" s="487">
        <f t="shared" si="1590"/>
        <v>-1.3194037509683919E-3</v>
      </c>
      <c r="T714" s="487">
        <f t="shared" si="1590"/>
        <v>-6.3359771698942927E-4</v>
      </c>
      <c r="U714" s="486">
        <f t="shared" si="1587"/>
        <v>-6.3359771698942927E-4</v>
      </c>
      <c r="V714" s="487">
        <f t="shared" si="1587"/>
        <v>4.8127457137778912E-4</v>
      </c>
      <c r="W714" s="487">
        <f t="shared" si="1587"/>
        <v>-1.8640898623363648E-3</v>
      </c>
      <c r="X714" s="487">
        <f t="shared" si="1587"/>
        <v>-1.5609974117500557E-3</v>
      </c>
      <c r="Y714" s="487">
        <f t="shared" si="1587"/>
        <v>-8.4330532738435826E-4</v>
      </c>
      <c r="Z714" s="486">
        <f t="shared" si="1587"/>
        <v>-8.4330532738435826E-4</v>
      </c>
      <c r="AA714" s="487">
        <f t="shared" si="1587"/>
        <v>2.2620392594810759E-4</v>
      </c>
      <c r="AB714" s="487">
        <f t="shared" si="1587"/>
        <v>1.5651039194438804E-3</v>
      </c>
      <c r="AC714" s="487">
        <f t="shared" si="1587"/>
        <v>3.1243870126763246E-3</v>
      </c>
      <c r="AD714" s="487">
        <f t="shared" si="1587"/>
        <v>3.4804388198710831E-3</v>
      </c>
      <c r="AE714" s="486">
        <f t="shared" si="1587"/>
        <v>3.4804388198710831E-3</v>
      </c>
      <c r="AF714" s="487">
        <f t="shared" si="1587"/>
        <v>1.0398614516598063E-3</v>
      </c>
      <c r="AG714" s="487">
        <f t="shared" si="1587"/>
        <v>-2.5144852285725102E-3</v>
      </c>
      <c r="AH714" s="487">
        <f t="shared" si="1587"/>
        <v>-2.2634144985846268E-3</v>
      </c>
      <c r="AI714" s="487">
        <f t="shared" si="1587"/>
        <v>-2.2797803719103241E-3</v>
      </c>
      <c r="AJ714" s="486">
        <f t="shared" si="1587"/>
        <v>-2.2797803719103241E-3</v>
      </c>
      <c r="AK714" s="487">
        <f t="shared" si="1587"/>
        <v>-8.5164099294425533E-5</v>
      </c>
      <c r="AL714" s="487">
        <f t="shared" si="1587"/>
        <v>4.4182266681733074E-3</v>
      </c>
      <c r="AM714" s="487">
        <f t="shared" si="1587"/>
        <v>3.1068012699471022E-3</v>
      </c>
      <c r="AN714" s="487">
        <f t="shared" si="1587"/>
        <v>2.4737950125384121E-3</v>
      </c>
      <c r="AO714" s="486">
        <f t="shared" si="1587"/>
        <v>2.4737950125384121E-3</v>
      </c>
      <c r="AP714" s="487">
        <f t="shared" si="1587"/>
        <v>1.3233662300796804E-3</v>
      </c>
      <c r="AQ714" s="487">
        <f t="shared" si="1587"/>
        <v>-9.4366536127794484E-4</v>
      </c>
      <c r="AR714" s="487">
        <f t="shared" si="1587"/>
        <v>-2.353984012977265E-3</v>
      </c>
      <c r="AS714" s="487">
        <f t="shared" si="1587"/>
        <v>7.8846672675942503E-4</v>
      </c>
      <c r="AT714" s="486">
        <f t="shared" si="1587"/>
        <v>7.884667267594285E-4</v>
      </c>
      <c r="AU714" s="487">
        <f t="shared" si="1587"/>
        <v>3.7938484740167658E-4</v>
      </c>
      <c r="AV714" s="487">
        <f t="shared" si="1587"/>
        <v>-1.5253795141734784E-3</v>
      </c>
      <c r="AW714" s="487">
        <f t="shared" si="1587"/>
        <v>-1.7791500604174421E-3</v>
      </c>
      <c r="AX714" s="487">
        <f t="shared" si="1587"/>
        <v>-5.1770527700026395E-3</v>
      </c>
      <c r="AY714" s="486">
        <f t="shared" si="1587"/>
        <v>-5.1770527700026429E-3</v>
      </c>
      <c r="AZ714" s="487">
        <f t="shared" si="1587"/>
        <v>-4.4329909693345357E-3</v>
      </c>
      <c r="BA714" s="487">
        <f t="shared" si="1587"/>
        <v>-4.0074032870798804E-4</v>
      </c>
      <c r="BB714" s="487">
        <f t="shared" si="1587"/>
        <v>3.5460879236302763E-3</v>
      </c>
      <c r="BC714" s="487">
        <f t="shared" si="1587"/>
        <v>2.1868696663076212E-3</v>
      </c>
      <c r="BD714" s="486">
        <f t="shared" si="1587"/>
        <v>2.1868696663076212E-3</v>
      </c>
      <c r="BE714" s="487">
        <f t="shared" si="1587"/>
        <v>2.3872425519311565E-3</v>
      </c>
      <c r="BF714" s="487">
        <f t="shared" si="1587"/>
        <v>1.2954354484415939E-3</v>
      </c>
      <c r="BG714" s="487">
        <f t="shared" si="1587"/>
        <v>-2.5597210812631013E-3</v>
      </c>
      <c r="BH714" s="487">
        <f t="shared" si="1587"/>
        <v>-5.7669109742697344E-5</v>
      </c>
      <c r="BI714" s="488">
        <f t="shared" si="1587"/>
        <v>-5.7669109742697344E-5</v>
      </c>
      <c r="BJ714" s="489">
        <v>0</v>
      </c>
      <c r="BK714" s="489">
        <v>0</v>
      </c>
      <c r="BL714" s="489">
        <v>0</v>
      </c>
      <c r="BM714" s="489">
        <v>0</v>
      </c>
      <c r="BN714" s="486">
        <f t="shared" si="1588"/>
        <v>0</v>
      </c>
      <c r="BO714" s="489">
        <v>0</v>
      </c>
      <c r="BP714" s="489">
        <v>0</v>
      </c>
      <c r="BQ714" s="489">
        <v>0</v>
      </c>
      <c r="BR714" s="489">
        <v>0</v>
      </c>
      <c r="BS714" s="486">
        <f t="shared" si="1589"/>
        <v>0</v>
      </c>
      <c r="BT714" s="490">
        <v>0</v>
      </c>
      <c r="BU714" s="490">
        <v>0</v>
      </c>
      <c r="BV714" s="490">
        <v>0</v>
      </c>
      <c r="BW714" s="83"/>
    </row>
    <row r="715" spans="1:75" ht="15.75" customHeight="1" x14ac:dyDescent="0.2">
      <c r="A715" s="485" t="s">
        <v>844</v>
      </c>
      <c r="B715" s="108"/>
      <c r="C715" s="486"/>
      <c r="D715" s="486">
        <f t="shared" si="1584"/>
        <v>-1.514405056042941E-3</v>
      </c>
      <c r="E715" s="486">
        <f t="shared" si="1584"/>
        <v>8.9631782762848722E-4</v>
      </c>
      <c r="F715" s="486">
        <f t="shared" si="1584"/>
        <v>5.4071959040107205E-3</v>
      </c>
      <c r="G715" s="487"/>
      <c r="H715" s="487"/>
      <c r="I715" s="487"/>
      <c r="J715" s="487"/>
      <c r="K715" s="486">
        <f t="shared" si="1585"/>
        <v>-7.1195265881605005E-3</v>
      </c>
      <c r="L715" s="487"/>
      <c r="M715" s="487"/>
      <c r="N715" s="487"/>
      <c r="O715" s="487"/>
      <c r="P715" s="486">
        <f t="shared" si="1590"/>
        <v>1.0141140401929233E-2</v>
      </c>
      <c r="Q715" s="487">
        <f t="shared" si="1590"/>
        <v>9.6346929219022492E-4</v>
      </c>
      <c r="R715" s="487">
        <f t="shared" si="1590"/>
        <v>7.9781514160541522E-4</v>
      </c>
      <c r="S715" s="487">
        <f t="shared" si="1590"/>
        <v>-4.6247841187030229E-3</v>
      </c>
      <c r="T715" s="487">
        <f t="shared" si="1590"/>
        <v>-6.2604450210632066E-3</v>
      </c>
      <c r="U715" s="486">
        <f t="shared" si="1587"/>
        <v>-6.2604450210632066E-3</v>
      </c>
      <c r="V715" s="487">
        <f t="shared" si="1587"/>
        <v>-8.9414843048578295E-3</v>
      </c>
      <c r="W715" s="487">
        <f t="shared" si="1587"/>
        <v>-7.692968170117935E-3</v>
      </c>
      <c r="X715" s="487">
        <f t="shared" si="1587"/>
        <v>-3.6318220778707687E-3</v>
      </c>
      <c r="Y715" s="487">
        <f t="shared" si="1587"/>
        <v>-4.4769063047829134E-3</v>
      </c>
      <c r="Z715" s="486">
        <f t="shared" si="1587"/>
        <v>-4.4769063047829134E-3</v>
      </c>
      <c r="AA715" s="487">
        <f t="shared" si="1587"/>
        <v>-2.6707484280767673E-3</v>
      </c>
      <c r="AB715" s="487">
        <f t="shared" si="1587"/>
        <v>2.3184910117689979E-3</v>
      </c>
      <c r="AC715" s="487">
        <f t="shared" si="1587"/>
        <v>2.6315951188911751E-3</v>
      </c>
      <c r="AD715" s="487">
        <f t="shared" si="1587"/>
        <v>4.2901643445836524E-3</v>
      </c>
      <c r="AE715" s="486">
        <f t="shared" si="1587"/>
        <v>4.2901643445836524E-3</v>
      </c>
      <c r="AF715" s="487">
        <f t="shared" si="1587"/>
        <v>1.6752629567762748E-3</v>
      </c>
      <c r="AG715" s="487">
        <f t="shared" si="1587"/>
        <v>-3.5486434496980676E-3</v>
      </c>
      <c r="AH715" s="487">
        <f t="shared" si="1587"/>
        <v>-3.5740538414482E-3</v>
      </c>
      <c r="AI715" s="487">
        <f t="shared" si="1587"/>
        <v>-1.6721703101962235E-3</v>
      </c>
      <c r="AJ715" s="486">
        <f t="shared" si="1587"/>
        <v>-1.6721703101962235E-3</v>
      </c>
      <c r="AK715" s="487">
        <f t="shared" si="1587"/>
        <v>-1.5322425942778158E-3</v>
      </c>
      <c r="AL715" s="487">
        <f t="shared" si="1587"/>
        <v>-1.392793968012675E-3</v>
      </c>
      <c r="AM715" s="487">
        <f t="shared" si="1587"/>
        <v>-1.5413298460577943E-3</v>
      </c>
      <c r="AN715" s="487">
        <f t="shared" si="1587"/>
        <v>4.0690298643058127E-3</v>
      </c>
      <c r="AO715" s="486">
        <f t="shared" si="1587"/>
        <v>4.0690298643058127E-3</v>
      </c>
      <c r="AP715" s="487">
        <f t="shared" si="1587"/>
        <v>6.9429492652056651E-3</v>
      </c>
      <c r="AQ715" s="487">
        <f t="shared" si="1587"/>
        <v>1.1067297487312786E-2</v>
      </c>
      <c r="AR715" s="487">
        <f t="shared" si="1587"/>
        <v>1.3790109147295143E-2</v>
      </c>
      <c r="AS715" s="487">
        <f t="shared" si="1587"/>
        <v>4.5119801907060539E-3</v>
      </c>
      <c r="AT715" s="486">
        <f t="shared" si="1587"/>
        <v>4.5119801907060574E-3</v>
      </c>
      <c r="AU715" s="487">
        <f t="shared" si="1587"/>
        <v>5.7135270968765861E-3</v>
      </c>
      <c r="AV715" s="487">
        <f t="shared" si="1587"/>
        <v>-3.8198827662226029E-3</v>
      </c>
      <c r="AW715" s="487">
        <f t="shared" si="1587"/>
        <v>-9.445781271624671E-3</v>
      </c>
      <c r="AX715" s="487">
        <f t="shared" si="1587"/>
        <v>-1.0988224922722958E-2</v>
      </c>
      <c r="AY715" s="486">
        <f t="shared" si="1587"/>
        <v>-1.0988224922722962E-2</v>
      </c>
      <c r="AZ715" s="487">
        <f t="shared" si="1587"/>
        <v>-8.1300368930364852E-3</v>
      </c>
      <c r="BA715" s="487">
        <f t="shared" si="1587"/>
        <v>-3.7697490215925847E-3</v>
      </c>
      <c r="BB715" s="487">
        <f t="shared" si="1587"/>
        <v>-1.0279485687544436E-3</v>
      </c>
      <c r="BC715" s="487">
        <f t="shared" si="1587"/>
        <v>1.6991426029377664E-3</v>
      </c>
      <c r="BD715" s="486">
        <f t="shared" si="1587"/>
        <v>1.6991426029377664E-3</v>
      </c>
      <c r="BE715" s="487">
        <f t="shared" si="1587"/>
        <v>-3.0697681830096218E-3</v>
      </c>
      <c r="BF715" s="487">
        <f t="shared" si="1587"/>
        <v>2.6576465051778714E-3</v>
      </c>
      <c r="BG715" s="487">
        <f t="shared" si="1587"/>
        <v>-3.0696262188520916E-3</v>
      </c>
      <c r="BH715" s="487">
        <f t="shared" si="1587"/>
        <v>-1.8132473730789883E-3</v>
      </c>
      <c r="BI715" s="488">
        <f t="shared" si="1587"/>
        <v>-1.8132473730789883E-3</v>
      </c>
      <c r="BJ715" s="489">
        <v>0</v>
      </c>
      <c r="BK715" s="489">
        <v>0</v>
      </c>
      <c r="BL715" s="489">
        <v>0</v>
      </c>
      <c r="BM715" s="489">
        <v>0</v>
      </c>
      <c r="BN715" s="486">
        <f t="shared" si="1588"/>
        <v>0</v>
      </c>
      <c r="BO715" s="489">
        <v>0</v>
      </c>
      <c r="BP715" s="489">
        <v>0</v>
      </c>
      <c r="BQ715" s="489">
        <v>0</v>
      </c>
      <c r="BR715" s="489">
        <v>0</v>
      </c>
      <c r="BS715" s="486">
        <f t="shared" si="1589"/>
        <v>0</v>
      </c>
      <c r="BT715" s="490">
        <v>0</v>
      </c>
      <c r="BU715" s="490">
        <v>0</v>
      </c>
      <c r="BV715" s="490">
        <v>0</v>
      </c>
      <c r="BW715" s="83"/>
    </row>
    <row r="716" spans="1:75" ht="15.75" customHeight="1" x14ac:dyDescent="0.2">
      <c r="A716" s="485" t="s">
        <v>845</v>
      </c>
      <c r="B716" s="108"/>
      <c r="C716" s="486"/>
      <c r="D716" s="486"/>
      <c r="E716" s="486"/>
      <c r="F716" s="486"/>
      <c r="G716" s="487"/>
      <c r="H716" s="487"/>
      <c r="I716" s="487"/>
      <c r="J716" s="487"/>
      <c r="K716" s="486"/>
      <c r="L716" s="487"/>
      <c r="M716" s="487"/>
      <c r="N716" s="487"/>
      <c r="O716" s="487"/>
      <c r="P716" s="486"/>
      <c r="Q716" s="487"/>
      <c r="R716" s="487"/>
      <c r="S716" s="487"/>
      <c r="T716" s="487"/>
      <c r="U716" s="486"/>
      <c r="V716" s="487"/>
      <c r="W716" s="487"/>
      <c r="X716" s="487"/>
      <c r="Y716" s="487"/>
      <c r="Z716" s="486"/>
      <c r="AA716" s="487"/>
      <c r="AB716" s="487"/>
      <c r="AC716" s="487"/>
      <c r="AD716" s="487">
        <f t="shared" si="1587"/>
        <v>5.0206846279656631E-3</v>
      </c>
      <c r="AE716" s="486">
        <f t="shared" si="1587"/>
        <v>5.0206846279656631E-3</v>
      </c>
      <c r="AF716" s="487">
        <f t="shared" si="1587"/>
        <v>4.5401179669428623E-3</v>
      </c>
      <c r="AG716" s="487">
        <f t="shared" si="1587"/>
        <v>3.9765154105996722E-3</v>
      </c>
      <c r="AH716" s="487">
        <f t="shared" si="1587"/>
        <v>2.8463492931821016E-3</v>
      </c>
      <c r="AI716" s="487">
        <f t="shared" si="1587"/>
        <v>8.0882164627021913E-4</v>
      </c>
      <c r="AJ716" s="486">
        <f t="shared" si="1587"/>
        <v>8.0882164627021913E-4</v>
      </c>
      <c r="AK716" s="487">
        <f t="shared" si="1587"/>
        <v>1.411097275863242E-3</v>
      </c>
      <c r="AL716" s="487">
        <f t="shared" si="1587"/>
        <v>2.2986011552612734E-3</v>
      </c>
      <c r="AM716" s="487">
        <f t="shared" si="1587"/>
        <v>3.4651867676551151E-3</v>
      </c>
      <c r="AN716" s="487">
        <f t="shared" si="1587"/>
        <v>2.3779912263151431E-3</v>
      </c>
      <c r="AO716" s="486">
        <f t="shared" si="1587"/>
        <v>2.3779912263151431E-3</v>
      </c>
      <c r="AP716" s="487">
        <f t="shared" si="1587"/>
        <v>2.7389434193495973E-3</v>
      </c>
      <c r="AQ716" s="487">
        <f t="shared" si="1587"/>
        <v>1.391663703890595E-2</v>
      </c>
      <c r="AR716" s="487">
        <f t="shared" si="1587"/>
        <v>1.6140192998337043E-2</v>
      </c>
      <c r="AS716" s="487">
        <f t="shared" si="1587"/>
        <v>1.7393054292566892E-2</v>
      </c>
      <c r="AT716" s="486">
        <f t="shared" si="1587"/>
        <v>1.7393054292566906E-2</v>
      </c>
      <c r="AU716" s="487">
        <f t="shared" si="1587"/>
        <v>1.8745428288914318E-2</v>
      </c>
      <c r="AV716" s="487">
        <f t="shared" si="1587"/>
        <v>-5.5327478882115505E-3</v>
      </c>
      <c r="AW716" s="487">
        <f t="shared" si="1587"/>
        <v>-1.3548809039976704E-2</v>
      </c>
      <c r="AX716" s="487">
        <f t="shared" si="1587"/>
        <v>-2.0972114206222733E-2</v>
      </c>
      <c r="AY716" s="486">
        <f t="shared" si="1587"/>
        <v>-2.0972114206222747E-2</v>
      </c>
      <c r="AZ716" s="487">
        <f t="shared" si="1587"/>
        <v>-2.3313003435170697E-2</v>
      </c>
      <c r="BA716" s="487">
        <f t="shared" si="1587"/>
        <v>-1.0764815686230916E-2</v>
      </c>
      <c r="BB716" s="487">
        <f t="shared" si="1587"/>
        <v>-4.8767735801989107E-3</v>
      </c>
      <c r="BC716" s="487">
        <f t="shared" si="1587"/>
        <v>-5.5914891141225082E-3</v>
      </c>
      <c r="BD716" s="486">
        <f t="shared" si="1587"/>
        <v>-5.5914891141225082E-3</v>
      </c>
      <c r="BE716" s="487">
        <f t="shared" si="1587"/>
        <v>-3.1096696972678362E-3</v>
      </c>
      <c r="BF716" s="487">
        <f t="shared" si="1587"/>
        <v>-2.7385246596374618E-3</v>
      </c>
      <c r="BG716" s="487">
        <f t="shared" si="1587"/>
        <v>-2.6716504340940014E-3</v>
      </c>
      <c r="BH716" s="487">
        <f t="shared" si="1587"/>
        <v>-1.7346081148443965E-3</v>
      </c>
      <c r="BI716" s="488">
        <f t="shared" si="1587"/>
        <v>-1.7346081148443965E-3</v>
      </c>
      <c r="BJ716" s="489">
        <v>0</v>
      </c>
      <c r="BK716" s="489">
        <v>0</v>
      </c>
      <c r="BL716" s="489">
        <v>0</v>
      </c>
      <c r="BM716" s="489">
        <v>0</v>
      </c>
      <c r="BN716" s="486">
        <f t="shared" si="1588"/>
        <v>0</v>
      </c>
      <c r="BO716" s="489">
        <v>0</v>
      </c>
      <c r="BP716" s="489">
        <v>0</v>
      </c>
      <c r="BQ716" s="489">
        <v>0</v>
      </c>
      <c r="BR716" s="489">
        <v>0</v>
      </c>
      <c r="BS716" s="486">
        <f t="shared" si="1589"/>
        <v>0</v>
      </c>
      <c r="BT716" s="490">
        <v>0</v>
      </c>
      <c r="BU716" s="490">
        <v>0</v>
      </c>
      <c r="BV716" s="490">
        <v>0</v>
      </c>
      <c r="BW716" s="83"/>
    </row>
    <row r="717" spans="1:75" ht="15.75" customHeight="1" x14ac:dyDescent="0.2">
      <c r="A717" s="485" t="s">
        <v>846</v>
      </c>
      <c r="B717" s="108"/>
      <c r="C717" s="486"/>
      <c r="D717" s="486">
        <f t="shared" ref="D717:F717" si="1591">D711-C711</f>
        <v>-1.4604391793663907E-3</v>
      </c>
      <c r="E717" s="486">
        <f t="shared" si="1591"/>
        <v>3.9607540181047785E-3</v>
      </c>
      <c r="F717" s="486">
        <f t="shared" si="1591"/>
        <v>6.783653032511841E-3</v>
      </c>
      <c r="G717" s="487"/>
      <c r="H717" s="487"/>
      <c r="I717" s="487"/>
      <c r="J717" s="487"/>
      <c r="K717" s="486">
        <f>K711-F711</f>
        <v>8.6296480734011222E-3</v>
      </c>
      <c r="L717" s="487"/>
      <c r="M717" s="487"/>
      <c r="N717" s="487"/>
      <c r="O717" s="487"/>
      <c r="P717" s="486">
        <f>P711-K711</f>
        <v>1.205510063391721E-2</v>
      </c>
      <c r="Q717" s="487">
        <f>Q711-L711</f>
        <v>1.0661295996830175E-2</v>
      </c>
      <c r="R717" s="487">
        <f>R711-M711</f>
        <v>1.2392617633573758E-2</v>
      </c>
      <c r="S717" s="487">
        <f>S711-N711</f>
        <v>1.0248251997269781E-2</v>
      </c>
      <c r="T717" s="487">
        <f>T711-O711</f>
        <v>1.007679295829661E-2</v>
      </c>
      <c r="U717" s="486">
        <f t="shared" ref="U717:BI717" si="1592">U711-P711</f>
        <v>1.007679295829661E-2</v>
      </c>
      <c r="V717" s="487">
        <f t="shared" si="1592"/>
        <v>4.3670459459038136E-3</v>
      </c>
      <c r="W717" s="487">
        <f t="shared" si="1592"/>
        <v>2.4568316266675438E-3</v>
      </c>
      <c r="X717" s="487">
        <f t="shared" si="1592"/>
        <v>1.7264312542774884E-3</v>
      </c>
      <c r="Y717" s="487">
        <f t="shared" si="1592"/>
        <v>-6.5313510926720719E-2</v>
      </c>
      <c r="Z717" s="486">
        <f t="shared" si="1592"/>
        <v>-6.5313510926720719E-2</v>
      </c>
      <c r="AA717" s="487">
        <f t="shared" si="1592"/>
        <v>-5.7526181183586073E-2</v>
      </c>
      <c r="AB717" s="487">
        <f t="shared" si="1592"/>
        <v>-5.3040953839060656E-2</v>
      </c>
      <c r="AC717" s="487">
        <f t="shared" si="1592"/>
        <v>-5.0840324129020037E-2</v>
      </c>
      <c r="AD717" s="487">
        <f t="shared" si="1592"/>
        <v>2.2911471414585188E-3</v>
      </c>
      <c r="AE717" s="486">
        <f t="shared" si="1592"/>
        <v>2.2911471414585188E-3</v>
      </c>
      <c r="AF717" s="487">
        <f t="shared" si="1592"/>
        <v>5.3016386717130298E-3</v>
      </c>
      <c r="AG717" s="487">
        <f t="shared" si="1592"/>
        <v>9.3438314141453815E-3</v>
      </c>
      <c r="AH717" s="487">
        <f t="shared" si="1592"/>
        <v>6.8988013630353617E-3</v>
      </c>
      <c r="AI717" s="487">
        <f t="shared" si="1592"/>
        <v>1.7560806368497744E-3</v>
      </c>
      <c r="AJ717" s="486">
        <f t="shared" si="1592"/>
        <v>1.7560806368497744E-3</v>
      </c>
      <c r="AK717" s="487">
        <f t="shared" si="1592"/>
        <v>-5.2612908700093441E-4</v>
      </c>
      <c r="AL717" s="487">
        <f t="shared" si="1592"/>
        <v>-5.9953423077725443E-3</v>
      </c>
      <c r="AM717" s="487">
        <f t="shared" si="1592"/>
        <v>-4.1362576224842768E-3</v>
      </c>
      <c r="AN717" s="487">
        <f t="shared" si="1592"/>
        <v>1.2573901344371516E-2</v>
      </c>
      <c r="AO717" s="486">
        <f t="shared" si="1592"/>
        <v>1.2573901344371516E-2</v>
      </c>
      <c r="AP717" s="487">
        <f t="shared" si="1592"/>
        <v>-5.8550798223593603E-3</v>
      </c>
      <c r="AQ717" s="487">
        <f t="shared" si="1592"/>
        <v>1.4819813760193978E-2</v>
      </c>
      <c r="AR717" s="487">
        <f t="shared" si="1592"/>
        <v>1.9165361408473622E-2</v>
      </c>
      <c r="AS717" s="487">
        <f t="shared" si="1592"/>
        <v>1.0828057180162443E-2</v>
      </c>
      <c r="AT717" s="486">
        <f t="shared" si="1592"/>
        <v>1.0828057180162456E-2</v>
      </c>
      <c r="AU717" s="487">
        <f t="shared" si="1592"/>
        <v>3.505663708236581E-2</v>
      </c>
      <c r="AV717" s="487">
        <f t="shared" si="1592"/>
        <v>9.9614266607413043E-3</v>
      </c>
      <c r="AW717" s="487">
        <f t="shared" si="1592"/>
        <v>-1.3983934799316852E-2</v>
      </c>
      <c r="AX717" s="487">
        <f t="shared" si="1592"/>
        <v>-2.4418201481061552E-2</v>
      </c>
      <c r="AY717" s="486">
        <f t="shared" si="1592"/>
        <v>-2.4418201481061566E-2</v>
      </c>
      <c r="AZ717" s="487">
        <f t="shared" si="1592"/>
        <v>-3.6471473613873637E-2</v>
      </c>
      <c r="BA717" s="487">
        <f t="shared" si="1592"/>
        <v>-2.2619869073353921E-2</v>
      </c>
      <c r="BB717" s="487">
        <f t="shared" si="1592"/>
        <v>-7.0815856930765836E-3</v>
      </c>
      <c r="BC717" s="487">
        <f t="shared" si="1592"/>
        <v>-1.1729001906265746E-2</v>
      </c>
      <c r="BD717" s="486">
        <f t="shared" si="1592"/>
        <v>-1.1729001906265746E-2</v>
      </c>
      <c r="BE717" s="487">
        <f t="shared" si="1592"/>
        <v>4.9360557051842113E-3</v>
      </c>
      <c r="BF717" s="487">
        <f t="shared" si="1592"/>
        <v>-1.0399979708304308E-2</v>
      </c>
      <c r="BG717" s="487">
        <f t="shared" si="1592"/>
        <v>-1.0123343821552278E-3</v>
      </c>
      <c r="BH717" s="487">
        <f t="shared" si="1592"/>
        <v>-2.8337258498190021E-4</v>
      </c>
      <c r="BI717" s="488">
        <f t="shared" si="1592"/>
        <v>-2.8337258498190021E-4</v>
      </c>
      <c r="BJ717" s="489">
        <v>0</v>
      </c>
      <c r="BK717" s="489">
        <v>0</v>
      </c>
      <c r="BL717" s="489">
        <v>0</v>
      </c>
      <c r="BM717" s="489">
        <v>0</v>
      </c>
      <c r="BN717" s="486">
        <f t="shared" si="1588"/>
        <v>0</v>
      </c>
      <c r="BO717" s="489">
        <v>0</v>
      </c>
      <c r="BP717" s="489">
        <v>0</v>
      </c>
      <c r="BQ717" s="489">
        <v>0</v>
      </c>
      <c r="BR717" s="489">
        <v>0</v>
      </c>
      <c r="BS717" s="486">
        <f t="shared" si="1589"/>
        <v>0</v>
      </c>
      <c r="BT717" s="490">
        <v>0</v>
      </c>
      <c r="BU717" s="490">
        <v>0</v>
      </c>
      <c r="BV717" s="490">
        <v>0</v>
      </c>
      <c r="BW717" s="83"/>
    </row>
    <row r="718" spans="1:75" ht="15.75" customHeight="1" x14ac:dyDescent="0.2">
      <c r="A718" s="85"/>
      <c r="B718" s="85"/>
      <c r="C718" s="237"/>
      <c r="D718" s="237"/>
      <c r="E718" s="237"/>
      <c r="F718" s="237"/>
      <c r="G718" s="239"/>
      <c r="H718" s="239"/>
      <c r="I718" s="239"/>
      <c r="J718" s="239"/>
      <c r="K718" s="237"/>
      <c r="L718" s="239"/>
      <c r="M718" s="239"/>
      <c r="N718" s="239"/>
      <c r="O718" s="239"/>
      <c r="P718" s="237"/>
      <c r="Q718" s="239"/>
      <c r="R718" s="239"/>
      <c r="S718" s="239"/>
      <c r="T718" s="239"/>
      <c r="U718" s="237"/>
      <c r="V718" s="239"/>
      <c r="W718" s="239"/>
      <c r="X718" s="239"/>
      <c r="Y718" s="239"/>
      <c r="Z718" s="237"/>
      <c r="AA718" s="239"/>
      <c r="AB718" s="239"/>
      <c r="AC718" s="239"/>
      <c r="AD718" s="239"/>
      <c r="AE718" s="237"/>
      <c r="AF718" s="239"/>
      <c r="AG718" s="239"/>
      <c r="AH718" s="239"/>
      <c r="AI718" s="239"/>
      <c r="AJ718" s="237"/>
      <c r="AK718" s="239"/>
      <c r="AL718" s="239"/>
      <c r="AM718" s="239"/>
      <c r="AN718" s="239"/>
      <c r="AO718" s="237"/>
      <c r="AP718" s="239"/>
      <c r="AQ718" s="239"/>
      <c r="AR718" s="239"/>
      <c r="AS718" s="239"/>
      <c r="AT718" s="237"/>
      <c r="AU718" s="239"/>
      <c r="AV718" s="239"/>
      <c r="AW718" s="239"/>
      <c r="AX718" s="239"/>
      <c r="AY718" s="237"/>
      <c r="AZ718" s="239"/>
      <c r="BA718" s="239"/>
      <c r="BB718" s="239"/>
      <c r="BC718" s="239"/>
      <c r="BD718" s="237"/>
      <c r="BE718" s="239"/>
      <c r="BF718" s="239"/>
      <c r="BG718" s="239"/>
      <c r="BH718" s="239"/>
      <c r="BI718" s="259"/>
      <c r="BJ718" s="239"/>
      <c r="BK718" s="239"/>
      <c r="BL718" s="239"/>
      <c r="BM718" s="239"/>
      <c r="BN718" s="237"/>
      <c r="BO718" s="239"/>
      <c r="BP718" s="239"/>
      <c r="BQ718" s="239"/>
      <c r="BR718" s="239"/>
      <c r="BS718" s="237"/>
      <c r="BT718" s="237"/>
      <c r="BU718" s="237"/>
      <c r="BV718" s="237"/>
      <c r="BW718" s="83"/>
    </row>
    <row r="719" spans="1:75" ht="15.75" customHeight="1" x14ac:dyDescent="0.2">
      <c r="A719" s="491" t="s">
        <v>847</v>
      </c>
      <c r="B719" s="491"/>
      <c r="C719" s="492"/>
      <c r="D719" s="492"/>
      <c r="E719" s="492"/>
      <c r="F719" s="492"/>
      <c r="G719" s="492"/>
      <c r="H719" s="492"/>
      <c r="I719" s="492"/>
      <c r="J719" s="492"/>
      <c r="K719" s="492"/>
      <c r="L719" s="492"/>
      <c r="M719" s="492"/>
      <c r="N719" s="492"/>
      <c r="O719" s="492"/>
      <c r="P719" s="492"/>
      <c r="Q719" s="492"/>
      <c r="R719" s="492"/>
      <c r="S719" s="492"/>
      <c r="T719" s="492"/>
      <c r="U719" s="492"/>
      <c r="V719" s="492"/>
      <c r="W719" s="492"/>
      <c r="X719" s="492"/>
      <c r="Y719" s="492"/>
      <c r="Z719" s="492"/>
      <c r="AA719" s="492"/>
      <c r="AB719" s="492"/>
      <c r="AC719" s="492"/>
      <c r="AD719" s="492"/>
      <c r="AE719" s="492"/>
      <c r="AF719" s="492"/>
      <c r="AG719" s="492"/>
      <c r="AH719" s="492"/>
      <c r="AI719" s="492"/>
      <c r="AJ719" s="492"/>
      <c r="AK719" s="492"/>
      <c r="AL719" s="492"/>
      <c r="AM719" s="492"/>
      <c r="AN719" s="492"/>
      <c r="AO719" s="492"/>
      <c r="AP719" s="492"/>
      <c r="AQ719" s="492"/>
      <c r="AR719" s="492"/>
      <c r="AS719" s="492"/>
      <c r="AT719" s="492"/>
      <c r="AU719" s="492"/>
      <c r="AV719" s="492"/>
      <c r="AW719" s="492"/>
      <c r="AX719" s="492"/>
      <c r="AY719" s="492"/>
      <c r="AZ719" s="492"/>
      <c r="BA719" s="492"/>
      <c r="BB719" s="492"/>
      <c r="BC719" s="492"/>
      <c r="BD719" s="492"/>
      <c r="BE719" s="492"/>
      <c r="BF719" s="492"/>
      <c r="BG719" s="492"/>
      <c r="BH719" s="492"/>
      <c r="BI719" s="493"/>
      <c r="BJ719" s="492"/>
      <c r="BK719" s="492"/>
      <c r="BL719" s="492"/>
      <c r="BM719" s="492"/>
      <c r="BN719" s="492"/>
      <c r="BO719" s="492"/>
      <c r="BP719" s="492"/>
      <c r="BQ719" s="492"/>
      <c r="BR719" s="492"/>
      <c r="BS719" s="492"/>
      <c r="BT719" s="492"/>
      <c r="BU719" s="492"/>
      <c r="BV719" s="492"/>
      <c r="BW719" s="83"/>
    </row>
    <row r="720" spans="1:75" ht="15.75" customHeight="1" x14ac:dyDescent="0.2">
      <c r="A720" s="108" t="s">
        <v>848</v>
      </c>
      <c r="B720" s="108"/>
      <c r="C720" s="494"/>
      <c r="D720" s="494">
        <f t="shared" ref="D720:J720" si="1593">C724</f>
        <v>788.40200000000004</v>
      </c>
      <c r="E720" s="494">
        <f t="shared" si="1593"/>
        <v>755.46799999999996</v>
      </c>
      <c r="F720" s="494">
        <f t="shared" si="1593"/>
        <v>758.50300000000004</v>
      </c>
      <c r="G720" s="495">
        <f t="shared" si="1593"/>
        <v>764.41800000000001</v>
      </c>
      <c r="H720" s="495">
        <f t="shared" si="1593"/>
        <v>762.88400000000001</v>
      </c>
      <c r="I720" s="495">
        <f t="shared" si="1593"/>
        <v>765.62</v>
      </c>
      <c r="J720" s="495">
        <f t="shared" si="1593"/>
        <v>784.31899999999996</v>
      </c>
      <c r="K720" s="494">
        <f>F724</f>
        <v>764.41800000000001</v>
      </c>
      <c r="L720" s="495">
        <f>K724</f>
        <v>795.37900000000002</v>
      </c>
      <c r="M720" s="495">
        <f t="shared" ref="M720:O720" si="1594">L724</f>
        <v>803.33399999999995</v>
      </c>
      <c r="N720" s="495">
        <f t="shared" si="1594"/>
        <v>810.85500000000002</v>
      </c>
      <c r="O720" s="495">
        <f t="shared" si="1594"/>
        <v>824.41</v>
      </c>
      <c r="P720" s="494">
        <f>K724</f>
        <v>795.37900000000002</v>
      </c>
      <c r="Q720" s="495">
        <f t="shared" ref="Q720:T720" si="1595">P724</f>
        <v>828.30499999999995</v>
      </c>
      <c r="R720" s="495">
        <f t="shared" si="1595"/>
        <v>828.96600000000001</v>
      </c>
      <c r="S720" s="495">
        <f t="shared" si="1595"/>
        <v>851.47699999999998</v>
      </c>
      <c r="T720" s="495">
        <f t="shared" si="1595"/>
        <v>874.34</v>
      </c>
      <c r="U720" s="494">
        <f>P724</f>
        <v>828.30499999999995</v>
      </c>
      <c r="V720" s="495">
        <f t="shared" ref="V720:Y720" si="1596">U724</f>
        <v>892.19100000000003</v>
      </c>
      <c r="W720" s="495">
        <f t="shared" si="1596"/>
        <v>885.96400000000006</v>
      </c>
      <c r="X720" s="495">
        <f t="shared" si="1596"/>
        <v>888.84900000000005</v>
      </c>
      <c r="Y720" s="495">
        <f t="shared" si="1596"/>
        <v>902.58100000000002</v>
      </c>
      <c r="Z720" s="494">
        <f>U724</f>
        <v>892.19100000000003</v>
      </c>
      <c r="AA720" s="495">
        <f t="shared" ref="AA720:AD720" si="1597">Z724</f>
        <v>910.13400000000001</v>
      </c>
      <c r="AB720" s="495">
        <f t="shared" si="1597"/>
        <v>910.58100000000002</v>
      </c>
      <c r="AC720" s="495">
        <f t="shared" si="1597"/>
        <v>913.375</v>
      </c>
      <c r="AD720" s="495">
        <f t="shared" si="1597"/>
        <v>933.48400000000004</v>
      </c>
      <c r="AE720" s="494">
        <f>Z724</f>
        <v>910.13400000000001</v>
      </c>
      <c r="AF720" s="495">
        <f t="shared" ref="AF720:AI720" si="1598">AE724</f>
        <v>935.04499999999996</v>
      </c>
      <c r="AG720" s="495">
        <f t="shared" si="1598"/>
        <v>935.279</v>
      </c>
      <c r="AH720" s="495">
        <f t="shared" si="1598"/>
        <v>936.46900000000005</v>
      </c>
      <c r="AI720" s="495">
        <f t="shared" si="1598"/>
        <v>940.077</v>
      </c>
      <c r="AJ720" s="494">
        <f>AE724</f>
        <v>935.04499999999996</v>
      </c>
      <c r="AK720" s="495">
        <f t="shared" ref="AK720:AN720" si="1599">AJ724</f>
        <v>913.27499999999998</v>
      </c>
      <c r="AL720" s="495">
        <f t="shared" si="1599"/>
        <v>763.88400000000001</v>
      </c>
      <c r="AM720" s="495">
        <f t="shared" si="1599"/>
        <v>758.49599999999998</v>
      </c>
      <c r="AN720" s="495">
        <f t="shared" si="1599"/>
        <v>759.24300000000005</v>
      </c>
      <c r="AO720" s="494">
        <f>AJ724</f>
        <v>913.27499999999998</v>
      </c>
      <c r="AP720" s="495">
        <f t="shared" ref="AP720:AS720" si="1600">AO724</f>
        <v>831.59900000000005</v>
      </c>
      <c r="AQ720" s="495">
        <f t="shared" si="1600"/>
        <v>818.28300000000002</v>
      </c>
      <c r="AR720" s="495">
        <f t="shared" si="1600"/>
        <v>805.88900000000001</v>
      </c>
      <c r="AS720" s="495">
        <f t="shared" si="1600"/>
        <v>789.60400000000004</v>
      </c>
      <c r="AT720" s="494">
        <f>AO724</f>
        <v>831.59900000000005</v>
      </c>
      <c r="AU720" s="495">
        <f t="shared" ref="AU720:AX720" si="1601">AT724</f>
        <v>774.13699999999994</v>
      </c>
      <c r="AV720" s="495">
        <f t="shared" si="1601"/>
        <v>760.72199999999998</v>
      </c>
      <c r="AW720" s="495">
        <f t="shared" si="1601"/>
        <v>761.58900000000006</v>
      </c>
      <c r="AX720" s="495">
        <f t="shared" si="1601"/>
        <v>755.64</v>
      </c>
      <c r="AY720" s="494">
        <f>AT724</f>
        <v>774.13699999999994</v>
      </c>
      <c r="AZ720" s="495">
        <f t="shared" ref="AZ720:BC720" si="1602">AY724</f>
        <v>741.74599999999998</v>
      </c>
      <c r="BA720" s="495">
        <f t="shared" si="1602"/>
        <v>744.75099999999998</v>
      </c>
      <c r="BB720" s="495">
        <f t="shared" si="1602"/>
        <v>745.25099999999998</v>
      </c>
      <c r="BC720" s="495">
        <f t="shared" si="1602"/>
        <v>755.524</v>
      </c>
      <c r="BD720" s="494">
        <f>AY724</f>
        <v>741.74599999999998</v>
      </c>
      <c r="BE720" s="495">
        <f t="shared" ref="BE720:BH720" si="1603">BD724</f>
        <v>746.05100000000004</v>
      </c>
      <c r="BF720" s="495">
        <f t="shared" si="1603"/>
        <v>754.89499999999998</v>
      </c>
      <c r="BG720" s="495">
        <f t="shared" si="1603"/>
        <v>770.31500000000005</v>
      </c>
      <c r="BH720" s="495">
        <f t="shared" si="1603"/>
        <v>777.66899999999998</v>
      </c>
      <c r="BI720" s="496">
        <f>BD724</f>
        <v>746.05100000000004</v>
      </c>
      <c r="BJ720" s="495">
        <f t="shared" ref="BJ720:BM720" si="1604">BI724</f>
        <v>791.09299999999996</v>
      </c>
      <c r="BK720" s="495">
        <f t="shared" si="1604"/>
        <v>810.92134374999989</v>
      </c>
      <c r="BL720" s="495">
        <f t="shared" si="1604"/>
        <v>832.60505175781236</v>
      </c>
      <c r="BM720" s="495">
        <f t="shared" si="1604"/>
        <v>853.61114389038073</v>
      </c>
      <c r="BN720" s="494">
        <f>BI724</f>
        <v>791.09299999999996</v>
      </c>
      <c r="BO720" s="495">
        <f t="shared" ref="BO720:BR720" si="1605">BN724</f>
        <v>873.96079564380636</v>
      </c>
      <c r="BP720" s="495">
        <f t="shared" si="1605"/>
        <v>891.19952077993742</v>
      </c>
      <c r="BQ720" s="495">
        <f t="shared" si="1605"/>
        <v>910.37453575556435</v>
      </c>
      <c r="BR720" s="495">
        <f t="shared" si="1605"/>
        <v>928.95033151320297</v>
      </c>
      <c r="BS720" s="494">
        <f>BN724</f>
        <v>873.96079564380636</v>
      </c>
      <c r="BT720" s="494">
        <f t="shared" ref="BT720:BV720" si="1606">BS724</f>
        <v>946.94563365341537</v>
      </c>
      <c r="BU720" s="494">
        <f t="shared" si="1606"/>
        <v>991.92742944673842</v>
      </c>
      <c r="BV720" s="494">
        <f t="shared" si="1606"/>
        <v>1031.2865007658961</v>
      </c>
      <c r="BW720" s="83"/>
    </row>
    <row r="721" spans="1:75" ht="15.75" customHeight="1" x14ac:dyDescent="0.2">
      <c r="A721" s="85" t="s">
        <v>849</v>
      </c>
      <c r="B721" s="85"/>
      <c r="C721" s="237"/>
      <c r="D721" s="237">
        <f t="shared" ref="D721:G721" si="1607">-D49</f>
        <v>-72.14</v>
      </c>
      <c r="E721" s="237">
        <f t="shared" si="1607"/>
        <v>-71.957999999999998</v>
      </c>
      <c r="F721" s="237">
        <f t="shared" si="1607"/>
        <v>-74.433000000000007</v>
      </c>
      <c r="G721" s="239">
        <f t="shared" si="1607"/>
        <v>-19.23</v>
      </c>
      <c r="H721" s="239">
        <f t="shared" ref="H721:J721" si="1608">-H49+G49</f>
        <v>-19.215</v>
      </c>
      <c r="I721" s="239">
        <f t="shared" si="1608"/>
        <v>-19.661000000000001</v>
      </c>
      <c r="J721" s="239">
        <f t="shared" si="1608"/>
        <v>-20.452000000000005</v>
      </c>
      <c r="K721" s="237">
        <f t="shared" ref="K721:L721" si="1609">-K49</f>
        <v>-78.558000000000007</v>
      </c>
      <c r="L721" s="239">
        <f t="shared" si="1609"/>
        <v>-20.251000000000001</v>
      </c>
      <c r="M721" s="239">
        <f t="shared" ref="M721:O721" si="1610">-M49+L49</f>
        <v>-20.533999999999995</v>
      </c>
      <c r="N721" s="239">
        <f t="shared" si="1610"/>
        <v>-20.930000000000007</v>
      </c>
      <c r="O721" s="239">
        <f t="shared" si="1610"/>
        <v>-21.11999999999999</v>
      </c>
      <c r="P721" s="237">
        <f t="shared" ref="P721:Q721" si="1611">-P49</f>
        <v>-82.834999999999994</v>
      </c>
      <c r="Q721" s="239">
        <f t="shared" si="1611"/>
        <v>-21.177</v>
      </c>
      <c r="R721" s="239">
        <f t="shared" ref="R721:T721" si="1612">-R49+Q49</f>
        <v>-21.158000000000001</v>
      </c>
      <c r="S721" s="239">
        <f t="shared" si="1612"/>
        <v>-21.317</v>
      </c>
      <c r="T721" s="239">
        <f t="shared" si="1612"/>
        <v>-21.911000000000001</v>
      </c>
      <c r="U721" s="237">
        <f t="shared" ref="U721:V721" si="1613">-U49</f>
        <v>-85.563000000000002</v>
      </c>
      <c r="V721" s="239">
        <f t="shared" si="1613"/>
        <v>-21.463999999999999</v>
      </c>
      <c r="W721" s="239">
        <f t="shared" ref="W721:Y721" si="1614">-W49+V49</f>
        <v>-21.460999999999999</v>
      </c>
      <c r="X721" s="239">
        <f t="shared" si="1614"/>
        <v>-21.634</v>
      </c>
      <c r="Y721" s="239">
        <f t="shared" si="1614"/>
        <v>-23.451000000000008</v>
      </c>
      <c r="Z721" s="237">
        <f t="shared" ref="Z721:AA721" si="1615">-Z49</f>
        <v>-88.01</v>
      </c>
      <c r="AA721" s="239">
        <f t="shared" si="1615"/>
        <v>-23.196000000000002</v>
      </c>
      <c r="AB721" s="239">
        <f t="shared" ref="AB721:AD721" si="1616">-AB49+AA49</f>
        <v>-23.297000000000001</v>
      </c>
      <c r="AC721" s="239">
        <f t="shared" si="1616"/>
        <v>-22.999000000000002</v>
      </c>
      <c r="AD721" s="239">
        <f t="shared" si="1616"/>
        <v>-23.236999999999995</v>
      </c>
      <c r="AE721" s="237">
        <f t="shared" ref="AE721:AF721" si="1617">-AE49</f>
        <v>-92.129000000000005</v>
      </c>
      <c r="AF721" s="239">
        <f t="shared" si="1617"/>
        <v>-24.001999999999999</v>
      </c>
      <c r="AG721" s="239">
        <f t="shared" ref="AG721:AI721" si="1618">-AG49+AF49</f>
        <v>-23.727</v>
      </c>
      <c r="AH721" s="239">
        <f t="shared" si="1618"/>
        <v>-24.090000000000003</v>
      </c>
      <c r="AI721" s="239">
        <f t="shared" si="1618"/>
        <v>-24.156999999999996</v>
      </c>
      <c r="AJ721" s="237">
        <f t="shared" ref="AJ721:AK721" si="1619">-AJ49</f>
        <v>-95.376000000000005</v>
      </c>
      <c r="AK721" s="239">
        <f t="shared" si="1619"/>
        <v>-21.361999999999998</v>
      </c>
      <c r="AL721" s="239">
        <f t="shared" ref="AL721:AN721" si="1620">-AL49+AK49</f>
        <v>-21.659000000000002</v>
      </c>
      <c r="AM721" s="239">
        <f t="shared" si="1620"/>
        <v>-21.341999999999999</v>
      </c>
      <c r="AN721" s="239">
        <f t="shared" si="1620"/>
        <v>-23.769999999999996</v>
      </c>
      <c r="AO721" s="237">
        <f t="shared" ref="AO721:AP721" si="1621">-AO49</f>
        <v>-87.832999999999998</v>
      </c>
      <c r="AP721" s="239">
        <f t="shared" si="1621"/>
        <v>-23.562000000000001</v>
      </c>
      <c r="AQ721" s="239">
        <f t="shared" ref="AQ721:AS721" si="1622">-AQ49+AP49</f>
        <v>-22.59</v>
      </c>
      <c r="AR721" s="239">
        <f t="shared" si="1622"/>
        <v>-22.650999999999996</v>
      </c>
      <c r="AS721" s="239">
        <f t="shared" si="1622"/>
        <v>-22.612000000000009</v>
      </c>
      <c r="AT721" s="237">
        <f t="shared" ref="AT721:AU721" si="1623">-AT49</f>
        <v>-90.715000000000003</v>
      </c>
      <c r="AU721" s="239">
        <f t="shared" si="1623"/>
        <v>-21.956</v>
      </c>
      <c r="AV721" s="239">
        <f t="shared" ref="AV721:AX721" si="1624">-AV49+AU49</f>
        <v>-22.072999999999997</v>
      </c>
      <c r="AW721" s="239">
        <f t="shared" si="1624"/>
        <v>-22.176000000000016</v>
      </c>
      <c r="AX721" s="239">
        <f t="shared" si="1624"/>
        <v>-22.34899999999999</v>
      </c>
      <c r="AY721" s="237">
        <f t="shared" ref="AY721:AZ721" si="1625">-AY49</f>
        <v>-88.554000000000002</v>
      </c>
      <c r="AZ721" s="239">
        <f t="shared" si="1625"/>
        <v>-21.004999999999999</v>
      </c>
      <c r="BA721" s="239">
        <f t="shared" ref="BA721:BC721" si="1626">-BA49+AZ49</f>
        <v>-22.108000000000001</v>
      </c>
      <c r="BB721" s="239">
        <f t="shared" si="1626"/>
        <v>-22.150999999999996</v>
      </c>
      <c r="BC721" s="239">
        <f t="shared" si="1626"/>
        <v>-25.116</v>
      </c>
      <c r="BD721" s="237">
        <f t="shared" ref="BD721:BE721" si="1627">-BD49</f>
        <v>-90.38</v>
      </c>
      <c r="BE721" s="239">
        <f t="shared" si="1627"/>
        <v>-22.454999999999998</v>
      </c>
      <c r="BF721" s="239">
        <f t="shared" ref="BF721:BH721" si="1628">-BF49+BE49</f>
        <v>-22.832000000000001</v>
      </c>
      <c r="BG721" s="239">
        <f t="shared" si="1628"/>
        <v>-22.336999999999996</v>
      </c>
      <c r="BH721" s="239">
        <f t="shared" si="1628"/>
        <v>-23.512</v>
      </c>
      <c r="BI721" s="259">
        <f>-BI49</f>
        <v>-91.135999999999996</v>
      </c>
      <c r="BJ721" s="239">
        <f>-BJ720*BJ732*BJ3/BN3</f>
        <v>-24.721656250000002</v>
      </c>
      <c r="BK721" s="239">
        <f>-BK720*BK732*BK3/BN3</f>
        <v>-25.341291992187497</v>
      </c>
      <c r="BL721" s="239">
        <f>-BL720*BL732*BL3/BN3</f>
        <v>-26.018907867431636</v>
      </c>
      <c r="BM721" s="239">
        <f>-BM720*BM732*BM3/BN3</f>
        <v>-26.675348246574394</v>
      </c>
      <c r="BN721" s="237">
        <f t="shared" ref="BN721:BN722" si="1629">IF(OR(ISBLANK(BJ721),ISBLANK(BK721),ISBLANK(BL721),ISBLANK(BM721)),"n/a",SUM(BJ721,BK721,BL721,BM721))</f>
        <v>-102.75720435619354</v>
      </c>
      <c r="BO721" s="239">
        <f>-BO720*BO732*BO3/BS3</f>
        <v>-27.311274863868949</v>
      </c>
      <c r="BP721" s="239">
        <f>-BP720*BP732*BP3/BS3</f>
        <v>-27.849985024373041</v>
      </c>
      <c r="BQ721" s="239">
        <f>-BQ720*BQ732*BQ3/BS3</f>
        <v>-28.449204242361386</v>
      </c>
      <c r="BR721" s="239">
        <f>-BR720*BR732*BR3/BS3</f>
        <v>-29.029697859787596</v>
      </c>
      <c r="BS721" s="237">
        <f t="shared" ref="BS721:BS722" si="1630">IF(OR(ISBLANK(BO721),ISBLANK(BP721),ISBLANK(BQ721),ISBLANK(BR721)),"n/a",SUM(BO721,BP721,BQ721,BR721))</f>
        <v>-112.64016199039096</v>
      </c>
      <c r="BT721" s="237">
        <f t="shared" ref="BT721:BV721" si="1631">-BT720*BT732</f>
        <v>-118.36820420667692</v>
      </c>
      <c r="BU721" s="237">
        <f t="shared" si="1631"/>
        <v>-123.9909286808423</v>
      </c>
      <c r="BV721" s="237">
        <f t="shared" si="1631"/>
        <v>-128.91081259573701</v>
      </c>
      <c r="BW721" s="83"/>
    </row>
    <row r="722" spans="1:75" ht="15.75" customHeight="1" x14ac:dyDescent="0.2">
      <c r="A722" s="85" t="s">
        <v>850</v>
      </c>
      <c r="B722" s="85"/>
      <c r="C722" s="237"/>
      <c r="D722" s="237">
        <f t="shared" ref="D722:BI722" si="1632">D738+D662</f>
        <v>41.847000000000001</v>
      </c>
      <c r="E722" s="237">
        <f t="shared" si="1632"/>
        <v>76.745999999999995</v>
      </c>
      <c r="F722" s="237">
        <f t="shared" si="1632"/>
        <v>86.441999999999993</v>
      </c>
      <c r="G722" s="239">
        <f t="shared" si="1632"/>
        <v>14.581</v>
      </c>
      <c r="H722" s="239">
        <f t="shared" si="1632"/>
        <v>22.936000000000003</v>
      </c>
      <c r="I722" s="239">
        <f t="shared" si="1632"/>
        <v>29.580999999999996</v>
      </c>
      <c r="J722" s="239">
        <f t="shared" si="1632"/>
        <v>39.191000000000003</v>
      </c>
      <c r="K722" s="237">
        <f t="shared" si="1632"/>
        <v>106.289</v>
      </c>
      <c r="L722" s="239">
        <f t="shared" si="1632"/>
        <v>30.1</v>
      </c>
      <c r="M722" s="239">
        <f t="shared" si="1632"/>
        <v>27.71</v>
      </c>
      <c r="N722" s="239">
        <f t="shared" si="1632"/>
        <v>30.063000000000002</v>
      </c>
      <c r="O722" s="239">
        <f t="shared" si="1632"/>
        <v>26.108999999999995</v>
      </c>
      <c r="P722" s="237">
        <f t="shared" si="1632"/>
        <v>113.982</v>
      </c>
      <c r="Q722" s="239">
        <f t="shared" si="1632"/>
        <v>24.151</v>
      </c>
      <c r="R722" s="239">
        <f t="shared" si="1632"/>
        <v>35.322000000000003</v>
      </c>
      <c r="S722" s="239">
        <f t="shared" si="1632"/>
        <v>49.120000000000005</v>
      </c>
      <c r="T722" s="239">
        <f t="shared" si="1632"/>
        <v>45.347999999999999</v>
      </c>
      <c r="U722" s="237">
        <f t="shared" si="1632"/>
        <v>153.941</v>
      </c>
      <c r="V722" s="239">
        <f t="shared" si="1632"/>
        <v>22.440999999999999</v>
      </c>
      <c r="W722" s="239">
        <f t="shared" si="1632"/>
        <v>17.766999999999999</v>
      </c>
      <c r="X722" s="239">
        <f t="shared" si="1632"/>
        <v>30.399000000000001</v>
      </c>
      <c r="Y722" s="239">
        <f t="shared" si="1632"/>
        <v>45.213999999999999</v>
      </c>
      <c r="Z722" s="237">
        <f t="shared" si="1632"/>
        <v>115.821</v>
      </c>
      <c r="AA722" s="239">
        <f t="shared" si="1632"/>
        <v>19.222999999999999</v>
      </c>
      <c r="AB722" s="239">
        <f t="shared" si="1632"/>
        <v>24.475999999999999</v>
      </c>
      <c r="AC722" s="239">
        <f t="shared" si="1632"/>
        <v>29.718000000000004</v>
      </c>
      <c r="AD722" s="239">
        <f t="shared" si="1632"/>
        <v>47.361999999999995</v>
      </c>
      <c r="AE722" s="237">
        <f t="shared" si="1632"/>
        <v>120.779</v>
      </c>
      <c r="AF722" s="239">
        <f t="shared" si="1632"/>
        <v>30.687999999999999</v>
      </c>
      <c r="AG722" s="239">
        <f t="shared" si="1632"/>
        <v>21.181999999999999</v>
      </c>
      <c r="AH722" s="239">
        <f t="shared" si="1632"/>
        <v>26.845999999999997</v>
      </c>
      <c r="AI722" s="239">
        <f t="shared" si="1632"/>
        <v>24.193000000000012</v>
      </c>
      <c r="AJ722" s="237">
        <f t="shared" si="1632"/>
        <v>102.90900000000001</v>
      </c>
      <c r="AK722" s="239">
        <f t="shared" si="1632"/>
        <v>13.351000000000001</v>
      </c>
      <c r="AL722" s="239">
        <f t="shared" si="1632"/>
        <v>16.019999999999996</v>
      </c>
      <c r="AM722" s="239">
        <f t="shared" si="1632"/>
        <v>17.331</v>
      </c>
      <c r="AN722" s="239">
        <f t="shared" si="1632"/>
        <v>27.063000000000002</v>
      </c>
      <c r="AO722" s="237">
        <f t="shared" si="1632"/>
        <v>73.765000000000001</v>
      </c>
      <c r="AP722" s="239">
        <f t="shared" si="1632"/>
        <v>15.775</v>
      </c>
      <c r="AQ722" s="239">
        <f t="shared" si="1632"/>
        <v>13.648999999999999</v>
      </c>
      <c r="AR722" s="239">
        <f t="shared" si="1632"/>
        <v>8.8460000000000036</v>
      </c>
      <c r="AS722" s="239">
        <f t="shared" si="1632"/>
        <v>12.058999999999997</v>
      </c>
      <c r="AT722" s="237">
        <f t="shared" si="1632"/>
        <v>50.329000000000001</v>
      </c>
      <c r="AU722" s="239">
        <f t="shared" si="1632"/>
        <v>7.2270000000000003</v>
      </c>
      <c r="AV722" s="239">
        <f t="shared" si="1632"/>
        <v>23.675000000000001</v>
      </c>
      <c r="AW722" s="239">
        <f t="shared" si="1632"/>
        <v>18.256</v>
      </c>
      <c r="AX722" s="239">
        <f t="shared" si="1632"/>
        <v>17.784999999999997</v>
      </c>
      <c r="AY722" s="237">
        <f t="shared" si="1632"/>
        <v>66.942999999999998</v>
      </c>
      <c r="AZ722" s="239">
        <f t="shared" si="1632"/>
        <v>29.093</v>
      </c>
      <c r="BA722" s="239">
        <f t="shared" si="1632"/>
        <v>17.288999999999998</v>
      </c>
      <c r="BB722" s="239">
        <f t="shared" si="1632"/>
        <v>31.670999999999999</v>
      </c>
      <c r="BC722" s="239">
        <f t="shared" si="1632"/>
        <v>34.411000000000001</v>
      </c>
      <c r="BD722" s="237">
        <f t="shared" si="1632"/>
        <v>112.464</v>
      </c>
      <c r="BE722" s="239">
        <f t="shared" si="1632"/>
        <v>37.962000000000003</v>
      </c>
      <c r="BF722" s="239">
        <f t="shared" si="1632"/>
        <v>24.697999999999993</v>
      </c>
      <c r="BG722" s="239">
        <f t="shared" si="1632"/>
        <v>37.263000000000005</v>
      </c>
      <c r="BH722" s="239">
        <f t="shared" si="1632"/>
        <v>51.641999999999996</v>
      </c>
      <c r="BI722" s="259">
        <f t="shared" si="1632"/>
        <v>151.565</v>
      </c>
      <c r="BJ722" s="239">
        <f t="shared" ref="BJ722:BM722" si="1633">BJ738*(1-BJ739)</f>
        <v>44.55</v>
      </c>
      <c r="BK722" s="239">
        <f t="shared" si="1633"/>
        <v>47.024999999999999</v>
      </c>
      <c r="BL722" s="239">
        <f t="shared" si="1633"/>
        <v>47.024999999999999</v>
      </c>
      <c r="BM722" s="239">
        <f t="shared" si="1633"/>
        <v>47.024999999999999</v>
      </c>
      <c r="BN722" s="237">
        <f t="shared" si="1629"/>
        <v>185.625</v>
      </c>
      <c r="BO722" s="239">
        <f t="shared" ref="BO722:BR722" si="1634">BO738*(1-BO739)</f>
        <v>44.55</v>
      </c>
      <c r="BP722" s="239">
        <f t="shared" si="1634"/>
        <v>47.024999999999999</v>
      </c>
      <c r="BQ722" s="239">
        <f t="shared" si="1634"/>
        <v>47.024999999999999</v>
      </c>
      <c r="BR722" s="239">
        <f t="shared" si="1634"/>
        <v>47.024999999999999</v>
      </c>
      <c r="BS722" s="237">
        <f t="shared" si="1630"/>
        <v>185.625</v>
      </c>
      <c r="BT722" s="237">
        <f t="shared" ref="BT722:BV722" si="1635">BT738*(1-BT739)</f>
        <v>163.35</v>
      </c>
      <c r="BU722" s="237">
        <f t="shared" si="1635"/>
        <v>163.35</v>
      </c>
      <c r="BV722" s="237">
        <f t="shared" si="1635"/>
        <v>163.35</v>
      </c>
      <c r="BW722" s="83"/>
    </row>
    <row r="723" spans="1:75" ht="15.75" customHeight="1" x14ac:dyDescent="0.2">
      <c r="A723" s="85" t="s">
        <v>851</v>
      </c>
      <c r="B723" s="85"/>
      <c r="C723" s="237"/>
      <c r="D723" s="237">
        <f t="shared" ref="D723:BM723" si="1636">ROUND(D724-D720-D721-D722,6)</f>
        <v>-2.641</v>
      </c>
      <c r="E723" s="237">
        <f t="shared" si="1636"/>
        <v>-1.7529999999999999</v>
      </c>
      <c r="F723" s="237">
        <f t="shared" si="1636"/>
        <v>-6.0940000000000003</v>
      </c>
      <c r="G723" s="239">
        <f t="shared" si="1636"/>
        <v>3.1150000000000002</v>
      </c>
      <c r="H723" s="239">
        <f t="shared" si="1636"/>
        <v>-0.98499999999999999</v>
      </c>
      <c r="I723" s="239">
        <f t="shared" si="1636"/>
        <v>8.7789999999999999</v>
      </c>
      <c r="J723" s="239">
        <f t="shared" si="1636"/>
        <v>-7.6790000000000003</v>
      </c>
      <c r="K723" s="237">
        <f t="shared" si="1636"/>
        <v>3.23</v>
      </c>
      <c r="L723" s="239">
        <f t="shared" si="1636"/>
        <v>-1.8939999999999999</v>
      </c>
      <c r="M723" s="239">
        <f t="shared" si="1636"/>
        <v>0.34499999999999997</v>
      </c>
      <c r="N723" s="239">
        <f t="shared" si="1636"/>
        <v>4.4219999999999997</v>
      </c>
      <c r="O723" s="239">
        <f t="shared" si="1636"/>
        <v>-1.0940000000000001</v>
      </c>
      <c r="P723" s="237">
        <f t="shared" si="1636"/>
        <v>1.7789999999999999</v>
      </c>
      <c r="Q723" s="239">
        <f t="shared" si="1636"/>
        <v>-2.3130000000000002</v>
      </c>
      <c r="R723" s="239">
        <f t="shared" si="1636"/>
        <v>8.3469999999999995</v>
      </c>
      <c r="S723" s="239">
        <f t="shared" si="1636"/>
        <v>-4.9400000000000004</v>
      </c>
      <c r="T723" s="239">
        <f t="shared" si="1636"/>
        <v>-5.5860000000000003</v>
      </c>
      <c r="U723" s="237">
        <f t="shared" si="1636"/>
        <v>-4.492</v>
      </c>
      <c r="V723" s="239">
        <f t="shared" si="1636"/>
        <v>-7.2039999999999997</v>
      </c>
      <c r="W723" s="239">
        <f t="shared" si="1636"/>
        <v>6.5789999999999997</v>
      </c>
      <c r="X723" s="239">
        <f t="shared" si="1636"/>
        <v>4.9669999999999996</v>
      </c>
      <c r="Y723" s="239">
        <f t="shared" si="1636"/>
        <v>-14.21</v>
      </c>
      <c r="Z723" s="237">
        <f t="shared" si="1636"/>
        <v>-9.8680000000000003</v>
      </c>
      <c r="AA723" s="239">
        <f t="shared" si="1636"/>
        <v>4.42</v>
      </c>
      <c r="AB723" s="239">
        <f t="shared" si="1636"/>
        <v>1.615</v>
      </c>
      <c r="AC723" s="239">
        <f t="shared" si="1636"/>
        <v>13.39</v>
      </c>
      <c r="AD723" s="239">
        <f t="shared" si="1636"/>
        <v>-22.564</v>
      </c>
      <c r="AE723" s="237">
        <f t="shared" si="1636"/>
        <v>-3.7389999999999999</v>
      </c>
      <c r="AF723" s="239">
        <f t="shared" si="1636"/>
        <v>-6.452</v>
      </c>
      <c r="AG723" s="239">
        <f t="shared" si="1636"/>
        <v>3.7349999999999999</v>
      </c>
      <c r="AH723" s="239">
        <f t="shared" si="1636"/>
        <v>0.85199999999999998</v>
      </c>
      <c r="AI723" s="239">
        <f t="shared" si="1636"/>
        <v>-26.838000000000001</v>
      </c>
      <c r="AJ723" s="237">
        <f t="shared" si="1636"/>
        <v>-29.303000000000001</v>
      </c>
      <c r="AK723" s="239">
        <f t="shared" si="1636"/>
        <v>-141.38</v>
      </c>
      <c r="AL723" s="239">
        <f t="shared" si="1636"/>
        <v>0.251</v>
      </c>
      <c r="AM723" s="239">
        <f t="shared" si="1636"/>
        <v>4.758</v>
      </c>
      <c r="AN723" s="239">
        <f t="shared" si="1636"/>
        <v>69.063000000000002</v>
      </c>
      <c r="AO723" s="237">
        <f t="shared" si="1636"/>
        <v>-67.608000000000004</v>
      </c>
      <c r="AP723" s="239">
        <f t="shared" si="1636"/>
        <v>-5.5289999999999999</v>
      </c>
      <c r="AQ723" s="239">
        <f t="shared" si="1636"/>
        <v>-3.4529999999999998</v>
      </c>
      <c r="AR723" s="239">
        <f t="shared" si="1636"/>
        <v>-2.48</v>
      </c>
      <c r="AS723" s="239">
        <f t="shared" si="1636"/>
        <v>-4.9139999999999997</v>
      </c>
      <c r="AT723" s="237">
        <f t="shared" si="1636"/>
        <v>-17.076000000000001</v>
      </c>
      <c r="AU723" s="239">
        <f t="shared" si="1636"/>
        <v>1.3140000000000001</v>
      </c>
      <c r="AV723" s="239">
        <f t="shared" si="1636"/>
        <v>-0.73499999999999999</v>
      </c>
      <c r="AW723" s="239">
        <f t="shared" si="1636"/>
        <v>-2.0289999999999999</v>
      </c>
      <c r="AX723" s="239">
        <f t="shared" si="1636"/>
        <v>-9.33</v>
      </c>
      <c r="AY723" s="237">
        <f t="shared" si="1636"/>
        <v>-10.78</v>
      </c>
      <c r="AZ723" s="239">
        <f t="shared" si="1636"/>
        <v>-5.0830000000000002</v>
      </c>
      <c r="BA723" s="239">
        <f t="shared" si="1636"/>
        <v>5.319</v>
      </c>
      <c r="BB723" s="239">
        <f t="shared" si="1636"/>
        <v>0.753</v>
      </c>
      <c r="BC723" s="239">
        <f t="shared" si="1636"/>
        <v>-18.768000000000001</v>
      </c>
      <c r="BD723" s="237">
        <f t="shared" si="1636"/>
        <v>-17.779</v>
      </c>
      <c r="BE723" s="239">
        <f t="shared" si="1636"/>
        <v>-6.6630000000000003</v>
      </c>
      <c r="BF723" s="239">
        <f t="shared" si="1636"/>
        <v>13.554</v>
      </c>
      <c r="BG723" s="239">
        <f t="shared" si="1636"/>
        <v>-7.5720000000000001</v>
      </c>
      <c r="BH723" s="239">
        <f t="shared" si="1636"/>
        <v>-14.706</v>
      </c>
      <c r="BI723" s="259">
        <f t="shared" si="1636"/>
        <v>-15.387</v>
      </c>
      <c r="BJ723" s="239">
        <f t="shared" si="1636"/>
        <v>0</v>
      </c>
      <c r="BK723" s="239">
        <f t="shared" si="1636"/>
        <v>0</v>
      </c>
      <c r="BL723" s="239">
        <f t="shared" si="1636"/>
        <v>0</v>
      </c>
      <c r="BM723" s="239">
        <f t="shared" si="1636"/>
        <v>0</v>
      </c>
      <c r="BN723" s="237">
        <f>ROUND(BN724-BN720-IF(ISNUMBER(BN721),BN721,0)-IF(ISNUMBER(BN722),BN722,0),6)</f>
        <v>0</v>
      </c>
      <c r="BO723" s="239">
        <f t="shared" ref="BO723:BR723" si="1637">ROUND(BO724-BO720-BO721-BO722,6)</f>
        <v>0</v>
      </c>
      <c r="BP723" s="239">
        <f t="shared" si="1637"/>
        <v>0</v>
      </c>
      <c r="BQ723" s="239">
        <f t="shared" si="1637"/>
        <v>0</v>
      </c>
      <c r="BR723" s="239">
        <f t="shared" si="1637"/>
        <v>0</v>
      </c>
      <c r="BS723" s="237">
        <f>ROUND(BS724-BS720-IF(ISNUMBER(BS721),BS721,0)-IF(ISNUMBER(BS722),BS722,0),6)</f>
        <v>0</v>
      </c>
      <c r="BT723" s="237">
        <f t="shared" ref="BT723:BV723" si="1638">ROUND(BT724-BT720-BT721-BT722,6)</f>
        <v>0</v>
      </c>
      <c r="BU723" s="237">
        <f t="shared" si="1638"/>
        <v>0</v>
      </c>
      <c r="BV723" s="237">
        <f t="shared" si="1638"/>
        <v>0</v>
      </c>
      <c r="BW723" s="83"/>
    </row>
    <row r="724" spans="1:75" ht="15.75" customHeight="1" x14ac:dyDescent="0.2">
      <c r="A724" s="102" t="s">
        <v>852</v>
      </c>
      <c r="B724" s="102"/>
      <c r="C724" s="264">
        <f t="shared" ref="C724:BV724" si="1639">C754</f>
        <v>788.40200000000004</v>
      </c>
      <c r="D724" s="264">
        <f t="shared" si="1639"/>
        <v>755.46799999999996</v>
      </c>
      <c r="E724" s="264">
        <f t="shared" si="1639"/>
        <v>758.50300000000004</v>
      </c>
      <c r="F724" s="264">
        <f t="shared" si="1639"/>
        <v>764.41800000000001</v>
      </c>
      <c r="G724" s="265">
        <f t="shared" si="1639"/>
        <v>762.88400000000001</v>
      </c>
      <c r="H724" s="265">
        <f t="shared" si="1639"/>
        <v>765.62</v>
      </c>
      <c r="I724" s="265">
        <f t="shared" si="1639"/>
        <v>784.31899999999996</v>
      </c>
      <c r="J724" s="265">
        <f t="shared" si="1639"/>
        <v>795.37900000000002</v>
      </c>
      <c r="K724" s="264">
        <f t="shared" si="1639"/>
        <v>795.37900000000002</v>
      </c>
      <c r="L724" s="265">
        <f t="shared" si="1639"/>
        <v>803.33399999999995</v>
      </c>
      <c r="M724" s="265">
        <f t="shared" si="1639"/>
        <v>810.85500000000002</v>
      </c>
      <c r="N724" s="265">
        <f t="shared" si="1639"/>
        <v>824.41</v>
      </c>
      <c r="O724" s="265">
        <f t="shared" si="1639"/>
        <v>828.30499999999995</v>
      </c>
      <c r="P724" s="264">
        <f t="shared" si="1639"/>
        <v>828.30499999999995</v>
      </c>
      <c r="Q724" s="265">
        <f t="shared" si="1639"/>
        <v>828.96600000000001</v>
      </c>
      <c r="R724" s="265">
        <f t="shared" si="1639"/>
        <v>851.47699999999998</v>
      </c>
      <c r="S724" s="265">
        <f t="shared" si="1639"/>
        <v>874.34</v>
      </c>
      <c r="T724" s="265">
        <f t="shared" si="1639"/>
        <v>892.19100000000003</v>
      </c>
      <c r="U724" s="264">
        <f t="shared" si="1639"/>
        <v>892.19100000000003</v>
      </c>
      <c r="V724" s="265">
        <f t="shared" si="1639"/>
        <v>885.96400000000006</v>
      </c>
      <c r="W724" s="265">
        <f t="shared" si="1639"/>
        <v>888.84900000000005</v>
      </c>
      <c r="X724" s="265">
        <f t="shared" si="1639"/>
        <v>902.58100000000002</v>
      </c>
      <c r="Y724" s="265">
        <f t="shared" si="1639"/>
        <v>910.13400000000001</v>
      </c>
      <c r="Z724" s="264">
        <f t="shared" si="1639"/>
        <v>910.13400000000001</v>
      </c>
      <c r="AA724" s="265">
        <f t="shared" si="1639"/>
        <v>910.58100000000002</v>
      </c>
      <c r="AB724" s="265">
        <f t="shared" si="1639"/>
        <v>913.375</v>
      </c>
      <c r="AC724" s="265">
        <f t="shared" si="1639"/>
        <v>933.48400000000004</v>
      </c>
      <c r="AD724" s="265">
        <f t="shared" si="1639"/>
        <v>935.04499999999996</v>
      </c>
      <c r="AE724" s="264">
        <f t="shared" si="1639"/>
        <v>935.04499999999996</v>
      </c>
      <c r="AF724" s="265">
        <f t="shared" si="1639"/>
        <v>935.279</v>
      </c>
      <c r="AG724" s="265">
        <f t="shared" si="1639"/>
        <v>936.46900000000005</v>
      </c>
      <c r="AH724" s="265">
        <f t="shared" si="1639"/>
        <v>940.077</v>
      </c>
      <c r="AI724" s="265">
        <f t="shared" si="1639"/>
        <v>913.27499999999998</v>
      </c>
      <c r="AJ724" s="264">
        <f t="shared" si="1639"/>
        <v>913.27499999999998</v>
      </c>
      <c r="AK724" s="265">
        <f t="shared" si="1639"/>
        <v>763.88400000000001</v>
      </c>
      <c r="AL724" s="265">
        <f t="shared" si="1639"/>
        <v>758.49599999999998</v>
      </c>
      <c r="AM724" s="265">
        <f t="shared" si="1639"/>
        <v>759.24300000000005</v>
      </c>
      <c r="AN724" s="265">
        <f t="shared" si="1639"/>
        <v>831.59900000000005</v>
      </c>
      <c r="AO724" s="264">
        <f t="shared" si="1639"/>
        <v>831.59900000000005</v>
      </c>
      <c r="AP724" s="265">
        <f t="shared" si="1639"/>
        <v>818.28300000000002</v>
      </c>
      <c r="AQ724" s="265">
        <f t="shared" si="1639"/>
        <v>805.88900000000001</v>
      </c>
      <c r="AR724" s="265">
        <f t="shared" si="1639"/>
        <v>789.60400000000004</v>
      </c>
      <c r="AS724" s="265">
        <f t="shared" si="1639"/>
        <v>774.13699999999994</v>
      </c>
      <c r="AT724" s="264">
        <f t="shared" si="1639"/>
        <v>774.13699999999994</v>
      </c>
      <c r="AU724" s="265">
        <f t="shared" si="1639"/>
        <v>760.72199999999998</v>
      </c>
      <c r="AV724" s="265">
        <f t="shared" si="1639"/>
        <v>761.58900000000006</v>
      </c>
      <c r="AW724" s="265">
        <f t="shared" si="1639"/>
        <v>755.64</v>
      </c>
      <c r="AX724" s="265">
        <f t="shared" si="1639"/>
        <v>741.74599999999998</v>
      </c>
      <c r="AY724" s="264">
        <f t="shared" si="1639"/>
        <v>741.74599999999998</v>
      </c>
      <c r="AZ724" s="265">
        <f t="shared" si="1639"/>
        <v>744.75099999999998</v>
      </c>
      <c r="BA724" s="265">
        <f t="shared" si="1639"/>
        <v>745.25099999999998</v>
      </c>
      <c r="BB724" s="265">
        <f t="shared" si="1639"/>
        <v>755.524</v>
      </c>
      <c r="BC724" s="265">
        <f t="shared" si="1639"/>
        <v>746.05100000000004</v>
      </c>
      <c r="BD724" s="264">
        <f t="shared" si="1639"/>
        <v>746.05100000000004</v>
      </c>
      <c r="BE724" s="265">
        <f t="shared" si="1639"/>
        <v>754.89499999999998</v>
      </c>
      <c r="BF724" s="265">
        <f t="shared" si="1639"/>
        <v>770.31500000000005</v>
      </c>
      <c r="BG724" s="265">
        <f t="shared" si="1639"/>
        <v>777.66899999999998</v>
      </c>
      <c r="BH724" s="265">
        <f t="shared" si="1639"/>
        <v>791.09299999999996</v>
      </c>
      <c r="BI724" s="266">
        <f t="shared" si="1639"/>
        <v>791.09299999999996</v>
      </c>
      <c r="BJ724" s="265">
        <f t="shared" si="1639"/>
        <v>810.92134374999989</v>
      </c>
      <c r="BK724" s="265">
        <f t="shared" si="1639"/>
        <v>832.60505175781236</v>
      </c>
      <c r="BL724" s="265">
        <f t="shared" si="1639"/>
        <v>853.61114389038073</v>
      </c>
      <c r="BM724" s="265">
        <f t="shared" si="1639"/>
        <v>873.96079564380636</v>
      </c>
      <c r="BN724" s="264">
        <f t="shared" si="1639"/>
        <v>873.96079564380636</v>
      </c>
      <c r="BO724" s="265">
        <f t="shared" si="1639"/>
        <v>891.19952077993742</v>
      </c>
      <c r="BP724" s="265">
        <f t="shared" si="1639"/>
        <v>910.37453575556435</v>
      </c>
      <c r="BQ724" s="265">
        <f t="shared" si="1639"/>
        <v>928.95033151320297</v>
      </c>
      <c r="BR724" s="265">
        <f t="shared" si="1639"/>
        <v>946.94563365341537</v>
      </c>
      <c r="BS724" s="264">
        <f t="shared" si="1639"/>
        <v>946.94563365341537</v>
      </c>
      <c r="BT724" s="264">
        <f t="shared" si="1639"/>
        <v>991.92742944673842</v>
      </c>
      <c r="BU724" s="264">
        <f t="shared" si="1639"/>
        <v>1031.2865007658961</v>
      </c>
      <c r="BV724" s="264">
        <f t="shared" si="1639"/>
        <v>1065.7256881701589</v>
      </c>
      <c r="BW724" s="83"/>
    </row>
    <row r="725" spans="1:75" ht="15.75" customHeight="1" x14ac:dyDescent="0.2">
      <c r="A725" s="85"/>
      <c r="B725" s="85"/>
      <c r="C725" s="237"/>
      <c r="D725" s="237"/>
      <c r="E725" s="237"/>
      <c r="F725" s="237"/>
      <c r="G725" s="239"/>
      <c r="H725" s="239"/>
      <c r="I725" s="239"/>
      <c r="J725" s="239"/>
      <c r="K725" s="237"/>
      <c r="L725" s="239"/>
      <c r="M725" s="239"/>
      <c r="N725" s="239"/>
      <c r="O725" s="239"/>
      <c r="P725" s="237"/>
      <c r="Q725" s="239"/>
      <c r="R725" s="239"/>
      <c r="S725" s="239"/>
      <c r="T725" s="239"/>
      <c r="U725" s="237"/>
      <c r="V725" s="239"/>
      <c r="W725" s="239"/>
      <c r="X725" s="239"/>
      <c r="Y725" s="239"/>
      <c r="Z725" s="237"/>
      <c r="AA725" s="239"/>
      <c r="AB725" s="239"/>
      <c r="AC725" s="239"/>
      <c r="AD725" s="239"/>
      <c r="AE725" s="237"/>
      <c r="AF725" s="239"/>
      <c r="AG725" s="239"/>
      <c r="AH725" s="239"/>
      <c r="AI725" s="239"/>
      <c r="AJ725" s="237"/>
      <c r="AK725" s="239"/>
      <c r="AL725" s="239"/>
      <c r="AM725" s="239"/>
      <c r="AN725" s="239"/>
      <c r="AO725" s="237"/>
      <c r="AP725" s="239"/>
      <c r="AQ725" s="239"/>
      <c r="AR725" s="239"/>
      <c r="AS725" s="239"/>
      <c r="AT725" s="237"/>
      <c r="AU725" s="239"/>
      <c r="AV725" s="239"/>
      <c r="AW725" s="239"/>
      <c r="AX725" s="239"/>
      <c r="AY725" s="237"/>
      <c r="AZ725" s="239"/>
      <c r="BA725" s="239"/>
      <c r="BB725" s="239"/>
      <c r="BC725" s="239"/>
      <c r="BD725" s="237"/>
      <c r="BE725" s="239"/>
      <c r="BF725" s="239"/>
      <c r="BG725" s="239"/>
      <c r="BH725" s="239"/>
      <c r="BI725" s="259"/>
      <c r="BJ725" s="239"/>
      <c r="BK725" s="239"/>
      <c r="BL725" s="239"/>
      <c r="BM725" s="239"/>
      <c r="BN725" s="237"/>
      <c r="BO725" s="239"/>
      <c r="BP725" s="239"/>
      <c r="BQ725" s="239"/>
      <c r="BR725" s="239"/>
      <c r="BS725" s="237"/>
      <c r="BT725" s="237"/>
      <c r="BU725" s="237"/>
      <c r="BV725" s="237"/>
      <c r="BW725" s="83"/>
    </row>
    <row r="726" spans="1:75" ht="15.75" customHeight="1" x14ac:dyDescent="0.2">
      <c r="A726" s="108" t="s">
        <v>853</v>
      </c>
      <c r="B726" s="108"/>
      <c r="C726" s="494"/>
      <c r="D726" s="494">
        <f t="shared" ref="D726:J726" si="1640">C730</f>
        <v>4.3380000000000001</v>
      </c>
      <c r="E726" s="494">
        <f t="shared" si="1640"/>
        <v>14.481999999999999</v>
      </c>
      <c r="F726" s="494">
        <f t="shared" si="1640"/>
        <v>14.673999999999999</v>
      </c>
      <c r="G726" s="495">
        <f t="shared" si="1640"/>
        <v>17.829000000000001</v>
      </c>
      <c r="H726" s="495">
        <f t="shared" si="1640"/>
        <v>18.186</v>
      </c>
      <c r="I726" s="495">
        <f t="shared" si="1640"/>
        <v>18.428999999999998</v>
      </c>
      <c r="J726" s="495">
        <f t="shared" si="1640"/>
        <v>18.32</v>
      </c>
      <c r="K726" s="494">
        <f>F730</f>
        <v>17.829000000000001</v>
      </c>
      <c r="L726" s="495">
        <f>K730</f>
        <v>18.646999999999998</v>
      </c>
      <c r="M726" s="495">
        <f t="shared" ref="M726:O726" si="1641">L730</f>
        <v>18.881</v>
      </c>
      <c r="N726" s="495">
        <f t="shared" si="1641"/>
        <v>19.084</v>
      </c>
      <c r="O726" s="495">
        <f t="shared" si="1641"/>
        <v>20.504000000000001</v>
      </c>
      <c r="P726" s="494">
        <f>K730</f>
        <v>18.646999999999998</v>
      </c>
      <c r="Q726" s="495">
        <f t="shared" ref="Q726:T726" si="1642">P730</f>
        <v>20.780999999999999</v>
      </c>
      <c r="R726" s="495">
        <f t="shared" si="1642"/>
        <v>21.215</v>
      </c>
      <c r="S726" s="495">
        <f t="shared" si="1642"/>
        <v>21.504000000000001</v>
      </c>
      <c r="T726" s="495">
        <f t="shared" si="1642"/>
        <v>21.606999999999999</v>
      </c>
      <c r="U726" s="494">
        <f>P730</f>
        <v>20.780999999999999</v>
      </c>
      <c r="V726" s="495">
        <f t="shared" ref="V726:Y726" si="1643">U730</f>
        <v>21.972000000000001</v>
      </c>
      <c r="W726" s="495">
        <f t="shared" si="1643"/>
        <v>22.471</v>
      </c>
      <c r="X726" s="495">
        <f t="shared" si="1643"/>
        <v>22.597000000000001</v>
      </c>
      <c r="Y726" s="495">
        <f t="shared" si="1643"/>
        <v>22.844000000000001</v>
      </c>
      <c r="Z726" s="494">
        <f>U730</f>
        <v>21.972000000000001</v>
      </c>
      <c r="AA726" s="495">
        <f t="shared" ref="AA726:AD726" si="1644">Z730</f>
        <v>23.053999999999998</v>
      </c>
      <c r="AB726" s="495">
        <f t="shared" si="1644"/>
        <v>23.213999999999999</v>
      </c>
      <c r="AC726" s="495">
        <f t="shared" si="1644"/>
        <v>23.391999999999999</v>
      </c>
      <c r="AD726" s="495">
        <f t="shared" si="1644"/>
        <v>23.545999999999999</v>
      </c>
      <c r="AE726" s="494">
        <f>Z730</f>
        <v>23.053999999999998</v>
      </c>
      <c r="AF726" s="495">
        <f t="shared" ref="AF726:AI726" si="1645">AE730</f>
        <v>24.065000000000001</v>
      </c>
      <c r="AG726" s="495">
        <f t="shared" si="1645"/>
        <v>24.233000000000001</v>
      </c>
      <c r="AH726" s="495">
        <f t="shared" si="1645"/>
        <v>24.524000000000001</v>
      </c>
      <c r="AI726" s="495">
        <f t="shared" si="1645"/>
        <v>26.327000000000002</v>
      </c>
      <c r="AJ726" s="494">
        <f>AE730</f>
        <v>24.065000000000001</v>
      </c>
      <c r="AK726" s="495">
        <f t="shared" ref="AK726:AN726" si="1646">AJ730</f>
        <v>26.209</v>
      </c>
      <c r="AL726" s="495">
        <f t="shared" si="1646"/>
        <v>20.094000000000001</v>
      </c>
      <c r="AM726" s="495">
        <f t="shared" si="1646"/>
        <v>20.157</v>
      </c>
      <c r="AN726" s="495">
        <f t="shared" si="1646"/>
        <v>20.271000000000001</v>
      </c>
      <c r="AO726" s="494">
        <f>AJ730</f>
        <v>26.209</v>
      </c>
      <c r="AP726" s="495">
        <f t="shared" ref="AP726:AS726" si="1647">AO730</f>
        <v>437.20699999999999</v>
      </c>
      <c r="AQ726" s="495">
        <f t="shared" si="1647"/>
        <v>254.40100000000001</v>
      </c>
      <c r="AR726" s="495">
        <f t="shared" si="1647"/>
        <v>254.33</v>
      </c>
      <c r="AS726" s="495">
        <f t="shared" si="1647"/>
        <v>253.577</v>
      </c>
      <c r="AT726" s="494">
        <f>AO730</f>
        <v>437.20699999999999</v>
      </c>
      <c r="AU726" s="495">
        <f t="shared" ref="AU726:AX726" si="1648">AT730</f>
        <v>253.16</v>
      </c>
      <c r="AV726" s="495">
        <f t="shared" si="1648"/>
        <v>253.15199999999999</v>
      </c>
      <c r="AW726" s="495">
        <f t="shared" si="1648"/>
        <v>253.143</v>
      </c>
      <c r="AX726" s="495">
        <f t="shared" si="1648"/>
        <v>253.154</v>
      </c>
      <c r="AY726" s="494">
        <f>AT730</f>
        <v>253.16</v>
      </c>
      <c r="AZ726" s="495">
        <f t="shared" ref="AZ726:BC726" si="1649">AY730</f>
        <v>251.70099999999999</v>
      </c>
      <c r="BA726" s="495">
        <f t="shared" si="1649"/>
        <v>251.655</v>
      </c>
      <c r="BB726" s="495">
        <f t="shared" si="1649"/>
        <v>251.61799999999999</v>
      </c>
      <c r="BC726" s="495">
        <f t="shared" si="1649"/>
        <v>251.63900000000001</v>
      </c>
      <c r="BD726" s="494">
        <f>AY730</f>
        <v>251.70099999999999</v>
      </c>
      <c r="BE726" s="495">
        <f t="shared" ref="BE726:BH726" si="1650">BD730</f>
        <v>251.524</v>
      </c>
      <c r="BF726" s="495">
        <f t="shared" si="1650"/>
        <v>251.52600000000001</v>
      </c>
      <c r="BG726" s="495">
        <f t="shared" si="1650"/>
        <v>251.559</v>
      </c>
      <c r="BH726" s="495">
        <f t="shared" si="1650"/>
        <v>251.529</v>
      </c>
      <c r="BI726" s="496">
        <f>BD730</f>
        <v>251.524</v>
      </c>
      <c r="BJ726" s="495">
        <f t="shared" ref="BJ726:BM726" si="1651">BI730</f>
        <v>251.727</v>
      </c>
      <c r="BK726" s="495">
        <f t="shared" si="1651"/>
        <v>251.54768249999998</v>
      </c>
      <c r="BL726" s="495">
        <f t="shared" si="1651"/>
        <v>251.39381329374999</v>
      </c>
      <c r="BM726" s="495">
        <f t="shared" si="1651"/>
        <v>251.24032876051561</v>
      </c>
      <c r="BN726" s="494">
        <f>BI730</f>
        <v>251.727</v>
      </c>
      <c r="BO726" s="495">
        <f t="shared" ref="BO726:BR726" si="1652">BN730</f>
        <v>251.08722793861432</v>
      </c>
      <c r="BP726" s="495">
        <f t="shared" si="1652"/>
        <v>250.90950986876777</v>
      </c>
      <c r="BQ726" s="495">
        <f t="shared" si="1652"/>
        <v>250.75723609409584</v>
      </c>
      <c r="BR726" s="495">
        <f t="shared" si="1652"/>
        <v>250.60534300386061</v>
      </c>
      <c r="BS726" s="494">
        <f>BN730</f>
        <v>251.08722793861432</v>
      </c>
      <c r="BT726" s="494">
        <f t="shared" ref="BT726:BV726" si="1653">BS730</f>
        <v>250.45382964635095</v>
      </c>
      <c r="BU726" s="494">
        <f t="shared" si="1653"/>
        <v>249.59929134988744</v>
      </c>
      <c r="BV726" s="494">
        <f t="shared" si="1653"/>
        <v>248.75329843638858</v>
      </c>
      <c r="BW726" s="83"/>
    </row>
    <row r="727" spans="1:75" ht="15.75" customHeight="1" x14ac:dyDescent="0.2">
      <c r="A727" s="85" t="s">
        <v>854</v>
      </c>
      <c r="B727" s="85"/>
      <c r="C727" s="237"/>
      <c r="D727" s="237"/>
      <c r="E727" s="237"/>
      <c r="F727" s="237"/>
      <c r="G727" s="239"/>
      <c r="H727" s="239"/>
      <c r="I727" s="239"/>
      <c r="J727" s="239"/>
      <c r="K727" s="237"/>
      <c r="L727" s="239"/>
      <c r="M727" s="239"/>
      <c r="N727" s="239"/>
      <c r="O727" s="239"/>
      <c r="P727" s="237"/>
      <c r="Q727" s="239"/>
      <c r="R727" s="239"/>
      <c r="S727" s="239"/>
      <c r="T727" s="239"/>
      <c r="U727" s="237"/>
      <c r="V727" s="239"/>
      <c r="W727" s="239"/>
      <c r="X727" s="239"/>
      <c r="Y727" s="239"/>
      <c r="Z727" s="237"/>
      <c r="AA727" s="239"/>
      <c r="AB727" s="239"/>
      <c r="AC727" s="239"/>
      <c r="AD727" s="239"/>
      <c r="AE727" s="237"/>
      <c r="AF727" s="239"/>
      <c r="AG727" s="239"/>
      <c r="AH727" s="239"/>
      <c r="AI727" s="239"/>
      <c r="AJ727" s="237"/>
      <c r="AK727" s="239"/>
      <c r="AL727" s="239"/>
      <c r="AM727" s="239"/>
      <c r="AN727" s="239"/>
      <c r="AO727" s="237"/>
      <c r="AP727" s="239"/>
      <c r="AQ727" s="239"/>
      <c r="AR727" s="239"/>
      <c r="AS727" s="239"/>
      <c r="AT727" s="237">
        <f t="shared" ref="AT727:AU727" si="1654">-AT50</f>
        <v>-0.7</v>
      </c>
      <c r="AU727" s="239">
        <f t="shared" si="1654"/>
        <v>-0.05</v>
      </c>
      <c r="AV727" s="239">
        <f t="shared" ref="AV727:AX727" si="1655">-AV50+AU50</f>
        <v>-0.15000000000000002</v>
      </c>
      <c r="AW727" s="239">
        <f t="shared" si="1655"/>
        <v>-0.39999999999999997</v>
      </c>
      <c r="AX727" s="239">
        <f t="shared" si="1655"/>
        <v>-0.50000000000000011</v>
      </c>
      <c r="AY727" s="237">
        <f t="shared" ref="AY727:AZ727" si="1656">-AY50</f>
        <v>-1.1000000000000001</v>
      </c>
      <c r="AZ727" s="239">
        <f t="shared" si="1656"/>
        <v>-0.5</v>
      </c>
      <c r="BA727" s="239">
        <f t="shared" ref="BA727:BC727" si="1657">-BA50+AZ50</f>
        <v>-0.5</v>
      </c>
      <c r="BB727" s="239">
        <f t="shared" si="1657"/>
        <v>-0.5</v>
      </c>
      <c r="BC727" s="239">
        <f t="shared" si="1657"/>
        <v>-0.5</v>
      </c>
      <c r="BD727" s="237">
        <f t="shared" ref="BD727:BE727" si="1658">-BD50</f>
        <v>-2</v>
      </c>
      <c r="BE727" s="239">
        <f t="shared" si="1658"/>
        <v>-0.5</v>
      </c>
      <c r="BF727" s="239">
        <f t="shared" ref="BF727:BH727" si="1659">-BF50+BE50</f>
        <v>-0.5</v>
      </c>
      <c r="BG727" s="239">
        <f t="shared" si="1659"/>
        <v>-0.5</v>
      </c>
      <c r="BH727" s="239">
        <f t="shared" si="1659"/>
        <v>-0.5</v>
      </c>
      <c r="BI727" s="259">
        <f>-BI50</f>
        <v>-2</v>
      </c>
      <c r="BJ727" s="239">
        <f>-BJ726*BJ733*BJ3/BN3</f>
        <v>-0.62931749999999997</v>
      </c>
      <c r="BK727" s="239">
        <f>-BK726*BK733*BK3/BN3</f>
        <v>-0.62886920624999998</v>
      </c>
      <c r="BL727" s="239">
        <f>-BL726*BL733*BL3/BN3</f>
        <v>-0.62848453323437503</v>
      </c>
      <c r="BM727" s="239">
        <f>-BM726*BM733*BM3/BN3</f>
        <v>-0.62810082190128902</v>
      </c>
      <c r="BN727" s="237">
        <f t="shared" ref="BN727:BN728" si="1660">IF(OR(ISBLANK(BJ727),ISBLANK(BK727),ISBLANK(BL727),ISBLANK(BM727)),"n/a",SUM(BJ727,BK727,BL727,BM727))</f>
        <v>-2.5147720613856643</v>
      </c>
      <c r="BO727" s="239">
        <f>-BO726*BO733*BO3/BS3</f>
        <v>-0.62771806984653578</v>
      </c>
      <c r="BP727" s="239">
        <f>-BP726*BP733*BP3/BS3</f>
        <v>-0.62727377467191947</v>
      </c>
      <c r="BQ727" s="239">
        <f>-BQ726*BQ733*BQ3/BS3</f>
        <v>-0.62689309023523965</v>
      </c>
      <c r="BR727" s="239">
        <f>-BR726*BR733*BR3/BS3</f>
        <v>-0.62651335750965154</v>
      </c>
      <c r="BS727" s="237">
        <f t="shared" ref="BS727:BS728" si="1661">IF(OR(ISBLANK(BO727),ISBLANK(BP727),ISBLANK(BQ727),ISBLANK(BR727)),"n/a",SUM(BO727,BP727,BQ727,BR727))</f>
        <v>-2.5083982922633465</v>
      </c>
      <c r="BT727" s="237">
        <f t="shared" ref="BT727:BV727" si="1662">-BT726*BT733</f>
        <v>-2.5045382964635095</v>
      </c>
      <c r="BU727" s="237">
        <f t="shared" si="1662"/>
        <v>-2.4959929134988745</v>
      </c>
      <c r="BV727" s="237">
        <f t="shared" si="1662"/>
        <v>-2.4875329843638858</v>
      </c>
      <c r="BW727" s="83"/>
    </row>
    <row r="728" spans="1:75" ht="15.75" customHeight="1" x14ac:dyDescent="0.2">
      <c r="A728" s="85" t="s">
        <v>855</v>
      </c>
      <c r="B728" s="85"/>
      <c r="C728" s="237"/>
      <c r="D728" s="237">
        <f t="shared" ref="D728:BI728" si="1663">-D662</f>
        <v>1.821</v>
      </c>
      <c r="E728" s="237">
        <f t="shared" si="1663"/>
        <v>0.87</v>
      </c>
      <c r="F728" s="237">
        <f t="shared" si="1663"/>
        <v>1.712</v>
      </c>
      <c r="G728" s="239">
        <f t="shared" si="1663"/>
        <v>0.439</v>
      </c>
      <c r="H728" s="239">
        <f t="shared" si="1663"/>
        <v>0.37200000000000005</v>
      </c>
      <c r="I728" s="239">
        <f t="shared" si="1663"/>
        <v>0.41400000000000003</v>
      </c>
      <c r="J728" s="239">
        <f t="shared" si="1663"/>
        <v>0.42899999999999983</v>
      </c>
      <c r="K728" s="237">
        <f t="shared" si="1663"/>
        <v>1.6539999999999999</v>
      </c>
      <c r="L728" s="239">
        <f t="shared" si="1663"/>
        <v>0.33900000000000002</v>
      </c>
      <c r="M728" s="239">
        <f t="shared" si="1663"/>
        <v>0.307</v>
      </c>
      <c r="N728" s="239">
        <f t="shared" si="1663"/>
        <v>0.82300000000000006</v>
      </c>
      <c r="O728" s="239">
        <f t="shared" si="1663"/>
        <v>0.40999999999999992</v>
      </c>
      <c r="P728" s="237">
        <f t="shared" si="1663"/>
        <v>1.879</v>
      </c>
      <c r="Q728" s="239">
        <f t="shared" si="1663"/>
        <v>0.54700000000000004</v>
      </c>
      <c r="R728" s="239">
        <f t="shared" si="1663"/>
        <v>0.40099999999999991</v>
      </c>
      <c r="S728" s="239">
        <f t="shared" si="1663"/>
        <v>0.32800000000000007</v>
      </c>
      <c r="T728" s="239">
        <f t="shared" si="1663"/>
        <v>0.48399999999999999</v>
      </c>
      <c r="U728" s="237">
        <f t="shared" si="1663"/>
        <v>1.76</v>
      </c>
      <c r="V728" s="239">
        <f t="shared" si="1663"/>
        <v>0.62</v>
      </c>
      <c r="W728" s="239">
        <f t="shared" si="1663"/>
        <v>0.30400000000000005</v>
      </c>
      <c r="X728" s="239">
        <f t="shared" si="1663"/>
        <v>0.37</v>
      </c>
      <c r="Y728" s="239">
        <f t="shared" si="1663"/>
        <v>0.34600000000000009</v>
      </c>
      <c r="Z728" s="237">
        <f t="shared" si="1663"/>
        <v>1.6400000000000001</v>
      </c>
      <c r="AA728" s="239">
        <f t="shared" si="1663"/>
        <v>0.30199999999999999</v>
      </c>
      <c r="AB728" s="239">
        <f t="shared" si="1663"/>
        <v>0.317</v>
      </c>
      <c r="AC728" s="239">
        <f t="shared" si="1663"/>
        <v>0.28400000000000003</v>
      </c>
      <c r="AD728" s="239">
        <f t="shared" si="1663"/>
        <v>0.75099999999999989</v>
      </c>
      <c r="AE728" s="237">
        <f t="shared" si="1663"/>
        <v>1.6539999999999999</v>
      </c>
      <c r="AF728" s="239">
        <f t="shared" si="1663"/>
        <v>0.307</v>
      </c>
      <c r="AG728" s="239">
        <f t="shared" si="1663"/>
        <v>0.42799999999999999</v>
      </c>
      <c r="AH728" s="239">
        <f t="shared" si="1663"/>
        <v>1.9420000000000002</v>
      </c>
      <c r="AI728" s="239">
        <f t="shared" si="1663"/>
        <v>0.34299999999999997</v>
      </c>
      <c r="AJ728" s="237">
        <f t="shared" si="1663"/>
        <v>3.02</v>
      </c>
      <c r="AK728" s="239">
        <f t="shared" si="1663"/>
        <v>9.6000000000000002E-2</v>
      </c>
      <c r="AL728" s="239">
        <f t="shared" si="1663"/>
        <v>0.10200000000000001</v>
      </c>
      <c r="AM728" s="239">
        <f t="shared" si="1663"/>
        <v>0.15499999999999997</v>
      </c>
      <c r="AN728" s="239">
        <f t="shared" si="1663"/>
        <v>1.7470000000000001</v>
      </c>
      <c r="AO728" s="237">
        <f t="shared" si="1663"/>
        <v>2.1</v>
      </c>
      <c r="AP728" s="239">
        <f t="shared" si="1663"/>
        <v>0.128</v>
      </c>
      <c r="AQ728" s="239">
        <f t="shared" si="1663"/>
        <v>9.9000000000000005E-2</v>
      </c>
      <c r="AR728" s="239">
        <f t="shared" si="1663"/>
        <v>0.13799999999999998</v>
      </c>
      <c r="AS728" s="239">
        <f t="shared" si="1663"/>
        <v>0.21999999999999997</v>
      </c>
      <c r="AT728" s="237">
        <f t="shared" si="1663"/>
        <v>0.58499999999999996</v>
      </c>
      <c r="AU728" s="239">
        <f t="shared" si="1663"/>
        <v>0.48</v>
      </c>
      <c r="AV728" s="239">
        <f t="shared" si="1663"/>
        <v>-0.16799999999999998</v>
      </c>
      <c r="AW728" s="239">
        <f t="shared" si="1663"/>
        <v>0.16999999999999998</v>
      </c>
      <c r="AX728" s="239">
        <f t="shared" si="1663"/>
        <v>0.124</v>
      </c>
      <c r="AY728" s="237">
        <f t="shared" si="1663"/>
        <v>0.60599999999999998</v>
      </c>
      <c r="AZ728" s="239">
        <f t="shared" si="1663"/>
        <v>0.13900000000000001</v>
      </c>
      <c r="BA728" s="239">
        <f t="shared" si="1663"/>
        <v>0.14299999999999996</v>
      </c>
      <c r="BB728" s="239">
        <f t="shared" si="1663"/>
        <v>0.20700000000000002</v>
      </c>
      <c r="BC728" s="239">
        <f t="shared" si="1663"/>
        <v>0.19100000000000006</v>
      </c>
      <c r="BD728" s="237">
        <f t="shared" si="1663"/>
        <v>0.68</v>
      </c>
      <c r="BE728" s="239">
        <f t="shared" si="1663"/>
        <v>0.182</v>
      </c>
      <c r="BF728" s="239">
        <f t="shared" si="1663"/>
        <v>0.21000000000000002</v>
      </c>
      <c r="BG728" s="239">
        <f t="shared" si="1663"/>
        <v>0.17499999999999993</v>
      </c>
      <c r="BH728" s="239">
        <f t="shared" si="1663"/>
        <v>1.091</v>
      </c>
      <c r="BI728" s="259">
        <f t="shared" si="1663"/>
        <v>1.6579999999999999</v>
      </c>
      <c r="BJ728" s="239">
        <f t="shared" ref="BJ728:BM728" si="1664">BJ738*BJ739</f>
        <v>0.45</v>
      </c>
      <c r="BK728" s="239">
        <f t="shared" si="1664"/>
        <v>0.47500000000000003</v>
      </c>
      <c r="BL728" s="239">
        <f t="shared" si="1664"/>
        <v>0.47500000000000003</v>
      </c>
      <c r="BM728" s="239">
        <f t="shared" si="1664"/>
        <v>0.47500000000000003</v>
      </c>
      <c r="BN728" s="237">
        <f t="shared" si="1660"/>
        <v>1.8750000000000002</v>
      </c>
      <c r="BO728" s="239">
        <f t="shared" ref="BO728:BR728" si="1665">BO738*BO739</f>
        <v>0.45</v>
      </c>
      <c r="BP728" s="239">
        <f t="shared" si="1665"/>
        <v>0.47500000000000003</v>
      </c>
      <c r="BQ728" s="239">
        <f t="shared" si="1665"/>
        <v>0.47500000000000003</v>
      </c>
      <c r="BR728" s="239">
        <f t="shared" si="1665"/>
        <v>0.47500000000000003</v>
      </c>
      <c r="BS728" s="237">
        <f t="shared" si="1661"/>
        <v>1.8750000000000002</v>
      </c>
      <c r="BT728" s="237">
        <f t="shared" ref="BT728:BV728" si="1666">BT738*BT739</f>
        <v>1.6500000000000001</v>
      </c>
      <c r="BU728" s="237">
        <f t="shared" si="1666"/>
        <v>1.6500000000000001</v>
      </c>
      <c r="BV728" s="237">
        <f t="shared" si="1666"/>
        <v>1.6500000000000001</v>
      </c>
      <c r="BW728" s="83"/>
    </row>
    <row r="729" spans="1:75" ht="15.75" customHeight="1" x14ac:dyDescent="0.2">
      <c r="A729" s="85" t="s">
        <v>856</v>
      </c>
      <c r="B729" s="85"/>
      <c r="C729" s="237"/>
      <c r="D729" s="237">
        <f t="shared" ref="D729:BM729" si="1667">ROUND(D730-D726-D727-D728,6)</f>
        <v>8.3230000000000004</v>
      </c>
      <c r="E729" s="237">
        <f t="shared" si="1667"/>
        <v>-0.67800000000000005</v>
      </c>
      <c r="F729" s="237">
        <f t="shared" si="1667"/>
        <v>1.4430000000000001</v>
      </c>
      <c r="G729" s="239">
        <f t="shared" si="1667"/>
        <v>-8.2000000000000003E-2</v>
      </c>
      <c r="H729" s="239">
        <f t="shared" si="1667"/>
        <v>-0.129</v>
      </c>
      <c r="I729" s="239">
        <f t="shared" si="1667"/>
        <v>-0.52300000000000002</v>
      </c>
      <c r="J729" s="239">
        <f t="shared" si="1667"/>
        <v>-0.10199999999999999</v>
      </c>
      <c r="K729" s="237">
        <f t="shared" si="1667"/>
        <v>-0.83599999999999997</v>
      </c>
      <c r="L729" s="239">
        <f t="shared" si="1667"/>
        <v>-0.105</v>
      </c>
      <c r="M729" s="239">
        <f t="shared" si="1667"/>
        <v>-0.104</v>
      </c>
      <c r="N729" s="239">
        <f t="shared" si="1667"/>
        <v>0.59699999999999998</v>
      </c>
      <c r="O729" s="239">
        <f t="shared" si="1667"/>
        <v>-0.13300000000000001</v>
      </c>
      <c r="P729" s="237">
        <f t="shared" si="1667"/>
        <v>0.255</v>
      </c>
      <c r="Q729" s="239">
        <f t="shared" si="1667"/>
        <v>-0.113</v>
      </c>
      <c r="R729" s="239">
        <f t="shared" si="1667"/>
        <v>-0.112</v>
      </c>
      <c r="S729" s="239">
        <f t="shared" si="1667"/>
        <v>-0.22500000000000001</v>
      </c>
      <c r="T729" s="239">
        <f t="shared" si="1667"/>
        <v>-0.11899999999999999</v>
      </c>
      <c r="U729" s="237">
        <f t="shared" si="1667"/>
        <v>-0.56899999999999995</v>
      </c>
      <c r="V729" s="239">
        <f t="shared" si="1667"/>
        <v>-0.121</v>
      </c>
      <c r="W729" s="239">
        <f t="shared" si="1667"/>
        <v>-0.17799999999999999</v>
      </c>
      <c r="X729" s="239">
        <f t="shared" si="1667"/>
        <v>-0.123</v>
      </c>
      <c r="Y729" s="239">
        <f t="shared" si="1667"/>
        <v>-0.13600000000000001</v>
      </c>
      <c r="Z729" s="237">
        <f t="shared" si="1667"/>
        <v>-0.55800000000000005</v>
      </c>
      <c r="AA729" s="239">
        <f t="shared" si="1667"/>
        <v>-0.14199999999999999</v>
      </c>
      <c r="AB729" s="239">
        <f t="shared" si="1667"/>
        <v>-0.13900000000000001</v>
      </c>
      <c r="AC729" s="239">
        <f t="shared" si="1667"/>
        <v>-0.13</v>
      </c>
      <c r="AD729" s="239">
        <f t="shared" si="1667"/>
        <v>-0.23200000000000001</v>
      </c>
      <c r="AE729" s="237">
        <f t="shared" si="1667"/>
        <v>-0.64300000000000002</v>
      </c>
      <c r="AF729" s="239">
        <f t="shared" si="1667"/>
        <v>-0.13900000000000001</v>
      </c>
      <c r="AG729" s="239">
        <f t="shared" si="1667"/>
        <v>-0.13700000000000001</v>
      </c>
      <c r="AH729" s="239">
        <f t="shared" si="1667"/>
        <v>-0.13900000000000001</v>
      </c>
      <c r="AI729" s="239">
        <f t="shared" si="1667"/>
        <v>-0.46100000000000002</v>
      </c>
      <c r="AJ729" s="237">
        <f t="shared" si="1667"/>
        <v>-0.876</v>
      </c>
      <c r="AK729" s="239">
        <f t="shared" si="1667"/>
        <v>-6.2110000000000003</v>
      </c>
      <c r="AL729" s="239">
        <f t="shared" si="1667"/>
        <v>-3.9E-2</v>
      </c>
      <c r="AM729" s="239">
        <f t="shared" si="1667"/>
        <v>-4.1000000000000002E-2</v>
      </c>
      <c r="AN729" s="239">
        <f t="shared" si="1667"/>
        <v>415.18900000000002</v>
      </c>
      <c r="AO729" s="237">
        <f t="shared" si="1667"/>
        <v>408.89800000000002</v>
      </c>
      <c r="AP729" s="239">
        <f t="shared" si="1667"/>
        <v>-182.934</v>
      </c>
      <c r="AQ729" s="239">
        <f t="shared" si="1667"/>
        <v>-0.17</v>
      </c>
      <c r="AR729" s="239">
        <f t="shared" si="1667"/>
        <v>-0.89100000000000001</v>
      </c>
      <c r="AS729" s="239">
        <f t="shared" si="1667"/>
        <v>-0.63700000000000001</v>
      </c>
      <c r="AT729" s="237">
        <f t="shared" si="1667"/>
        <v>-183.93199999999999</v>
      </c>
      <c r="AU729" s="239">
        <f t="shared" si="1667"/>
        <v>-0.438</v>
      </c>
      <c r="AV729" s="239">
        <f t="shared" si="1667"/>
        <v>0.309</v>
      </c>
      <c r="AW729" s="239">
        <f t="shared" si="1667"/>
        <v>0.24099999999999999</v>
      </c>
      <c r="AX729" s="239">
        <f t="shared" si="1667"/>
        <v>-1.077</v>
      </c>
      <c r="AY729" s="237">
        <f t="shared" si="1667"/>
        <v>-0.96499999999999997</v>
      </c>
      <c r="AZ729" s="239">
        <f t="shared" si="1667"/>
        <v>0.315</v>
      </c>
      <c r="BA729" s="239">
        <f t="shared" si="1667"/>
        <v>0.32</v>
      </c>
      <c r="BB729" s="239">
        <f t="shared" si="1667"/>
        <v>0.314</v>
      </c>
      <c r="BC729" s="239">
        <f t="shared" si="1667"/>
        <v>0.19400000000000001</v>
      </c>
      <c r="BD729" s="237">
        <f t="shared" si="1667"/>
        <v>1.143</v>
      </c>
      <c r="BE729" s="239">
        <f t="shared" si="1667"/>
        <v>0.32</v>
      </c>
      <c r="BF729" s="239">
        <f t="shared" si="1667"/>
        <v>0.32300000000000001</v>
      </c>
      <c r="BG729" s="239">
        <f t="shared" si="1667"/>
        <v>0.29499999999999998</v>
      </c>
      <c r="BH729" s="239">
        <f t="shared" si="1667"/>
        <v>-0.39300000000000002</v>
      </c>
      <c r="BI729" s="259">
        <f t="shared" si="1667"/>
        <v>0.54500000000000004</v>
      </c>
      <c r="BJ729" s="239">
        <f t="shared" si="1667"/>
        <v>0</v>
      </c>
      <c r="BK729" s="239">
        <f t="shared" si="1667"/>
        <v>0</v>
      </c>
      <c r="BL729" s="239">
        <f t="shared" si="1667"/>
        <v>0</v>
      </c>
      <c r="BM729" s="239">
        <f t="shared" si="1667"/>
        <v>0</v>
      </c>
      <c r="BN729" s="237">
        <f>ROUND(BN730-BN726-IF(ISNUMBER(BN727),BN727,0)-IF(ISNUMBER(BN728),BN728,0),6)</f>
        <v>0</v>
      </c>
      <c r="BO729" s="239">
        <f t="shared" ref="BO729:BR729" si="1668">ROUND(BO730-BO726-BO727-BO728,6)</f>
        <v>0</v>
      </c>
      <c r="BP729" s="239">
        <f t="shared" si="1668"/>
        <v>0</v>
      </c>
      <c r="BQ729" s="239">
        <f t="shared" si="1668"/>
        <v>0</v>
      </c>
      <c r="BR729" s="239">
        <f t="shared" si="1668"/>
        <v>0</v>
      </c>
      <c r="BS729" s="237">
        <f>ROUND(BS730-BS726-IF(ISNUMBER(BS727),BS727,0)-IF(ISNUMBER(BS728),BS728,0),6)</f>
        <v>0</v>
      </c>
      <c r="BT729" s="237">
        <f t="shared" ref="BT729:BV729" si="1669">ROUND(BT730-BT726-BT727-BT728,6)</f>
        <v>0</v>
      </c>
      <c r="BU729" s="237">
        <f t="shared" si="1669"/>
        <v>0</v>
      </c>
      <c r="BV729" s="237">
        <f t="shared" si="1669"/>
        <v>0</v>
      </c>
      <c r="BW729" s="83"/>
    </row>
    <row r="730" spans="1:75" ht="15.75" customHeight="1" x14ac:dyDescent="0.2">
      <c r="A730" s="102" t="s">
        <v>857</v>
      </c>
      <c r="B730" s="102"/>
      <c r="C730" s="264">
        <f t="shared" ref="C730:BV730" si="1670">C755</f>
        <v>4.3380000000000001</v>
      </c>
      <c r="D730" s="264">
        <f t="shared" si="1670"/>
        <v>14.481999999999999</v>
      </c>
      <c r="E730" s="264">
        <f t="shared" si="1670"/>
        <v>14.673999999999999</v>
      </c>
      <c r="F730" s="264">
        <f t="shared" si="1670"/>
        <v>17.829000000000001</v>
      </c>
      <c r="G730" s="265">
        <f t="shared" si="1670"/>
        <v>18.186</v>
      </c>
      <c r="H730" s="265">
        <f t="shared" si="1670"/>
        <v>18.428999999999998</v>
      </c>
      <c r="I730" s="265">
        <f t="shared" si="1670"/>
        <v>18.32</v>
      </c>
      <c r="J730" s="265">
        <f t="shared" si="1670"/>
        <v>18.646999999999998</v>
      </c>
      <c r="K730" s="264">
        <f t="shared" si="1670"/>
        <v>18.646999999999998</v>
      </c>
      <c r="L730" s="265">
        <f t="shared" si="1670"/>
        <v>18.881</v>
      </c>
      <c r="M730" s="265">
        <f t="shared" si="1670"/>
        <v>19.084</v>
      </c>
      <c r="N730" s="265">
        <f t="shared" si="1670"/>
        <v>20.504000000000001</v>
      </c>
      <c r="O730" s="265">
        <f t="shared" si="1670"/>
        <v>20.780999999999999</v>
      </c>
      <c r="P730" s="264">
        <f t="shared" si="1670"/>
        <v>20.780999999999999</v>
      </c>
      <c r="Q730" s="265">
        <f t="shared" si="1670"/>
        <v>21.215</v>
      </c>
      <c r="R730" s="265">
        <f t="shared" si="1670"/>
        <v>21.504000000000001</v>
      </c>
      <c r="S730" s="265">
        <f t="shared" si="1670"/>
        <v>21.606999999999999</v>
      </c>
      <c r="T730" s="265">
        <f t="shared" si="1670"/>
        <v>21.972000000000001</v>
      </c>
      <c r="U730" s="264">
        <f t="shared" si="1670"/>
        <v>21.972000000000001</v>
      </c>
      <c r="V730" s="265">
        <f t="shared" si="1670"/>
        <v>22.471</v>
      </c>
      <c r="W730" s="265">
        <f t="shared" si="1670"/>
        <v>22.597000000000001</v>
      </c>
      <c r="X730" s="265">
        <f t="shared" si="1670"/>
        <v>22.844000000000001</v>
      </c>
      <c r="Y730" s="265">
        <f t="shared" si="1670"/>
        <v>23.053999999999998</v>
      </c>
      <c r="Z730" s="264">
        <f t="shared" si="1670"/>
        <v>23.053999999999998</v>
      </c>
      <c r="AA730" s="265">
        <f t="shared" si="1670"/>
        <v>23.213999999999999</v>
      </c>
      <c r="AB730" s="265">
        <f t="shared" si="1670"/>
        <v>23.391999999999999</v>
      </c>
      <c r="AC730" s="265">
        <f t="shared" si="1670"/>
        <v>23.545999999999999</v>
      </c>
      <c r="AD730" s="265">
        <f t="shared" si="1670"/>
        <v>24.065000000000001</v>
      </c>
      <c r="AE730" s="264">
        <f t="shared" si="1670"/>
        <v>24.065000000000001</v>
      </c>
      <c r="AF730" s="265">
        <f t="shared" si="1670"/>
        <v>24.233000000000001</v>
      </c>
      <c r="AG730" s="265">
        <f t="shared" si="1670"/>
        <v>24.524000000000001</v>
      </c>
      <c r="AH730" s="265">
        <f t="shared" si="1670"/>
        <v>26.327000000000002</v>
      </c>
      <c r="AI730" s="265">
        <f t="shared" si="1670"/>
        <v>26.209</v>
      </c>
      <c r="AJ730" s="264">
        <f t="shared" si="1670"/>
        <v>26.209</v>
      </c>
      <c r="AK730" s="265">
        <f t="shared" si="1670"/>
        <v>20.094000000000001</v>
      </c>
      <c r="AL730" s="265">
        <f t="shared" si="1670"/>
        <v>20.157</v>
      </c>
      <c r="AM730" s="265">
        <f t="shared" si="1670"/>
        <v>20.271000000000001</v>
      </c>
      <c r="AN730" s="265">
        <f t="shared" si="1670"/>
        <v>437.20699999999999</v>
      </c>
      <c r="AO730" s="264">
        <f t="shared" si="1670"/>
        <v>437.20699999999999</v>
      </c>
      <c r="AP730" s="265">
        <f t="shared" si="1670"/>
        <v>254.40100000000001</v>
      </c>
      <c r="AQ730" s="265">
        <f t="shared" si="1670"/>
        <v>254.33</v>
      </c>
      <c r="AR730" s="265">
        <f t="shared" si="1670"/>
        <v>253.577</v>
      </c>
      <c r="AS730" s="265">
        <f t="shared" si="1670"/>
        <v>253.16</v>
      </c>
      <c r="AT730" s="264">
        <f t="shared" si="1670"/>
        <v>253.16</v>
      </c>
      <c r="AU730" s="265">
        <f t="shared" si="1670"/>
        <v>253.15199999999999</v>
      </c>
      <c r="AV730" s="265">
        <f t="shared" si="1670"/>
        <v>253.143</v>
      </c>
      <c r="AW730" s="265">
        <f t="shared" si="1670"/>
        <v>253.154</v>
      </c>
      <c r="AX730" s="265">
        <f t="shared" si="1670"/>
        <v>251.70099999999999</v>
      </c>
      <c r="AY730" s="264">
        <f t="shared" si="1670"/>
        <v>251.70099999999999</v>
      </c>
      <c r="AZ730" s="265">
        <f t="shared" si="1670"/>
        <v>251.655</v>
      </c>
      <c r="BA730" s="265">
        <f t="shared" si="1670"/>
        <v>251.61799999999999</v>
      </c>
      <c r="BB730" s="265">
        <f t="shared" si="1670"/>
        <v>251.63900000000001</v>
      </c>
      <c r="BC730" s="265">
        <f t="shared" si="1670"/>
        <v>251.524</v>
      </c>
      <c r="BD730" s="264">
        <f t="shared" si="1670"/>
        <v>251.524</v>
      </c>
      <c r="BE730" s="265">
        <f t="shared" si="1670"/>
        <v>251.52600000000001</v>
      </c>
      <c r="BF730" s="265">
        <f t="shared" si="1670"/>
        <v>251.559</v>
      </c>
      <c r="BG730" s="265">
        <f t="shared" si="1670"/>
        <v>251.529</v>
      </c>
      <c r="BH730" s="265">
        <f t="shared" si="1670"/>
        <v>251.727</v>
      </c>
      <c r="BI730" s="266">
        <f t="shared" si="1670"/>
        <v>251.727</v>
      </c>
      <c r="BJ730" s="265">
        <f t="shared" si="1670"/>
        <v>251.54768249999998</v>
      </c>
      <c r="BK730" s="265">
        <f t="shared" si="1670"/>
        <v>251.39381329374999</v>
      </c>
      <c r="BL730" s="265">
        <f t="shared" si="1670"/>
        <v>251.24032876051561</v>
      </c>
      <c r="BM730" s="265">
        <f t="shared" si="1670"/>
        <v>251.08722793861432</v>
      </c>
      <c r="BN730" s="264">
        <f t="shared" si="1670"/>
        <v>251.08722793861432</v>
      </c>
      <c r="BO730" s="265">
        <f t="shared" si="1670"/>
        <v>250.90950986876777</v>
      </c>
      <c r="BP730" s="265">
        <f t="shared" si="1670"/>
        <v>250.75723609409584</v>
      </c>
      <c r="BQ730" s="265">
        <f t="shared" si="1670"/>
        <v>250.60534300386061</v>
      </c>
      <c r="BR730" s="265">
        <f t="shared" si="1670"/>
        <v>250.45382964635095</v>
      </c>
      <c r="BS730" s="264">
        <f t="shared" si="1670"/>
        <v>250.45382964635095</v>
      </c>
      <c r="BT730" s="264">
        <f t="shared" si="1670"/>
        <v>249.59929134988744</v>
      </c>
      <c r="BU730" s="264">
        <f t="shared" si="1670"/>
        <v>248.75329843638858</v>
      </c>
      <c r="BV730" s="264">
        <f t="shared" si="1670"/>
        <v>247.91576545202469</v>
      </c>
      <c r="BW730" s="83"/>
    </row>
    <row r="731" spans="1:75" ht="15.75" customHeight="1" x14ac:dyDescent="0.2">
      <c r="A731" s="85"/>
      <c r="B731" s="85"/>
      <c r="C731" s="237"/>
      <c r="D731" s="237"/>
      <c r="E731" s="237"/>
      <c r="F731" s="237"/>
      <c r="G731" s="239"/>
      <c r="H731" s="239"/>
      <c r="I731" s="239"/>
      <c r="J731" s="239"/>
      <c r="K731" s="237"/>
      <c r="L731" s="239"/>
      <c r="M731" s="239"/>
      <c r="N731" s="239"/>
      <c r="O731" s="239"/>
      <c r="P731" s="237"/>
      <c r="Q731" s="239"/>
      <c r="R731" s="239"/>
      <c r="S731" s="239"/>
      <c r="T731" s="239"/>
      <c r="U731" s="237"/>
      <c r="V731" s="239"/>
      <c r="W731" s="239"/>
      <c r="X731" s="239"/>
      <c r="Y731" s="239"/>
      <c r="Z731" s="237"/>
      <c r="AA731" s="239"/>
      <c r="AB731" s="239"/>
      <c r="AC731" s="239"/>
      <c r="AD731" s="239"/>
      <c r="AE731" s="237"/>
      <c r="AF731" s="239"/>
      <c r="AG731" s="239"/>
      <c r="AH731" s="239"/>
      <c r="AI731" s="239"/>
      <c r="AJ731" s="237"/>
      <c r="AK731" s="239"/>
      <c r="AL731" s="239"/>
      <c r="AM731" s="239"/>
      <c r="AN731" s="239"/>
      <c r="AO731" s="237"/>
      <c r="AP731" s="239"/>
      <c r="AQ731" s="239"/>
      <c r="AR731" s="239"/>
      <c r="AS731" s="239"/>
      <c r="AT731" s="237"/>
      <c r="AU731" s="239"/>
      <c r="AV731" s="239"/>
      <c r="AW731" s="239"/>
      <c r="AX731" s="239"/>
      <c r="AY731" s="237"/>
      <c r="AZ731" s="239"/>
      <c r="BA731" s="239"/>
      <c r="BB731" s="239"/>
      <c r="BC731" s="239"/>
      <c r="BD731" s="237"/>
      <c r="BE731" s="239"/>
      <c r="BF731" s="239"/>
      <c r="BG731" s="239"/>
      <c r="BH731" s="239"/>
      <c r="BI731" s="259"/>
      <c r="BJ731" s="239"/>
      <c r="BK731" s="239"/>
      <c r="BL731" s="239"/>
      <c r="BM731" s="239"/>
      <c r="BN731" s="237"/>
      <c r="BO731" s="239"/>
      <c r="BP731" s="239"/>
      <c r="BQ731" s="239"/>
      <c r="BR731" s="239"/>
      <c r="BS731" s="237"/>
      <c r="BT731" s="237"/>
      <c r="BU731" s="237"/>
      <c r="BV731" s="237"/>
      <c r="BW731" s="83"/>
    </row>
    <row r="732" spans="1:75" ht="15.75" customHeight="1" x14ac:dyDescent="0.2">
      <c r="A732" s="333" t="s">
        <v>858</v>
      </c>
      <c r="B732" s="333"/>
      <c r="C732" s="211"/>
      <c r="D732" s="211">
        <f t="shared" ref="D732:F732" si="1671">IFERROR(-D721/D720,"n/a")</f>
        <v>9.1501543628757911E-2</v>
      </c>
      <c r="E732" s="211">
        <f t="shared" si="1671"/>
        <v>9.5249567155723344E-2</v>
      </c>
      <c r="F732" s="211">
        <f t="shared" si="1671"/>
        <v>9.8131451029198305E-2</v>
      </c>
      <c r="G732" s="267">
        <f>IFERROR(-G721/G720*K3/G3,"n/a")</f>
        <v>0.10062557396607616</v>
      </c>
      <c r="H732" s="267">
        <f>IFERROR(-H721/H720*K3/H3,"n/a")</f>
        <v>0.10074926201100036</v>
      </c>
      <c r="I732" s="267">
        <f>IFERROR(-I721/I720*K3/I3,"n/a")</f>
        <v>0.1027193646978919</v>
      </c>
      <c r="J732" s="267">
        <f>IFERROR(-J721/J720*K3/J3,"n/a")</f>
        <v>0.10430449855224726</v>
      </c>
      <c r="K732" s="211">
        <f>IFERROR(-K721/K720,"n/a")</f>
        <v>0.10276838065037716</v>
      </c>
      <c r="L732" s="267">
        <f>IFERROR(-L721/L720*P3/L3,"n/a")</f>
        <v>0.10184327220105133</v>
      </c>
      <c r="M732" s="267">
        <f>IFERROR(-M721/M720*P3/M3,"n/a")</f>
        <v>0.10224389855278126</v>
      </c>
      <c r="N732" s="267">
        <f>IFERROR(-N721/N720*P3/N3,"n/a")</f>
        <v>0.10324903959400883</v>
      </c>
      <c r="O732" s="267">
        <f>IFERROR(-O721/O720*P3/O3,"n/a")</f>
        <v>0.10247328392426096</v>
      </c>
      <c r="P732" s="211">
        <f>IFERROR(-P721/P720,"n/a")</f>
        <v>0.10414531940119112</v>
      </c>
      <c r="Q732" s="267">
        <f>IFERROR(-Q721/Q720*U3/Q3,"n/a")</f>
        <v>0.10226667712980123</v>
      </c>
      <c r="R732" s="267">
        <f>IFERROR(-R721/R720*U3/R3,"n/a")</f>
        <v>0.10209345135988689</v>
      </c>
      <c r="S732" s="267">
        <f>IFERROR(-S721/S720*U3/S3,"n/a")</f>
        <v>0.1001412839101937</v>
      </c>
      <c r="T732" s="267">
        <f>IFERROR(-T721/T720*U3/T3,"n/a")</f>
        <v>0.10024018116522176</v>
      </c>
      <c r="U732" s="211">
        <f>IFERROR(-U721/U720,"n/a")</f>
        <v>0.10329890559636849</v>
      </c>
      <c r="V732" s="267">
        <f>IFERROR(-V721/V720*Z3/V3,"n/a")</f>
        <v>9.8081102502801429E-2</v>
      </c>
      <c r="W732" s="267">
        <f>IFERROR(-W721/W720*Z3/W3,"n/a")</f>
        <v>9.8756660715160136E-2</v>
      </c>
      <c r="X732" s="267">
        <f>IFERROR(-X721/X720*Z3/X3,"n/a")</f>
        <v>9.9229626006390126E-2</v>
      </c>
      <c r="Y732" s="267">
        <f>IFERROR(-Y721/Y720*Z3/Y3,"n/a")</f>
        <v>9.8361017697343206E-2</v>
      </c>
      <c r="Z732" s="211">
        <f>IFERROR(-Z721/Z720,"n/a")</f>
        <v>9.8644796910078672E-2</v>
      </c>
      <c r="AA732" s="267">
        <f>IFERROR(-AA721/AA720*AE3/AA3,"n/a")</f>
        <v>0.10194542781612377</v>
      </c>
      <c r="AB732" s="267">
        <f>IFERROR(-AB721/AB720*AE3/AB3,"n/a")</f>
        <v>0.10233905605322315</v>
      </c>
      <c r="AC732" s="267">
        <f>IFERROR(-AC721/AC720*AE3/AC3,"n/a")</f>
        <v>0.10072095251129055</v>
      </c>
      <c r="AD732" s="267">
        <f>IFERROR(-AD721/AD720*AE3/AD3,"n/a")</f>
        <v>9.9571069241679536E-2</v>
      </c>
      <c r="AE732" s="211">
        <f>IFERROR(-AE721/AE720,"n/a")</f>
        <v>0.10122575357035338</v>
      </c>
      <c r="AF732" s="267">
        <f>IFERROR(-AF721/AF720*AJ3/AF3,"n/a")</f>
        <v>0.10267741124758702</v>
      </c>
      <c r="AG732" s="267">
        <f>IFERROR(-AG721/AG720*AJ3/AG3,"n/a")</f>
        <v>0.10147560246728517</v>
      </c>
      <c r="AH732" s="267">
        <f>IFERROR(-AH721/AH720*AJ3/AH3,"n/a")</f>
        <v>0.10289715943613723</v>
      </c>
      <c r="AI732" s="267">
        <f>IFERROR(-AI721/AI720*AJ3/AI3,"n/a")</f>
        <v>0.10278732486806931</v>
      </c>
      <c r="AJ732" s="211">
        <f>IFERROR(-AJ721/AJ720,"n/a")</f>
        <v>0.10200150794881531</v>
      </c>
      <c r="AK732" s="267">
        <f>IFERROR(-AK721/AK720*AO3/AK3,"n/a")</f>
        <v>9.3562180066245101E-2</v>
      </c>
      <c r="AL732" s="267">
        <f>IFERROR(-AL721/AL720*AO3/AL3,"n/a")</f>
        <v>0.11341512585680549</v>
      </c>
      <c r="AM732" s="267">
        <f>IFERROR(-AM721/AM720*AO3/AM3,"n/a")</f>
        <v>0.11254904442475636</v>
      </c>
      <c r="AN732" s="267">
        <f>IFERROR(-AN721/AN720*AO3/AN3,"n/a")</f>
        <v>0.12522999882777974</v>
      </c>
      <c r="AO732" s="211">
        <f>IFERROR(-AO721/AO720,"n/a")</f>
        <v>9.6173660726506252E-2</v>
      </c>
      <c r="AP732" s="267">
        <f>IFERROR(-AP721/AP720*AT3/AP3,"n/a")</f>
        <v>0.11333346961696683</v>
      </c>
      <c r="AQ732" s="267">
        <f>IFERROR(-AQ721/AQ720*AT3/AQ3,"n/a")</f>
        <v>0.11042634394213249</v>
      </c>
      <c r="AR732" s="267">
        <f>IFERROR(-AR721/AR720*AT3/AR3,"n/a")</f>
        <v>0.11242739384704344</v>
      </c>
      <c r="AS732" s="267">
        <f>IFERROR(-AS721/AS720*AT3/AS3,"n/a")</f>
        <v>0.11454855851794067</v>
      </c>
      <c r="AT732" s="211">
        <f>IFERROR(-AT721/AT720,"n/a")</f>
        <v>0.10908502775977363</v>
      </c>
      <c r="AU732" s="267">
        <f>IFERROR(-AU721/AU720*AY3/AU3,"n/a")</f>
        <v>0.11344761973655826</v>
      </c>
      <c r="AV732" s="267">
        <f>IFERROR(-AV721/AV720*AY3/AV3,"n/a")</f>
        <v>0.11606342395776642</v>
      </c>
      <c r="AW732" s="267">
        <f>IFERROR(-AW721/AW720*AY3/AW3,"n/a")</f>
        <v>0.11647227047659571</v>
      </c>
      <c r="AX732" s="267">
        <f>IFERROR(-AX721/AX720*AY3/AX3,"n/a")</f>
        <v>0.1183050129691387</v>
      </c>
      <c r="AY732" s="211">
        <f>IFERROR(-AY721/AY720,"n/a")</f>
        <v>0.1143906052804607</v>
      </c>
      <c r="AZ732" s="267">
        <f>IFERROR(-AZ721/AZ720*BD3/AZ3,"n/a")</f>
        <v>0.11545160908285211</v>
      </c>
      <c r="BA732" s="267">
        <f>IFERROR(-BA721/BA720*BD3/BA3,"n/a")</f>
        <v>0.12102382592922385</v>
      </c>
      <c r="BB732" s="267">
        <f>IFERROR(-BB721/BB720*BD3/BB3,"n/a")</f>
        <v>0.12117786232681749</v>
      </c>
      <c r="BC732" s="267">
        <f>IFERROR(-BC721/BC720*BD3/BC3,"n/a")</f>
        <v>0.12584907957920594</v>
      </c>
      <c r="BD732" s="211">
        <f>IFERROR(-BD721/BD720,"n/a")</f>
        <v>0.12184764056698653</v>
      </c>
      <c r="BE732" s="267">
        <f>IFERROR(-BE721/BE720*BI3/BE3,"n/a")</f>
        <v>0.12173162424552743</v>
      </c>
      <c r="BF732" s="267">
        <f>IFERROR(-BF721/BF720*BI3/BF3,"n/a")</f>
        <v>0.11966605203084679</v>
      </c>
      <c r="BG732" s="267">
        <f>IFERROR(-BG721/BG720*BI3/BG3,"n/a")</f>
        <v>0.11598891362624378</v>
      </c>
      <c r="BH732" s="267">
        <f>IFERROR(-BH721/BH720*BI3/BH3,"n/a")</f>
        <v>0.12093577087424084</v>
      </c>
      <c r="BI732" s="212">
        <f>IFERROR(-BI721/BI720,"n/a")</f>
        <v>0.12215786856394535</v>
      </c>
      <c r="BJ732" s="286">
        <v>0.125</v>
      </c>
      <c r="BK732" s="286">
        <v>0.125</v>
      </c>
      <c r="BL732" s="286">
        <v>0.125</v>
      </c>
      <c r="BM732" s="286">
        <v>0.125</v>
      </c>
      <c r="BN732" s="211">
        <f t="shared" ref="BN732:BN735" si="1672">AVERAGE(BJ732,BK732,BL732,BM732)</f>
        <v>0.125</v>
      </c>
      <c r="BO732" s="286">
        <v>0.125</v>
      </c>
      <c r="BP732" s="286">
        <v>0.125</v>
      </c>
      <c r="BQ732" s="286">
        <v>0.125</v>
      </c>
      <c r="BR732" s="286">
        <v>0.125</v>
      </c>
      <c r="BS732" s="211">
        <f t="shared" ref="BS732:BS735" si="1673">AVERAGE(BO732,BP732,BQ732,BR732)</f>
        <v>0.125</v>
      </c>
      <c r="BT732" s="210">
        <v>0.125</v>
      </c>
      <c r="BU732" s="210">
        <v>0.125</v>
      </c>
      <c r="BV732" s="210">
        <v>0.125</v>
      </c>
      <c r="BW732" s="83"/>
    </row>
    <row r="733" spans="1:75" ht="15.75" customHeight="1" x14ac:dyDescent="0.2">
      <c r="A733" s="333" t="s">
        <v>859</v>
      </c>
      <c r="B733" s="333"/>
      <c r="C733" s="211"/>
      <c r="D733" s="211"/>
      <c r="E733" s="211"/>
      <c r="F733" s="211"/>
      <c r="G733" s="267"/>
      <c r="H733" s="267"/>
      <c r="I733" s="267"/>
      <c r="J733" s="267"/>
      <c r="K733" s="211"/>
      <c r="L733" s="267"/>
      <c r="M733" s="267"/>
      <c r="N733" s="267"/>
      <c r="O733" s="267"/>
      <c r="P733" s="211"/>
      <c r="Q733" s="267"/>
      <c r="R733" s="267"/>
      <c r="S733" s="267"/>
      <c r="T733" s="267"/>
      <c r="U733" s="211"/>
      <c r="V733" s="267"/>
      <c r="W733" s="267"/>
      <c r="X733" s="267"/>
      <c r="Y733" s="267"/>
      <c r="Z733" s="211"/>
      <c r="AA733" s="267"/>
      <c r="AB733" s="267"/>
      <c r="AC733" s="267"/>
      <c r="AD733" s="267"/>
      <c r="AE733" s="211">
        <f>IFERROR(-AE727/AE726,"n/a")</f>
        <v>0</v>
      </c>
      <c r="AF733" s="267"/>
      <c r="AG733" s="267"/>
      <c r="AH733" s="267"/>
      <c r="AI733" s="267"/>
      <c r="AJ733" s="211">
        <f>IFERROR(-AJ727/AJ726,"n/a")</f>
        <v>0</v>
      </c>
      <c r="AK733" s="267"/>
      <c r="AL733" s="267"/>
      <c r="AM733" s="267"/>
      <c r="AN733" s="267"/>
      <c r="AO733" s="211">
        <f>IFERROR(-AO727/AO726,"n/a")</f>
        <v>0</v>
      </c>
      <c r="AP733" s="267"/>
      <c r="AQ733" s="267"/>
      <c r="AR733" s="267"/>
      <c r="AS733" s="267"/>
      <c r="AT733" s="211">
        <f>IFERROR(-AT727/AT726,"n/a")</f>
        <v>1.6010722609656296E-3</v>
      </c>
      <c r="AU733" s="267">
        <f>IFERROR(-AU727/AU726*AY3/AU3,"n/a")</f>
        <v>7.9001422025596463E-4</v>
      </c>
      <c r="AV733" s="267">
        <f>IFERROR(-AV727/AV726*AY3/AV3,"n/a")</f>
        <v>2.3701175578308689E-3</v>
      </c>
      <c r="AW733" s="267">
        <f>IFERROR(-AW727/AW726*AY3/AW3,"n/a")</f>
        <v>6.3205381938272031E-3</v>
      </c>
      <c r="AX733" s="267">
        <f>IFERROR(-AX727/AX726*AY3/AX3,"n/a")</f>
        <v>7.9003294437378063E-3</v>
      </c>
      <c r="AY733" s="211">
        <f>IFERROR(-AY727/AY726,"n/a")</f>
        <v>4.3450782114078058E-3</v>
      </c>
      <c r="AZ733" s="267">
        <f>IFERROR(-AZ727/AZ726*BD3/AZ3,"n/a")</f>
        <v>8.0987423111610144E-3</v>
      </c>
      <c r="BA733" s="267">
        <f>IFERROR(-BA727/BA726*BD3/BA3,"n/a")</f>
        <v>8.1002226797064949E-3</v>
      </c>
      <c r="BB733" s="267">
        <f>IFERROR(-BB727/BB726*BD3/BB3,"n/a")</f>
        <v>8.1014138037085529E-3</v>
      </c>
      <c r="BC733" s="267">
        <f>IFERROR(-BC727/BC726*BD3/BC3,"n/a")</f>
        <v>7.5221135947017076E-3</v>
      </c>
      <c r="BD733" s="211">
        <f>IFERROR(-BD727/BD726,"n/a")</f>
        <v>7.9459358524598626E-3</v>
      </c>
      <c r="BE733" s="267">
        <f>IFERROR(-BE727/BE726*BI3/BE3,"n/a")</f>
        <v>8.0398777938575326E-3</v>
      </c>
      <c r="BF733" s="267">
        <f>IFERROR(-BF727/BF726*BI3/BF3,"n/a")</f>
        <v>7.8650353027727438E-3</v>
      </c>
      <c r="BG733" s="267">
        <f>IFERROR(-BG727/BG726*BI3/BG3,"n/a")</f>
        <v>7.9504211735616694E-3</v>
      </c>
      <c r="BH733" s="267">
        <f>IFERROR(-BH727/BH726*BI3/BH3,"n/a")</f>
        <v>7.9513694245991525E-3</v>
      </c>
      <c r="BI733" s="212">
        <f>IFERROR(-BI727/BI726,"n/a")</f>
        <v>7.9515274884305268E-3</v>
      </c>
      <c r="BJ733" s="286">
        <v>0.01</v>
      </c>
      <c r="BK733" s="286">
        <v>0.01</v>
      </c>
      <c r="BL733" s="286">
        <v>0.01</v>
      </c>
      <c r="BM733" s="286">
        <v>0.01</v>
      </c>
      <c r="BN733" s="211">
        <f t="shared" si="1672"/>
        <v>0.01</v>
      </c>
      <c r="BO733" s="286">
        <v>0.01</v>
      </c>
      <c r="BP733" s="286">
        <v>0.01</v>
      </c>
      <c r="BQ733" s="286">
        <v>0.01</v>
      </c>
      <c r="BR733" s="286">
        <v>0.01</v>
      </c>
      <c r="BS733" s="211">
        <f t="shared" si="1673"/>
        <v>0.01</v>
      </c>
      <c r="BT733" s="210">
        <v>0.01</v>
      </c>
      <c r="BU733" s="210">
        <v>0.01</v>
      </c>
      <c r="BV733" s="210">
        <v>0.01</v>
      </c>
      <c r="BW733" s="83"/>
    </row>
    <row r="734" spans="1:75" ht="15.75" customHeight="1" x14ac:dyDescent="0.2">
      <c r="A734" s="108" t="s">
        <v>860</v>
      </c>
      <c r="B734" s="108"/>
      <c r="C734" s="497"/>
      <c r="D734" s="497">
        <f t="shared" ref="D734:F734" si="1674">IFERROR(-D720/D721,"n/a")</f>
        <v>10.928777377321875</v>
      </c>
      <c r="E734" s="497">
        <f t="shared" si="1674"/>
        <v>10.498735373412268</v>
      </c>
      <c r="F734" s="497">
        <f t="shared" si="1674"/>
        <v>10.190412854513454</v>
      </c>
      <c r="G734" s="498">
        <f>IFERROR(-G720/G721*G3/K3,"n/a")</f>
        <v>9.9378315132605302</v>
      </c>
      <c r="H734" s="498">
        <f>IFERROR(-H720/H721*H3/K3,"n/a")</f>
        <v>9.9256310174342968</v>
      </c>
      <c r="I734" s="498">
        <f>IFERROR(-I720/I721*I3/K3,"n/a")</f>
        <v>9.7352627028126744</v>
      </c>
      <c r="J734" s="498">
        <f>IFERROR(-J720/J721*J3/K3,"n/a")</f>
        <v>9.5873141991003301</v>
      </c>
      <c r="K734" s="497">
        <f>IFERROR(-K720/K721,"n/a")</f>
        <v>9.7306194149545551</v>
      </c>
      <c r="L734" s="498">
        <f>IFERROR(-L720/L721*L3/P3,"n/a")</f>
        <v>9.8190089378302297</v>
      </c>
      <c r="M734" s="498">
        <f>IFERROR(-M720/M721*M3/P3,"n/a")</f>
        <v>9.7805347228986079</v>
      </c>
      <c r="N734" s="498">
        <f>IFERROR(-N720/N721*N3/P3,"n/a")</f>
        <v>9.6853201146679382</v>
      </c>
      <c r="O734" s="498">
        <f>IFERROR(-O720/O721*O3/P3,"n/a")</f>
        <v>9.7586410984848531</v>
      </c>
      <c r="P734" s="497">
        <f>IFERROR(-P720/P721,"n/a")</f>
        <v>9.6019677672481443</v>
      </c>
      <c r="Q734" s="498">
        <f>IFERROR(-Q720/Q721*Q3/U3,"n/a")</f>
        <v>9.7783562355385563</v>
      </c>
      <c r="R734" s="498">
        <f>IFERROR(-R720/R721*R3/U3,"n/a")</f>
        <v>9.7949475375744388</v>
      </c>
      <c r="S734" s="498">
        <f>IFERROR(-S720/S721*S3/U3,"n/a")</f>
        <v>9.9858915419618146</v>
      </c>
      <c r="T734" s="498">
        <f>IFERROR(-T720/T721*T3/U3,"n/a")</f>
        <v>9.9760394322486423</v>
      </c>
      <c r="U734" s="497">
        <f>IFERROR(-U720/U721,"n/a")</f>
        <v>9.6806446711779621</v>
      </c>
      <c r="V734" s="498">
        <f>IFERROR(-V720/V721*V3/Z3,"n/a")</f>
        <v>10.195643956708556</v>
      </c>
      <c r="W734" s="498">
        <f>IFERROR(-W720/W721*W3/Z3,"n/a")</f>
        <v>10.125899283738033</v>
      </c>
      <c r="X734" s="498">
        <f>IFERROR(-X720/X721*X3/Z3,"n/a")</f>
        <v>10.077635482931305</v>
      </c>
      <c r="Y734" s="498">
        <f>IFERROR(-Y720/Y721*Y3/Z3,"n/a")</f>
        <v>10.166629254253948</v>
      </c>
      <c r="Z734" s="497">
        <f>IFERROR(-Z720/Z721,"n/a")</f>
        <v>10.137382115668673</v>
      </c>
      <c r="AA734" s="498">
        <f>IFERROR(-AA720/AA721*AA3/AE3,"n/a")</f>
        <v>9.8091696844283494</v>
      </c>
      <c r="AB734" s="498">
        <f>IFERROR(-AB720/AB721*AB3/AE3,"n/a")</f>
        <v>9.7714405288234545</v>
      </c>
      <c r="AC734" s="498">
        <f>IFERROR(-AC720/AC721*AC3/AE3,"n/a")</f>
        <v>9.9284208009043855</v>
      </c>
      <c r="AD734" s="498">
        <f>IFERROR(-AD720/AD721*AD3/AE3,"n/a")</f>
        <v>10.043077849980637</v>
      </c>
      <c r="AE734" s="497">
        <f>IFERROR(-AE720/AE721,"n/a")</f>
        <v>9.8789089211865964</v>
      </c>
      <c r="AF734" s="498">
        <f>IFERROR(-AF720/AF721*AF3/AJ3,"n/a")</f>
        <v>9.739240479960003</v>
      </c>
      <c r="AG734" s="498">
        <f>IFERROR(-AG720/AG721*AG3/AJ3,"n/a")</f>
        <v>9.8545854933198456</v>
      </c>
      <c r="AH734" s="498">
        <f>IFERROR(-AH720/AH721*AH3/AJ3,"n/a")</f>
        <v>9.7184412619344123</v>
      </c>
      <c r="AI734" s="498">
        <f>IFERROR(-AI720/AI721*AI3/AJ3,"n/a")</f>
        <v>9.7288260131638875</v>
      </c>
      <c r="AJ734" s="497">
        <f>IFERROR(-AJ720/AJ721,"n/a")</f>
        <v>9.8037766314376782</v>
      </c>
      <c r="AK734" s="498">
        <f>IFERROR(-AK720/AK721*AK3/AO3,"n/a")</f>
        <v>10.68807929969104</v>
      </c>
      <c r="AL734" s="498">
        <f>IFERROR(-AL720/AL721*AL3/AO3,"n/a")</f>
        <v>8.8171660741493127</v>
      </c>
      <c r="AM734" s="498">
        <f>IFERROR(-AM720/AM721*AM3/AO3,"n/a")</f>
        <v>8.8850154624683721</v>
      </c>
      <c r="AN734" s="498">
        <f>IFERROR(-AN720/AN721*AN3/AO3,"n/a")</f>
        <v>7.9853071098022737</v>
      </c>
      <c r="AO734" s="497">
        <f>IFERROR(-AO720/AO721,"n/a")</f>
        <v>10.397857297371148</v>
      </c>
      <c r="AP734" s="498">
        <f>IFERROR(-AP720/AP721*AP3/AT3,"n/a")</f>
        <v>8.8235188014599775</v>
      </c>
      <c r="AQ734" s="498">
        <f>IFERROR(-AQ720/AQ721*AQ3/AT3,"n/a")</f>
        <v>9.0558100929614884</v>
      </c>
      <c r="AR734" s="498">
        <f>IFERROR(-AR720/AR721*AR3/AT3,"n/a")</f>
        <v>8.894629376186483</v>
      </c>
      <c r="AS734" s="498">
        <f>IFERROR(-AS720/AS721*AS3/AT3,"n/a")</f>
        <v>8.7299221652220034</v>
      </c>
      <c r="AT734" s="497">
        <f>IFERROR(-AT720/AT721,"n/a")</f>
        <v>9.1671608884969409</v>
      </c>
      <c r="AU734" s="498">
        <f>IFERROR(-AU720/AU721*AU3/AY3,"n/a")</f>
        <v>8.8146406449262162</v>
      </c>
      <c r="AV734" s="498">
        <f>IFERROR(-AV720/AV721*AV3/AY3,"n/a")</f>
        <v>8.6159787976260596</v>
      </c>
      <c r="AW734" s="498">
        <f>IFERROR(-AW720/AW721*AW3/AY3,"n/a")</f>
        <v>8.5857345779220715</v>
      </c>
      <c r="AX734" s="498">
        <f>IFERROR(-AX720/AX721*AX3/AY3,"n/a")</f>
        <v>8.4527271913732189</v>
      </c>
      <c r="AY734" s="497">
        <f>IFERROR(-AY720/AY721,"n/a")</f>
        <v>8.7419766470176388</v>
      </c>
      <c r="AZ734" s="498">
        <f>IFERROR(-AZ720/AZ721*AZ3/BD3,"n/a")</f>
        <v>8.6616376154823875</v>
      </c>
      <c r="BA734" s="498">
        <f>IFERROR(-BA720/BA721*BA3/BD3,"n/a")</f>
        <v>8.2628357872673082</v>
      </c>
      <c r="BB734" s="498">
        <f>IFERROR(-BB720/BB721*BB3/BD3,"n/a")</f>
        <v>8.2523324046020345</v>
      </c>
      <c r="BC734" s="498">
        <f>IFERROR(-BC720/BC721*BC3/BD3,"n/a")</f>
        <v>7.9460255358532637</v>
      </c>
      <c r="BD734" s="497">
        <f>IFERROR(-BD720/BD721,"n/a")</f>
        <v>8.2069705687098917</v>
      </c>
      <c r="BE734" s="498">
        <f>IFERROR(-BE720/BE721*BE3/BI3,"n/a")</f>
        <v>8.2147922218062526</v>
      </c>
      <c r="BF734" s="498">
        <f>IFERROR(-BF720/BF721*BF3/BI3,"n/a")</f>
        <v>8.3565888823860099</v>
      </c>
      <c r="BG734" s="498">
        <f>IFERROR(-BG720/BG721*BG3/BI3,"n/a")</f>
        <v>8.6215136320902559</v>
      </c>
      <c r="BH734" s="498">
        <f>IFERROR(-BH720/BH721*BH3/BI3,"n/a")</f>
        <v>8.2688520755358965</v>
      </c>
      <c r="BI734" s="499">
        <f>IFERROR(-BI720/BI721,"n/a")</f>
        <v>8.1861284234550578</v>
      </c>
      <c r="BJ734" s="498">
        <f>IFERROR(-BJ720/BJ721*BJ3/BN3,"n/a")</f>
        <v>7.9999999999999991</v>
      </c>
      <c r="BK734" s="498">
        <f>IFERROR(-BK720/BK721*BK3/BN3,"n/a")</f>
        <v>8</v>
      </c>
      <c r="BL734" s="498">
        <f>IFERROR(-BL720/BL721*BL3/BN3,"n/a")</f>
        <v>8</v>
      </c>
      <c r="BM734" s="498">
        <f>IFERROR(-BM720/BM721*BM3/BN3,"n/a")</f>
        <v>8.0000000000000018</v>
      </c>
      <c r="BN734" s="497">
        <f t="shared" si="1672"/>
        <v>8</v>
      </c>
      <c r="BO734" s="498">
        <f>IFERROR(-BO720/BO721*BO3/BS3,"n/a")</f>
        <v>8</v>
      </c>
      <c r="BP734" s="498">
        <f>IFERROR(-BP720/BP721*BP3/BS3,"n/a")</f>
        <v>8.0000000000000018</v>
      </c>
      <c r="BQ734" s="498">
        <f>IFERROR(-BQ720/BQ721*BQ3/BS3,"n/a")</f>
        <v>8</v>
      </c>
      <c r="BR734" s="498">
        <f>IFERROR(-BR720/BR721*BR3/BS3,"n/a")</f>
        <v>7.9999999999999991</v>
      </c>
      <c r="BS734" s="497">
        <f t="shared" si="1673"/>
        <v>8</v>
      </c>
      <c r="BT734" s="497">
        <f t="shared" ref="BT734:BV734" si="1675">IFERROR(-BT720/BT721,"n/a")</f>
        <v>8</v>
      </c>
      <c r="BU734" s="497">
        <f t="shared" si="1675"/>
        <v>8</v>
      </c>
      <c r="BV734" s="497">
        <f t="shared" si="1675"/>
        <v>8</v>
      </c>
      <c r="BW734" s="83"/>
    </row>
    <row r="735" spans="1:75" ht="15.75" customHeight="1" x14ac:dyDescent="0.2">
      <c r="A735" s="108" t="s">
        <v>861</v>
      </c>
      <c r="B735" s="108"/>
      <c r="C735" s="497"/>
      <c r="D735" s="497" t="str">
        <f t="shared" ref="D735:F735" si="1676">IFERROR(-D726/D727,"n/a")</f>
        <v>n/a</v>
      </c>
      <c r="E735" s="497" t="str">
        <f t="shared" si="1676"/>
        <v>n/a</v>
      </c>
      <c r="F735" s="497" t="str">
        <f t="shared" si="1676"/>
        <v>n/a</v>
      </c>
      <c r="G735" s="498" t="str">
        <f>IFERROR(-G726/G727*G3/K3,"n/a")</f>
        <v>n/a</v>
      </c>
      <c r="H735" s="498" t="str">
        <f>IFERROR(-H726/H727*H3/K3,"n/a")</f>
        <v>n/a</v>
      </c>
      <c r="I735" s="498" t="str">
        <f>IFERROR(-I726/I727*I3/K3,"n/a")</f>
        <v>n/a</v>
      </c>
      <c r="J735" s="498" t="str">
        <f>IFERROR(-J726/J727*J3/K3,"n/a")</f>
        <v>n/a</v>
      </c>
      <c r="K735" s="497" t="str">
        <f>IFERROR(-K726/K727,"n/a")</f>
        <v>n/a</v>
      </c>
      <c r="L735" s="498" t="str">
        <f>IFERROR(-L726/L727*L3/P3,"n/a")</f>
        <v>n/a</v>
      </c>
      <c r="M735" s="498" t="str">
        <f>IFERROR(-M726/M727*M3/P3,"n/a")</f>
        <v>n/a</v>
      </c>
      <c r="N735" s="498" t="str">
        <f>IFERROR(-N726/N727*N3/P3,"n/a")</f>
        <v>n/a</v>
      </c>
      <c r="O735" s="498" t="str">
        <f>IFERROR(-O726/O727*O3/P3,"n/a")</f>
        <v>n/a</v>
      </c>
      <c r="P735" s="497" t="str">
        <f>IFERROR(-P726/P727,"n/a")</f>
        <v>n/a</v>
      </c>
      <c r="Q735" s="498" t="str">
        <f>IFERROR(-Q726/Q727*Q3/U3,"n/a")</f>
        <v>n/a</v>
      </c>
      <c r="R735" s="498" t="str">
        <f>IFERROR(-R726/R727*R3/U3,"n/a")</f>
        <v>n/a</v>
      </c>
      <c r="S735" s="498" t="str">
        <f>IFERROR(-S726/S727*S3/U3,"n/a")</f>
        <v>n/a</v>
      </c>
      <c r="T735" s="498" t="str">
        <f>IFERROR(-T726/T727*T3/U3,"n/a")</f>
        <v>n/a</v>
      </c>
      <c r="U735" s="497" t="str">
        <f>IFERROR(-U726/U727,"n/a")</f>
        <v>n/a</v>
      </c>
      <c r="V735" s="498" t="str">
        <f>IFERROR(-V726/V727*V3/Z3,"n/a")</f>
        <v>n/a</v>
      </c>
      <c r="W735" s="498" t="str">
        <f>IFERROR(-W726/W727*W3/Z3,"n/a")</f>
        <v>n/a</v>
      </c>
      <c r="X735" s="498" t="str">
        <f>IFERROR(-X726/X727*X3/Z3,"n/a")</f>
        <v>n/a</v>
      </c>
      <c r="Y735" s="498" t="str">
        <f>IFERROR(-Y726/Y727*Y3/Z3,"n/a")</f>
        <v>n/a</v>
      </c>
      <c r="Z735" s="497" t="str">
        <f>IFERROR(-Z726/Z727,"n/a")</f>
        <v>n/a</v>
      </c>
      <c r="AA735" s="498" t="str">
        <f>IFERROR(-AA726/AA727*AA3/AE3,"n/a")</f>
        <v>n/a</v>
      </c>
      <c r="AB735" s="498" t="str">
        <f>IFERROR(-AB726/AB727*AB3/AE3,"n/a")</f>
        <v>n/a</v>
      </c>
      <c r="AC735" s="498" t="str">
        <f>IFERROR(-AC726/AC727*AC3/AE3,"n/a")</f>
        <v>n/a</v>
      </c>
      <c r="AD735" s="498" t="str">
        <f>IFERROR(-AD726/AD727*AD3/AE3,"n/a")</f>
        <v>n/a</v>
      </c>
      <c r="AE735" s="497" t="str">
        <f>IFERROR(-AE726/AE727,"n/a")</f>
        <v>n/a</v>
      </c>
      <c r="AF735" s="498" t="str">
        <f>IFERROR(-AF726/AF727*AF3/AJ3,"n/a")</f>
        <v>n/a</v>
      </c>
      <c r="AG735" s="498" t="str">
        <f>IFERROR(-AG726/AG727*AG3/AJ3,"n/a")</f>
        <v>n/a</v>
      </c>
      <c r="AH735" s="498" t="str">
        <f>IFERROR(-AH726/AH727*AH3/AJ3,"n/a")</f>
        <v>n/a</v>
      </c>
      <c r="AI735" s="498" t="str">
        <f>IFERROR(-AI726/AI727*AI3/AJ3,"n/a")</f>
        <v>n/a</v>
      </c>
      <c r="AJ735" s="497" t="str">
        <f>IFERROR(-AJ726/AJ727,"n/a")</f>
        <v>n/a</v>
      </c>
      <c r="AK735" s="498" t="str">
        <f>IFERROR(-AK726/AK727*AK3/AO3,"n/a")</f>
        <v>n/a</v>
      </c>
      <c r="AL735" s="498" t="str">
        <f>IFERROR(-AL726/AL727*AL3/AO3,"n/a")</f>
        <v>n/a</v>
      </c>
      <c r="AM735" s="498" t="str">
        <f>IFERROR(-AM726/AM727*AM3/AO3,"n/a")</f>
        <v>n/a</v>
      </c>
      <c r="AN735" s="498" t="str">
        <f>IFERROR(-AN726/AN727*AN3/AO3,"n/a")</f>
        <v>n/a</v>
      </c>
      <c r="AO735" s="497" t="str">
        <f>IFERROR(-AO726/AO727,"n/a")</f>
        <v>n/a</v>
      </c>
      <c r="AP735" s="498" t="str">
        <f>IFERROR(-AP726/AP727*AP3/AT3,"n/a")</f>
        <v>n/a</v>
      </c>
      <c r="AQ735" s="498" t="str">
        <f>IFERROR(-AQ726/AQ727*AQ3/AT3,"n/a")</f>
        <v>n/a</v>
      </c>
      <c r="AR735" s="498" t="str">
        <f>IFERROR(-AR726/AR727*AR3/AT3,"n/a")</f>
        <v>n/a</v>
      </c>
      <c r="AS735" s="498" t="str">
        <f>IFERROR(-AS726/AS727*AS3/AT3,"n/a")</f>
        <v>n/a</v>
      </c>
      <c r="AT735" s="497">
        <f>IFERROR(-AT726/AT727,"n/a")</f>
        <v>624.58142857142855</v>
      </c>
      <c r="AU735" s="498">
        <f>IFERROR(-AU726/AU727*AU3/AY3,"n/a")</f>
        <v>1265.8</v>
      </c>
      <c r="AV735" s="498">
        <f>IFERROR(-AV726/AV727*AV3/AY3,"n/a")</f>
        <v>421.91999999999996</v>
      </c>
      <c r="AW735" s="498">
        <f>IFERROR(-AW726/AW727*AW3/AY3,"n/a")</f>
        <v>158.21437500000002</v>
      </c>
      <c r="AX735" s="498">
        <f>IFERROR(-AX726/AX727*AX3/AY3,"n/a")</f>
        <v>126.57699999999997</v>
      </c>
      <c r="AY735" s="497">
        <f>IFERROR(-AY726/AY727,"n/a")</f>
        <v>230.14545454545453</v>
      </c>
      <c r="AZ735" s="498">
        <f>IFERROR(-AZ726/AZ727*AZ3/BD3,"n/a")</f>
        <v>123.47596226415095</v>
      </c>
      <c r="BA735" s="498">
        <f>IFERROR(-BA726/BA727*BA3/BD3,"n/a")</f>
        <v>123.45339622641509</v>
      </c>
      <c r="BB735" s="498">
        <f>IFERROR(-BB726/BB727*BB3/BD3,"n/a")</f>
        <v>123.43524528301887</v>
      </c>
      <c r="BC735" s="498">
        <f>IFERROR(-BC726/BC727*BC3/BD3,"n/a")</f>
        <v>132.94135849056605</v>
      </c>
      <c r="BD735" s="497">
        <f>IFERROR(-BD726/BD727,"n/a")</f>
        <v>125.8505</v>
      </c>
      <c r="BE735" s="498">
        <f>IFERROR(-BE726/BE727*BE3/BI3,"n/a")</f>
        <v>124.38</v>
      </c>
      <c r="BF735" s="498">
        <f>IFERROR(-BF726/BF727*BF3/BI3,"n/a")</f>
        <v>127.14501098901098</v>
      </c>
      <c r="BG735" s="498">
        <f>IFERROR(-BG726/BG727*BG3/BI3,"n/a")</f>
        <v>125.7795</v>
      </c>
      <c r="BH735" s="498">
        <f>IFERROR(-BH726/BH727*BH3/BI3,"n/a")</f>
        <v>125.7645</v>
      </c>
      <c r="BI735" s="499">
        <f>IFERROR(-BI726/BI727,"n/a")</f>
        <v>125.762</v>
      </c>
      <c r="BJ735" s="498">
        <f>IFERROR(-BJ726/BJ727*BJ3/BN3,"n/a")</f>
        <v>100</v>
      </c>
      <c r="BK735" s="498">
        <f>IFERROR(-BK726/BK727*BK3/BN3,"n/a")</f>
        <v>100</v>
      </c>
      <c r="BL735" s="498">
        <f>IFERROR(-BL726/BL727*BL3/BN3,"n/a")</f>
        <v>99.999999999999986</v>
      </c>
      <c r="BM735" s="498">
        <f>IFERROR(-BM726/BM727*BM3/BN3,"n/a")</f>
        <v>100</v>
      </c>
      <c r="BN735" s="497">
        <f t="shared" si="1672"/>
        <v>100</v>
      </c>
      <c r="BO735" s="498">
        <f>IFERROR(-BO726/BO727*BO3/BS3,"n/a")</f>
        <v>100</v>
      </c>
      <c r="BP735" s="498">
        <f>IFERROR(-BP726/BP727*BP3/BS3,"n/a")</f>
        <v>100</v>
      </c>
      <c r="BQ735" s="498">
        <f>IFERROR(-BQ726/BQ727*BQ3/BS3,"n/a")</f>
        <v>100</v>
      </c>
      <c r="BR735" s="498">
        <f>IFERROR(-BR726/BR727*BR3/BS3,"n/a")</f>
        <v>100</v>
      </c>
      <c r="BS735" s="497">
        <f t="shared" si="1673"/>
        <v>100</v>
      </c>
      <c r="BT735" s="497">
        <f t="shared" ref="BT735:BV735" si="1677">IFERROR(-BT726/BT727,"n/a")</f>
        <v>100</v>
      </c>
      <c r="BU735" s="497">
        <f t="shared" si="1677"/>
        <v>100</v>
      </c>
      <c r="BV735" s="497">
        <f t="shared" si="1677"/>
        <v>100</v>
      </c>
      <c r="BW735" s="83"/>
    </row>
    <row r="736" spans="1:75" ht="15.75" customHeight="1" x14ac:dyDescent="0.2">
      <c r="A736" s="85"/>
      <c r="B736" s="85"/>
      <c r="C736" s="237"/>
      <c r="D736" s="237"/>
      <c r="E736" s="237"/>
      <c r="F736" s="237"/>
      <c r="G736" s="239"/>
      <c r="H736" s="239"/>
      <c r="I736" s="239"/>
      <c r="J736" s="239"/>
      <c r="K736" s="237"/>
      <c r="L736" s="239"/>
      <c r="M736" s="239"/>
      <c r="N736" s="239"/>
      <c r="O736" s="239"/>
      <c r="P736" s="237"/>
      <c r="Q736" s="239"/>
      <c r="R736" s="239"/>
      <c r="S736" s="239"/>
      <c r="T736" s="239"/>
      <c r="U736" s="237"/>
      <c r="V736" s="239"/>
      <c r="W736" s="239"/>
      <c r="X736" s="239"/>
      <c r="Y736" s="239"/>
      <c r="Z736" s="237"/>
      <c r="AA736" s="239"/>
      <c r="AB736" s="239"/>
      <c r="AC736" s="239"/>
      <c r="AD736" s="239"/>
      <c r="AE736" s="237"/>
      <c r="AF736" s="239"/>
      <c r="AG736" s="239"/>
      <c r="AH736" s="239"/>
      <c r="AI736" s="239"/>
      <c r="AJ736" s="237"/>
      <c r="AK736" s="239"/>
      <c r="AL736" s="239"/>
      <c r="AM736" s="239"/>
      <c r="AN736" s="239"/>
      <c r="AO736" s="237"/>
      <c r="AP736" s="239"/>
      <c r="AQ736" s="239"/>
      <c r="AR736" s="239"/>
      <c r="AS736" s="239"/>
      <c r="AT736" s="237"/>
      <c r="AU736" s="239"/>
      <c r="AV736" s="239"/>
      <c r="AW736" s="239"/>
      <c r="AX736" s="239"/>
      <c r="AY736" s="237"/>
      <c r="AZ736" s="239"/>
      <c r="BA736" s="239"/>
      <c r="BB736" s="239"/>
      <c r="BC736" s="239"/>
      <c r="BD736" s="237"/>
      <c r="BE736" s="239"/>
      <c r="BF736" s="239"/>
      <c r="BG736" s="239"/>
      <c r="BH736" s="239"/>
      <c r="BI736" s="259"/>
      <c r="BJ736" s="239"/>
      <c r="BK736" s="239"/>
      <c r="BL736" s="239"/>
      <c r="BM736" s="239"/>
      <c r="BN736" s="237"/>
      <c r="BO736" s="239"/>
      <c r="BP736" s="239"/>
      <c r="BQ736" s="239"/>
      <c r="BR736" s="239"/>
      <c r="BS736" s="237"/>
      <c r="BT736" s="237"/>
      <c r="BU736" s="237"/>
      <c r="BV736" s="237"/>
      <c r="BW736" s="83"/>
    </row>
    <row r="737" spans="1:75" ht="15.75" customHeight="1" x14ac:dyDescent="0.2">
      <c r="A737" s="108" t="s">
        <v>862</v>
      </c>
      <c r="B737" s="108"/>
      <c r="C737" s="494">
        <f t="shared" ref="C737:BV737" si="1678">C392</f>
        <v>75.183999999999997</v>
      </c>
      <c r="D737" s="494">
        <f t="shared" si="1678"/>
        <v>72.14</v>
      </c>
      <c r="E737" s="494">
        <f t="shared" si="1678"/>
        <v>71.957999999999998</v>
      </c>
      <c r="F737" s="494">
        <f t="shared" si="1678"/>
        <v>74.433000000000007</v>
      </c>
      <c r="G737" s="495">
        <f t="shared" si="1678"/>
        <v>19.23</v>
      </c>
      <c r="H737" s="495">
        <f t="shared" si="1678"/>
        <v>19.215</v>
      </c>
      <c r="I737" s="495">
        <f t="shared" si="1678"/>
        <v>19.661000000000001</v>
      </c>
      <c r="J737" s="495">
        <f t="shared" si="1678"/>
        <v>20.452000000000002</v>
      </c>
      <c r="K737" s="494">
        <f t="shared" si="1678"/>
        <v>78.558000000000007</v>
      </c>
      <c r="L737" s="495">
        <f t="shared" si="1678"/>
        <v>20.251000000000001</v>
      </c>
      <c r="M737" s="495">
        <f t="shared" si="1678"/>
        <v>20.533999999999999</v>
      </c>
      <c r="N737" s="495">
        <f t="shared" si="1678"/>
        <v>20.93</v>
      </c>
      <c r="O737" s="495">
        <f t="shared" si="1678"/>
        <v>21.12</v>
      </c>
      <c r="P737" s="494">
        <f t="shared" si="1678"/>
        <v>82.834999999999994</v>
      </c>
      <c r="Q737" s="495">
        <f t="shared" si="1678"/>
        <v>21.177</v>
      </c>
      <c r="R737" s="495">
        <f t="shared" si="1678"/>
        <v>21.158000000000001</v>
      </c>
      <c r="S737" s="495">
        <f t="shared" si="1678"/>
        <v>21.317</v>
      </c>
      <c r="T737" s="495">
        <f t="shared" si="1678"/>
        <v>21.911000000000001</v>
      </c>
      <c r="U737" s="494">
        <f t="shared" si="1678"/>
        <v>85.563000000000002</v>
      </c>
      <c r="V737" s="495">
        <f t="shared" si="1678"/>
        <v>21.463999999999999</v>
      </c>
      <c r="W737" s="495">
        <f t="shared" si="1678"/>
        <v>21.460999999999999</v>
      </c>
      <c r="X737" s="495">
        <f t="shared" si="1678"/>
        <v>21.634</v>
      </c>
      <c r="Y737" s="495">
        <f t="shared" si="1678"/>
        <v>23.451000000000001</v>
      </c>
      <c r="Z737" s="494">
        <f t="shared" si="1678"/>
        <v>88.01</v>
      </c>
      <c r="AA737" s="495">
        <f t="shared" si="1678"/>
        <v>23.196000000000002</v>
      </c>
      <c r="AB737" s="495">
        <f t="shared" si="1678"/>
        <v>23.297000000000001</v>
      </c>
      <c r="AC737" s="495">
        <f t="shared" si="1678"/>
        <v>22.998999999999999</v>
      </c>
      <c r="AD737" s="495">
        <f t="shared" si="1678"/>
        <v>23.236999999999998</v>
      </c>
      <c r="AE737" s="494">
        <f t="shared" si="1678"/>
        <v>92.728999999999999</v>
      </c>
      <c r="AF737" s="495">
        <f t="shared" si="1678"/>
        <v>24.001999999999999</v>
      </c>
      <c r="AG737" s="495">
        <f t="shared" si="1678"/>
        <v>23.727</v>
      </c>
      <c r="AH737" s="495">
        <f t="shared" si="1678"/>
        <v>24.09</v>
      </c>
      <c r="AI737" s="495">
        <f t="shared" si="1678"/>
        <v>24.157</v>
      </c>
      <c r="AJ737" s="494">
        <f t="shared" si="1678"/>
        <v>95.975999999999999</v>
      </c>
      <c r="AK737" s="495">
        <f t="shared" si="1678"/>
        <v>21.361999999999998</v>
      </c>
      <c r="AL737" s="495">
        <f t="shared" si="1678"/>
        <v>21.658999999999999</v>
      </c>
      <c r="AM737" s="495">
        <f t="shared" si="1678"/>
        <v>21.341999999999999</v>
      </c>
      <c r="AN737" s="495">
        <f t="shared" si="1678"/>
        <v>23.769999999999996</v>
      </c>
      <c r="AO737" s="494">
        <f t="shared" si="1678"/>
        <v>88.132999999999996</v>
      </c>
      <c r="AP737" s="495">
        <f t="shared" si="1678"/>
        <v>23.562000000000001</v>
      </c>
      <c r="AQ737" s="495">
        <f t="shared" si="1678"/>
        <v>22.59</v>
      </c>
      <c r="AR737" s="495">
        <f t="shared" si="1678"/>
        <v>22.651</v>
      </c>
      <c r="AS737" s="495">
        <f t="shared" si="1678"/>
        <v>22.612000000000009</v>
      </c>
      <c r="AT737" s="494">
        <f t="shared" si="1678"/>
        <v>91.415000000000006</v>
      </c>
      <c r="AU737" s="495">
        <f t="shared" si="1678"/>
        <v>22.006</v>
      </c>
      <c r="AV737" s="495">
        <f t="shared" si="1678"/>
        <v>22.222999999999999</v>
      </c>
      <c r="AW737" s="495">
        <f t="shared" si="1678"/>
        <v>22.576000000000001</v>
      </c>
      <c r="AX737" s="495">
        <f t="shared" si="1678"/>
        <v>22.84899999999999</v>
      </c>
      <c r="AY737" s="494">
        <f t="shared" si="1678"/>
        <v>89.653999999999996</v>
      </c>
      <c r="AZ737" s="495">
        <f t="shared" si="1678"/>
        <v>21.504999999999999</v>
      </c>
      <c r="BA737" s="495">
        <f t="shared" si="1678"/>
        <v>22.608000000000001</v>
      </c>
      <c r="BB737" s="495">
        <f t="shared" si="1678"/>
        <v>22.651</v>
      </c>
      <c r="BC737" s="495">
        <f t="shared" si="1678"/>
        <v>25.616</v>
      </c>
      <c r="BD737" s="494">
        <f t="shared" si="1678"/>
        <v>92.38</v>
      </c>
      <c r="BE737" s="495">
        <f t="shared" si="1678"/>
        <v>22.954999999999998</v>
      </c>
      <c r="BF737" s="495">
        <f t="shared" si="1678"/>
        <v>23.332000000000001</v>
      </c>
      <c r="BG737" s="495">
        <f t="shared" si="1678"/>
        <v>22.837</v>
      </c>
      <c r="BH737" s="495">
        <f t="shared" si="1678"/>
        <v>24.012</v>
      </c>
      <c r="BI737" s="496">
        <f t="shared" si="1678"/>
        <v>93.135999999999996</v>
      </c>
      <c r="BJ737" s="495">
        <f t="shared" si="1678"/>
        <v>25.350973750000001</v>
      </c>
      <c r="BK737" s="495">
        <f t="shared" si="1678"/>
        <v>25.970161198437495</v>
      </c>
      <c r="BL737" s="495">
        <f t="shared" si="1678"/>
        <v>26.647392400666011</v>
      </c>
      <c r="BM737" s="495">
        <f t="shared" si="1678"/>
        <v>27.303449068475683</v>
      </c>
      <c r="BN737" s="494">
        <f t="shared" si="1678"/>
        <v>105.2719764175792</v>
      </c>
      <c r="BO737" s="495">
        <f t="shared" si="1678"/>
        <v>27.938992933715486</v>
      </c>
      <c r="BP737" s="495">
        <f t="shared" si="1678"/>
        <v>28.477258799044961</v>
      </c>
      <c r="BQ737" s="495">
        <f t="shared" si="1678"/>
        <v>29.076097332596625</v>
      </c>
      <c r="BR737" s="495">
        <f t="shared" si="1678"/>
        <v>29.656211217297248</v>
      </c>
      <c r="BS737" s="494">
        <f t="shared" si="1678"/>
        <v>115.14856028265433</v>
      </c>
      <c r="BT737" s="494">
        <f t="shared" si="1678"/>
        <v>120.87274250314043</v>
      </c>
      <c r="BU737" s="494">
        <f t="shared" si="1678"/>
        <v>126.48692159434118</v>
      </c>
      <c r="BV737" s="494">
        <f t="shared" si="1678"/>
        <v>131.39834558010091</v>
      </c>
      <c r="BW737" s="83"/>
    </row>
    <row r="738" spans="1:75" ht="15.75" customHeight="1" x14ac:dyDescent="0.2">
      <c r="A738" s="108" t="s">
        <v>863</v>
      </c>
      <c r="B738" s="108"/>
      <c r="C738" s="494">
        <f t="shared" ref="C738:BV738" si="1679">-C499</f>
        <v>38.955000000000005</v>
      </c>
      <c r="D738" s="494">
        <f t="shared" si="1679"/>
        <v>43.667999999999999</v>
      </c>
      <c r="E738" s="494">
        <f t="shared" si="1679"/>
        <v>77.616</v>
      </c>
      <c r="F738" s="494">
        <f t="shared" si="1679"/>
        <v>88.153999999999996</v>
      </c>
      <c r="G738" s="495">
        <f t="shared" si="1679"/>
        <v>15.02</v>
      </c>
      <c r="H738" s="495">
        <f t="shared" si="1679"/>
        <v>23.308000000000003</v>
      </c>
      <c r="I738" s="495">
        <f t="shared" si="1679"/>
        <v>29.994999999999997</v>
      </c>
      <c r="J738" s="495">
        <f t="shared" si="1679"/>
        <v>39.620000000000005</v>
      </c>
      <c r="K738" s="494">
        <f t="shared" si="1679"/>
        <v>107.943</v>
      </c>
      <c r="L738" s="495">
        <f t="shared" si="1679"/>
        <v>30.439</v>
      </c>
      <c r="M738" s="495">
        <f t="shared" si="1679"/>
        <v>28.016999999999999</v>
      </c>
      <c r="N738" s="495">
        <f t="shared" si="1679"/>
        <v>30.886000000000003</v>
      </c>
      <c r="O738" s="495">
        <f t="shared" si="1679"/>
        <v>26.518999999999995</v>
      </c>
      <c r="P738" s="494">
        <f t="shared" si="1679"/>
        <v>115.861</v>
      </c>
      <c r="Q738" s="495">
        <f t="shared" si="1679"/>
        <v>24.698</v>
      </c>
      <c r="R738" s="495">
        <f t="shared" si="1679"/>
        <v>35.723000000000006</v>
      </c>
      <c r="S738" s="495">
        <f t="shared" si="1679"/>
        <v>49.448000000000008</v>
      </c>
      <c r="T738" s="495">
        <f t="shared" si="1679"/>
        <v>45.832000000000001</v>
      </c>
      <c r="U738" s="494">
        <f t="shared" si="1679"/>
        <v>155.70099999999999</v>
      </c>
      <c r="V738" s="495">
        <f t="shared" si="1679"/>
        <v>23.061</v>
      </c>
      <c r="W738" s="495">
        <f t="shared" si="1679"/>
        <v>18.070999999999998</v>
      </c>
      <c r="X738" s="495">
        <f t="shared" si="1679"/>
        <v>30.769000000000002</v>
      </c>
      <c r="Y738" s="495">
        <f t="shared" si="1679"/>
        <v>45.56</v>
      </c>
      <c r="Z738" s="494">
        <f t="shared" si="1679"/>
        <v>117.461</v>
      </c>
      <c r="AA738" s="495">
        <f t="shared" si="1679"/>
        <v>19.524999999999999</v>
      </c>
      <c r="AB738" s="495">
        <f t="shared" si="1679"/>
        <v>24.792999999999999</v>
      </c>
      <c r="AC738" s="495">
        <f t="shared" si="1679"/>
        <v>30.002000000000002</v>
      </c>
      <c r="AD738" s="495">
        <f t="shared" si="1679"/>
        <v>48.112999999999992</v>
      </c>
      <c r="AE738" s="494">
        <f t="shared" si="1679"/>
        <v>122.43299999999999</v>
      </c>
      <c r="AF738" s="495">
        <f t="shared" si="1679"/>
        <v>30.994999999999997</v>
      </c>
      <c r="AG738" s="495">
        <f t="shared" si="1679"/>
        <v>21.61</v>
      </c>
      <c r="AH738" s="495">
        <f t="shared" si="1679"/>
        <v>28.787999999999997</v>
      </c>
      <c r="AI738" s="495">
        <f t="shared" si="1679"/>
        <v>24.536000000000012</v>
      </c>
      <c r="AJ738" s="494">
        <f t="shared" si="1679"/>
        <v>105.929</v>
      </c>
      <c r="AK738" s="495">
        <f t="shared" si="1679"/>
        <v>13.447000000000001</v>
      </c>
      <c r="AL738" s="495">
        <f t="shared" si="1679"/>
        <v>16.121999999999996</v>
      </c>
      <c r="AM738" s="495">
        <f t="shared" si="1679"/>
        <v>17.486000000000001</v>
      </c>
      <c r="AN738" s="495">
        <f t="shared" si="1679"/>
        <v>28.810000000000002</v>
      </c>
      <c r="AO738" s="494">
        <f t="shared" si="1679"/>
        <v>75.864999999999995</v>
      </c>
      <c r="AP738" s="495">
        <f t="shared" si="1679"/>
        <v>15.903</v>
      </c>
      <c r="AQ738" s="495">
        <f t="shared" si="1679"/>
        <v>13.747999999999999</v>
      </c>
      <c r="AR738" s="495">
        <f t="shared" si="1679"/>
        <v>8.9840000000000035</v>
      </c>
      <c r="AS738" s="495">
        <f t="shared" si="1679"/>
        <v>12.278999999999998</v>
      </c>
      <c r="AT738" s="494">
        <f t="shared" si="1679"/>
        <v>50.914000000000001</v>
      </c>
      <c r="AU738" s="495">
        <f t="shared" si="1679"/>
        <v>7.7070000000000007</v>
      </c>
      <c r="AV738" s="495">
        <f t="shared" si="1679"/>
        <v>23.507000000000001</v>
      </c>
      <c r="AW738" s="495">
        <f t="shared" si="1679"/>
        <v>18.426000000000002</v>
      </c>
      <c r="AX738" s="495">
        <f t="shared" si="1679"/>
        <v>17.908999999999995</v>
      </c>
      <c r="AY738" s="494">
        <f t="shared" si="1679"/>
        <v>67.548999999999992</v>
      </c>
      <c r="AZ738" s="495">
        <f t="shared" si="1679"/>
        <v>29.231999999999999</v>
      </c>
      <c r="BA738" s="495">
        <f t="shared" si="1679"/>
        <v>17.431999999999999</v>
      </c>
      <c r="BB738" s="495">
        <f t="shared" si="1679"/>
        <v>31.878</v>
      </c>
      <c r="BC738" s="495">
        <f t="shared" si="1679"/>
        <v>34.602000000000004</v>
      </c>
      <c r="BD738" s="494">
        <f t="shared" si="1679"/>
        <v>113.14400000000001</v>
      </c>
      <c r="BE738" s="495">
        <f t="shared" si="1679"/>
        <v>38.144000000000005</v>
      </c>
      <c r="BF738" s="495">
        <f t="shared" si="1679"/>
        <v>24.907999999999994</v>
      </c>
      <c r="BG738" s="495">
        <f t="shared" si="1679"/>
        <v>37.438000000000002</v>
      </c>
      <c r="BH738" s="495">
        <f t="shared" si="1679"/>
        <v>52.732999999999997</v>
      </c>
      <c r="BI738" s="496">
        <f t="shared" si="1679"/>
        <v>153.22299999999998</v>
      </c>
      <c r="BJ738" s="495">
        <f t="shared" si="1679"/>
        <v>45</v>
      </c>
      <c r="BK738" s="495">
        <f t="shared" si="1679"/>
        <v>47.5</v>
      </c>
      <c r="BL738" s="495">
        <f t="shared" si="1679"/>
        <v>47.5</v>
      </c>
      <c r="BM738" s="495">
        <f t="shared" si="1679"/>
        <v>47.5</v>
      </c>
      <c r="BN738" s="494">
        <f t="shared" si="1679"/>
        <v>187.5</v>
      </c>
      <c r="BO738" s="495">
        <f t="shared" si="1679"/>
        <v>45</v>
      </c>
      <c r="BP738" s="495">
        <f t="shared" si="1679"/>
        <v>47.5</v>
      </c>
      <c r="BQ738" s="495">
        <f t="shared" si="1679"/>
        <v>47.5</v>
      </c>
      <c r="BR738" s="495">
        <f t="shared" si="1679"/>
        <v>47.5</v>
      </c>
      <c r="BS738" s="494">
        <f t="shared" si="1679"/>
        <v>187.5</v>
      </c>
      <c r="BT738" s="494">
        <f t="shared" si="1679"/>
        <v>165</v>
      </c>
      <c r="BU738" s="494">
        <f t="shared" si="1679"/>
        <v>165</v>
      </c>
      <c r="BV738" s="494">
        <f t="shared" si="1679"/>
        <v>165</v>
      </c>
      <c r="BW738" s="83"/>
    </row>
    <row r="739" spans="1:75" ht="15.75" customHeight="1" x14ac:dyDescent="0.2">
      <c r="A739" s="333" t="s">
        <v>864</v>
      </c>
      <c r="B739" s="333"/>
      <c r="C739" s="211"/>
      <c r="D739" s="211">
        <f t="shared" ref="D739:BI739" si="1680">IFERROR(D728/D738,"n/a")</f>
        <v>4.1701016762846939E-2</v>
      </c>
      <c r="E739" s="211">
        <f t="shared" si="1680"/>
        <v>1.1209029066171923E-2</v>
      </c>
      <c r="F739" s="211">
        <f t="shared" si="1680"/>
        <v>1.9420559475463395E-2</v>
      </c>
      <c r="G739" s="267">
        <f t="shared" si="1680"/>
        <v>2.9227696404793609E-2</v>
      </c>
      <c r="H739" s="267">
        <f t="shared" si="1680"/>
        <v>1.5960185344087868E-2</v>
      </c>
      <c r="I739" s="267">
        <f t="shared" si="1680"/>
        <v>1.3802300383397236E-2</v>
      </c>
      <c r="J739" s="267">
        <f t="shared" si="1680"/>
        <v>1.0827864714790504E-2</v>
      </c>
      <c r="K739" s="211">
        <f t="shared" si="1680"/>
        <v>1.5322901901929722E-2</v>
      </c>
      <c r="L739" s="267">
        <f t="shared" si="1680"/>
        <v>1.1137028154669996E-2</v>
      </c>
      <c r="M739" s="267">
        <f t="shared" si="1680"/>
        <v>1.0957632865760075E-2</v>
      </c>
      <c r="N739" s="267">
        <f t="shared" si="1680"/>
        <v>2.6646376999287704E-2</v>
      </c>
      <c r="O739" s="267">
        <f t="shared" si="1680"/>
        <v>1.5460613145292054E-2</v>
      </c>
      <c r="P739" s="211">
        <f t="shared" si="1680"/>
        <v>1.6217709151483243E-2</v>
      </c>
      <c r="Q739" s="267">
        <f t="shared" si="1680"/>
        <v>2.2147542311118311E-2</v>
      </c>
      <c r="R739" s="267">
        <f t="shared" si="1680"/>
        <v>1.1225261036307136E-2</v>
      </c>
      <c r="S739" s="267">
        <f t="shared" si="1680"/>
        <v>6.6332308687914584E-3</v>
      </c>
      <c r="T739" s="267">
        <f t="shared" si="1680"/>
        <v>1.0560307208936987E-2</v>
      </c>
      <c r="U739" s="211">
        <f t="shared" si="1680"/>
        <v>1.1303716739134623E-2</v>
      </c>
      <c r="V739" s="267">
        <f t="shared" si="1680"/>
        <v>2.6885217466718701E-2</v>
      </c>
      <c r="W739" s="267">
        <f t="shared" si="1680"/>
        <v>1.6822533340711644E-2</v>
      </c>
      <c r="X739" s="267">
        <f t="shared" si="1680"/>
        <v>1.2025090188176411E-2</v>
      </c>
      <c r="Y739" s="267">
        <f t="shared" si="1680"/>
        <v>7.5943810359964895E-3</v>
      </c>
      <c r="Z739" s="211">
        <f t="shared" si="1680"/>
        <v>1.3962081031150765E-2</v>
      </c>
      <c r="AA739" s="267">
        <f t="shared" si="1680"/>
        <v>1.5467349551856595E-2</v>
      </c>
      <c r="AB739" s="267">
        <f t="shared" si="1680"/>
        <v>1.2785866978582664E-2</v>
      </c>
      <c r="AC739" s="267">
        <f t="shared" si="1680"/>
        <v>9.4660355976268259E-3</v>
      </c>
      <c r="AD739" s="267">
        <f t="shared" si="1680"/>
        <v>1.5609086941159355E-2</v>
      </c>
      <c r="AE739" s="211">
        <f t="shared" si="1680"/>
        <v>1.3509429647235631E-2</v>
      </c>
      <c r="AF739" s="267">
        <f t="shared" si="1680"/>
        <v>9.9048233586062281E-3</v>
      </c>
      <c r="AG739" s="267">
        <f t="shared" si="1680"/>
        <v>1.9805645534474781E-2</v>
      </c>
      <c r="AH739" s="267">
        <f t="shared" si="1680"/>
        <v>6.7458663331943877E-2</v>
      </c>
      <c r="AI739" s="267">
        <f t="shared" si="1680"/>
        <v>1.39794587544832E-2</v>
      </c>
      <c r="AJ739" s="211">
        <f t="shared" si="1680"/>
        <v>2.8509662132182877E-2</v>
      </c>
      <c r="AK739" s="267">
        <f t="shared" si="1680"/>
        <v>7.1391388413772584E-3</v>
      </c>
      <c r="AL739" s="267">
        <f t="shared" si="1680"/>
        <v>6.3267584666914798E-3</v>
      </c>
      <c r="AM739" s="267">
        <f t="shared" si="1680"/>
        <v>8.8642342445384853E-3</v>
      </c>
      <c r="AN739" s="267">
        <f t="shared" si="1680"/>
        <v>6.0638667129468936E-2</v>
      </c>
      <c r="AO739" s="211">
        <f t="shared" si="1680"/>
        <v>2.7680748698345747E-2</v>
      </c>
      <c r="AP739" s="267">
        <f t="shared" si="1680"/>
        <v>8.0487958246871667E-3</v>
      </c>
      <c r="AQ739" s="267">
        <f t="shared" si="1680"/>
        <v>7.2010474250800123E-3</v>
      </c>
      <c r="AR739" s="267">
        <f t="shared" si="1680"/>
        <v>1.5360641139804088E-2</v>
      </c>
      <c r="AS739" s="267">
        <f t="shared" si="1680"/>
        <v>1.7916768466487501E-2</v>
      </c>
      <c r="AT739" s="211">
        <f t="shared" si="1680"/>
        <v>1.1489963467808461E-2</v>
      </c>
      <c r="AU739" s="267">
        <f t="shared" si="1680"/>
        <v>6.228104320747372E-2</v>
      </c>
      <c r="AV739" s="267">
        <f t="shared" si="1680"/>
        <v>-7.1468073339856202E-3</v>
      </c>
      <c r="AW739" s="267">
        <f t="shared" si="1680"/>
        <v>9.2260935634429584E-3</v>
      </c>
      <c r="AX739" s="267">
        <f t="shared" si="1680"/>
        <v>6.9238930146853558E-3</v>
      </c>
      <c r="AY739" s="211">
        <f t="shared" si="1680"/>
        <v>8.9712653037054592E-3</v>
      </c>
      <c r="AZ739" s="267">
        <f t="shared" si="1680"/>
        <v>4.755062944718118E-3</v>
      </c>
      <c r="BA739" s="267">
        <f t="shared" si="1680"/>
        <v>8.2033042680128478E-3</v>
      </c>
      <c r="BB739" s="267">
        <f t="shared" si="1680"/>
        <v>6.4935064935064939E-3</v>
      </c>
      <c r="BC739" s="267">
        <f t="shared" si="1680"/>
        <v>5.5199121438067175E-3</v>
      </c>
      <c r="BD739" s="211">
        <f t="shared" si="1680"/>
        <v>6.0100403026232064E-3</v>
      </c>
      <c r="BE739" s="267">
        <f t="shared" si="1680"/>
        <v>4.7713926174496636E-3</v>
      </c>
      <c r="BF739" s="267">
        <f t="shared" si="1680"/>
        <v>8.4310261763288936E-3</v>
      </c>
      <c r="BG739" s="267">
        <f t="shared" si="1680"/>
        <v>4.6743949997328895E-3</v>
      </c>
      <c r="BH739" s="267">
        <f t="shared" si="1680"/>
        <v>2.0689132042553997E-2</v>
      </c>
      <c r="BI739" s="212">
        <f t="shared" si="1680"/>
        <v>1.0820829770987386E-2</v>
      </c>
      <c r="BJ739" s="286">
        <v>0.01</v>
      </c>
      <c r="BK739" s="286">
        <v>0.01</v>
      </c>
      <c r="BL739" s="286">
        <v>0.01</v>
      </c>
      <c r="BM739" s="286">
        <v>0.01</v>
      </c>
      <c r="BN739" s="211">
        <f>AVERAGE(BJ739,BK739,BL739,BM739)</f>
        <v>0.01</v>
      </c>
      <c r="BO739" s="286">
        <v>0.01</v>
      </c>
      <c r="BP739" s="286">
        <v>0.01</v>
      </c>
      <c r="BQ739" s="286">
        <v>0.01</v>
      </c>
      <c r="BR739" s="286">
        <v>0.01</v>
      </c>
      <c r="BS739" s="211">
        <f>AVERAGE(BO739,BP739,BQ739,BR739)</f>
        <v>0.01</v>
      </c>
      <c r="BT739" s="210">
        <v>0.01</v>
      </c>
      <c r="BU739" s="210">
        <v>0.01</v>
      </c>
      <c r="BV739" s="210">
        <v>0.01</v>
      </c>
      <c r="BW739" s="83"/>
    </row>
    <row r="740" spans="1:75" ht="15.75" customHeight="1" x14ac:dyDescent="0.2">
      <c r="A740" s="85"/>
      <c r="B740" s="85"/>
      <c r="C740" s="237"/>
      <c r="D740" s="237"/>
      <c r="E740" s="237"/>
      <c r="F740" s="237"/>
      <c r="G740" s="239"/>
      <c r="H740" s="239"/>
      <c r="I740" s="239"/>
      <c r="J740" s="239"/>
      <c r="K740" s="237"/>
      <c r="L740" s="239"/>
      <c r="M740" s="239"/>
      <c r="N740" s="239"/>
      <c r="O740" s="239"/>
      <c r="P740" s="237"/>
      <c r="Q740" s="239"/>
      <c r="R740" s="239"/>
      <c r="S740" s="239"/>
      <c r="T740" s="239"/>
      <c r="U740" s="237"/>
      <c r="V740" s="239"/>
      <c r="W740" s="239"/>
      <c r="X740" s="239"/>
      <c r="Y740" s="239"/>
      <c r="Z740" s="237"/>
      <c r="AA740" s="239"/>
      <c r="AB740" s="239"/>
      <c r="AC740" s="239"/>
      <c r="AD740" s="239"/>
      <c r="AE740" s="237"/>
      <c r="AF740" s="239"/>
      <c r="AG740" s="239"/>
      <c r="AH740" s="239"/>
      <c r="AI740" s="239"/>
      <c r="AJ740" s="237"/>
      <c r="AK740" s="239"/>
      <c r="AL740" s="239"/>
      <c r="AM740" s="239"/>
      <c r="AN740" s="239"/>
      <c r="AO740" s="237"/>
      <c r="AP740" s="239"/>
      <c r="AQ740" s="239"/>
      <c r="AR740" s="239"/>
      <c r="AS740" s="239"/>
      <c r="AT740" s="237"/>
      <c r="AU740" s="239"/>
      <c r="AV740" s="239"/>
      <c r="AW740" s="239"/>
      <c r="AX740" s="239"/>
      <c r="AY740" s="237"/>
      <c r="AZ740" s="239"/>
      <c r="BA740" s="239"/>
      <c r="BB740" s="239"/>
      <c r="BC740" s="239"/>
      <c r="BD740" s="237"/>
      <c r="BE740" s="239"/>
      <c r="BF740" s="239"/>
      <c r="BG740" s="239"/>
      <c r="BH740" s="239"/>
      <c r="BI740" s="259"/>
      <c r="BJ740" s="239"/>
      <c r="BK740" s="239"/>
      <c r="BL740" s="239"/>
      <c r="BM740" s="239"/>
      <c r="BN740" s="237"/>
      <c r="BO740" s="239"/>
      <c r="BP740" s="239"/>
      <c r="BQ740" s="239"/>
      <c r="BR740" s="239"/>
      <c r="BS740" s="237"/>
      <c r="BT740" s="237"/>
      <c r="BU740" s="237"/>
      <c r="BV740" s="237"/>
      <c r="BW740" s="83"/>
    </row>
    <row r="741" spans="1:75" ht="15.75" customHeight="1" x14ac:dyDescent="0.2">
      <c r="A741" s="81" t="s">
        <v>865</v>
      </c>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2"/>
      <c r="BJ741" s="81"/>
      <c r="BK741" s="81"/>
      <c r="BL741" s="81"/>
      <c r="BM741" s="81"/>
      <c r="BN741" s="81"/>
      <c r="BO741" s="81"/>
      <c r="BP741" s="81"/>
      <c r="BQ741" s="81"/>
      <c r="BR741" s="81"/>
      <c r="BS741" s="81"/>
      <c r="BT741" s="81"/>
      <c r="BU741" s="81"/>
      <c r="BV741" s="81"/>
      <c r="BW741" s="83"/>
    </row>
    <row r="742" spans="1:75" ht="15.75" customHeight="1" x14ac:dyDescent="0.2">
      <c r="A742" s="229" t="s">
        <v>371</v>
      </c>
      <c r="B742" s="108"/>
      <c r="C742" s="109"/>
      <c r="D742" s="109"/>
      <c r="E742" s="109"/>
      <c r="F742" s="109"/>
      <c r="G742" s="110"/>
      <c r="H742" s="110"/>
      <c r="I742" s="110"/>
      <c r="J742" s="110"/>
      <c r="K742" s="109"/>
      <c r="L742" s="110"/>
      <c r="M742" s="110"/>
      <c r="N742" s="110"/>
      <c r="O742" s="110"/>
      <c r="P742" s="109"/>
      <c r="Q742" s="110"/>
      <c r="R742" s="110"/>
      <c r="S742" s="110"/>
      <c r="T742" s="110"/>
      <c r="U742" s="109"/>
      <c r="V742" s="110"/>
      <c r="W742" s="110"/>
      <c r="X742" s="110"/>
      <c r="Y742" s="110"/>
      <c r="Z742" s="109"/>
      <c r="AA742" s="110"/>
      <c r="AB742" s="110"/>
      <c r="AC742" s="110"/>
      <c r="AD742" s="110"/>
      <c r="AE742" s="109"/>
      <c r="AF742" s="110"/>
      <c r="AG742" s="110"/>
      <c r="AH742" s="110"/>
      <c r="AI742" s="110"/>
      <c r="AJ742" s="109"/>
      <c r="AK742" s="110"/>
      <c r="AL742" s="110"/>
      <c r="AM742" s="110"/>
      <c r="AN742" s="110"/>
      <c r="AO742" s="109"/>
      <c r="AP742" s="110"/>
      <c r="AQ742" s="110"/>
      <c r="AR742" s="110"/>
      <c r="AS742" s="110"/>
      <c r="AT742" s="109"/>
      <c r="AU742" s="110"/>
      <c r="AV742" s="110"/>
      <c r="AW742" s="110"/>
      <c r="AX742" s="110"/>
      <c r="AY742" s="109"/>
      <c r="AZ742" s="110"/>
      <c r="BA742" s="110"/>
      <c r="BB742" s="110"/>
      <c r="BC742" s="110"/>
      <c r="BD742" s="109"/>
      <c r="BE742" s="110"/>
      <c r="BF742" s="110"/>
      <c r="BG742" s="110"/>
      <c r="BH742" s="110"/>
      <c r="BI742" s="107"/>
      <c r="BJ742" s="110"/>
      <c r="BK742" s="110"/>
      <c r="BL742" s="110"/>
      <c r="BM742" s="110"/>
      <c r="BN742" s="109"/>
      <c r="BO742" s="110"/>
      <c r="BP742" s="110"/>
      <c r="BQ742" s="110"/>
      <c r="BR742" s="110"/>
      <c r="BS742" s="109"/>
      <c r="BT742" s="109"/>
      <c r="BU742" s="109"/>
      <c r="BV742" s="109"/>
      <c r="BW742" s="83"/>
    </row>
    <row r="743" spans="1:75" ht="15.75" customHeight="1" x14ac:dyDescent="0.2">
      <c r="A743" s="84" t="s">
        <v>372</v>
      </c>
      <c r="B743" s="85"/>
      <c r="C743" s="87">
        <v>73.715000000000003</v>
      </c>
      <c r="D743" s="87">
        <v>81.619</v>
      </c>
      <c r="E743" s="87">
        <v>48.210999999999999</v>
      </c>
      <c r="F743" s="87">
        <v>83.569000000000003</v>
      </c>
      <c r="G743" s="88">
        <v>87.14</v>
      </c>
      <c r="H743" s="88">
        <v>130.62299999999999</v>
      </c>
      <c r="I743" s="88">
        <v>82.625</v>
      </c>
      <c r="J743" s="4">
        <f t="shared" ref="J743:J745" si="1681">K743</f>
        <v>61.750999999999998</v>
      </c>
      <c r="K743" s="87">
        <v>61.750999999999998</v>
      </c>
      <c r="L743" s="88">
        <v>31.465</v>
      </c>
      <c r="M743" s="88">
        <v>25.577000000000002</v>
      </c>
      <c r="N743" s="88">
        <v>22.140999999999998</v>
      </c>
      <c r="O743" s="4">
        <f t="shared" ref="O743:O745" si="1682">P743</f>
        <v>58.018000000000001</v>
      </c>
      <c r="P743" s="87">
        <v>58.018000000000001</v>
      </c>
      <c r="Q743" s="88">
        <v>39.478000000000002</v>
      </c>
      <c r="R743" s="88">
        <v>61.548000000000002</v>
      </c>
      <c r="S743" s="88">
        <v>29.606999999999999</v>
      </c>
      <c r="T743" s="4">
        <f t="shared" ref="T743:T745" si="1683">U743</f>
        <v>43.853999999999999</v>
      </c>
      <c r="U743" s="87">
        <v>43.853999999999999</v>
      </c>
      <c r="V743" s="88">
        <v>53.921999999999997</v>
      </c>
      <c r="W743" s="88">
        <v>79.617999999999995</v>
      </c>
      <c r="X743" s="88">
        <v>65.844999999999999</v>
      </c>
      <c r="Y743" s="2">
        <f t="shared" ref="Y743:Y745" si="1684">Z743</f>
        <v>53.838999999999999</v>
      </c>
      <c r="Z743" s="87">
        <v>53.838999999999999</v>
      </c>
      <c r="AA743" s="88">
        <v>65.665999999999997</v>
      </c>
      <c r="AB743" s="88">
        <v>66.313999999999993</v>
      </c>
      <c r="AC743" s="88">
        <v>19.795000000000002</v>
      </c>
      <c r="AD743" s="4">
        <f t="shared" ref="AD743:AD745" si="1685">AE743</f>
        <v>6.008</v>
      </c>
      <c r="AE743" s="87">
        <v>6.008</v>
      </c>
      <c r="AF743" s="88">
        <v>24.800999999999998</v>
      </c>
      <c r="AG743" s="88">
        <v>29.369</v>
      </c>
      <c r="AH743" s="88">
        <v>12.638999999999999</v>
      </c>
      <c r="AI743" s="4">
        <f t="shared" ref="AI743:AI745" si="1686">AJ743</f>
        <v>26.577999999999999</v>
      </c>
      <c r="AJ743" s="87">
        <v>26.577999999999999</v>
      </c>
      <c r="AK743" s="88">
        <v>22.529</v>
      </c>
      <c r="AL743" s="88">
        <v>22.603999999999999</v>
      </c>
      <c r="AM743" s="88">
        <v>306.25200000000001</v>
      </c>
      <c r="AN743" s="2">
        <f t="shared" ref="AN743:AN745" si="1687">AO743</f>
        <v>58.416000000000004</v>
      </c>
      <c r="AO743" s="87">
        <v>58.416000000000004</v>
      </c>
      <c r="AP743" s="88">
        <v>81.022999999999996</v>
      </c>
      <c r="AQ743" s="88">
        <v>250.155</v>
      </c>
      <c r="AR743" s="88">
        <v>243.768</v>
      </c>
      <c r="AS743" s="2">
        <f>AT743</f>
        <v>154.08500000000001</v>
      </c>
      <c r="AT743" s="87">
        <v>154.08500000000001</v>
      </c>
      <c r="AU743" s="88">
        <v>181.345</v>
      </c>
      <c r="AV743" s="88">
        <v>161.768</v>
      </c>
      <c r="AW743" s="88">
        <v>131.03</v>
      </c>
      <c r="AX743" s="2">
        <f t="shared" ref="AX743:AX750" si="1688">AY743</f>
        <v>189.62700000000001</v>
      </c>
      <c r="AY743" s="87">
        <v>189.62700000000001</v>
      </c>
      <c r="AZ743" s="88">
        <v>183.55600000000001</v>
      </c>
      <c r="BA743" s="88">
        <v>194.89099999999999</v>
      </c>
      <c r="BB743" s="88">
        <v>133.15700000000001</v>
      </c>
      <c r="BC743" s="2">
        <f>BD743</f>
        <v>114.777</v>
      </c>
      <c r="BD743" s="87">
        <v>114.777</v>
      </c>
      <c r="BE743" s="88">
        <v>116.164</v>
      </c>
      <c r="BF743" s="88">
        <v>91.557000000000002</v>
      </c>
      <c r="BG743" s="88">
        <v>63.987000000000002</v>
      </c>
      <c r="BH743" s="2">
        <f>BI743</f>
        <v>56.29</v>
      </c>
      <c r="BI743" s="89">
        <v>56.29</v>
      </c>
      <c r="BJ743" s="2">
        <f t="shared" ref="BJ743:BM743" ca="1" si="1689">BI743+BJ696</f>
        <v>64.369069728483254</v>
      </c>
      <c r="BK743" s="2">
        <f t="shared" ca="1" si="1689"/>
        <v>77.760279443817467</v>
      </c>
      <c r="BL743" s="2">
        <f t="shared" ca="1" si="1689"/>
        <v>69.239170585756227</v>
      </c>
      <c r="BM743" s="2">
        <f t="shared" ca="1" si="1689"/>
        <v>115.14436708615423</v>
      </c>
      <c r="BN743" s="86">
        <f ca="1">BM743</f>
        <v>115.14436708615423</v>
      </c>
      <c r="BO743" s="2">
        <f t="shared" ref="BO743:BR743" ca="1" si="1690">BN743+BO696</f>
        <v>126.59134185101027</v>
      </c>
      <c r="BP743" s="2">
        <f t="shared" ca="1" si="1690"/>
        <v>141.34257137133562</v>
      </c>
      <c r="BQ743" s="2">
        <f t="shared" ca="1" si="1690"/>
        <v>136.9088215884326</v>
      </c>
      <c r="BR743" s="2">
        <f t="shared" ca="1" si="1690"/>
        <v>189.93726005508097</v>
      </c>
      <c r="BS743" s="86">
        <f ca="1">BR743</f>
        <v>189.93726005508097</v>
      </c>
      <c r="BT743" s="86">
        <f t="shared" ref="BT743:BV743" ca="1" si="1691">BS743+BT696</f>
        <v>299.69919659601459</v>
      </c>
      <c r="BU743" s="86">
        <f t="shared" ca="1" si="1691"/>
        <v>431.88753833179499</v>
      </c>
      <c r="BV743" s="86">
        <f t="shared" ca="1" si="1691"/>
        <v>594.1827733574263</v>
      </c>
      <c r="BW743" s="483"/>
    </row>
    <row r="744" spans="1:75" ht="15.75" hidden="1" customHeight="1" outlineLevel="1" x14ac:dyDescent="0.2">
      <c r="A744" s="84" t="s">
        <v>373</v>
      </c>
      <c r="B744" s="85"/>
      <c r="C744" s="87">
        <v>11.352</v>
      </c>
      <c r="D744" s="87">
        <v>16.184000000000001</v>
      </c>
      <c r="E744" s="87">
        <v>11.334</v>
      </c>
      <c r="F744" s="87">
        <v>14.558</v>
      </c>
      <c r="G744" s="88">
        <v>8.7870000000000008</v>
      </c>
      <c r="H744" s="88">
        <v>10.944000000000001</v>
      </c>
      <c r="I744" s="88">
        <v>11.164999999999999</v>
      </c>
      <c r="J744" s="4">
        <f t="shared" si="1681"/>
        <v>10.081</v>
      </c>
      <c r="K744" s="87">
        <v>10.081</v>
      </c>
      <c r="L744" s="88">
        <v>11.672000000000001</v>
      </c>
      <c r="M744" s="88">
        <v>9.1579999999999995</v>
      </c>
      <c r="N744" s="88">
        <v>11.013</v>
      </c>
      <c r="O744" s="4">
        <f t="shared" si="1682"/>
        <v>15.17</v>
      </c>
      <c r="P744" s="87">
        <v>15.17</v>
      </c>
      <c r="Q744" s="88">
        <v>12.643000000000001</v>
      </c>
      <c r="R744" s="88">
        <v>8.8109999999999999</v>
      </c>
      <c r="S744" s="88">
        <v>10.866</v>
      </c>
      <c r="T744" s="4">
        <f t="shared" si="1683"/>
        <v>14.159000000000001</v>
      </c>
      <c r="U744" s="87">
        <v>14.159000000000001</v>
      </c>
      <c r="V744" s="88">
        <v>13.079000000000001</v>
      </c>
      <c r="W744" s="88">
        <v>14.468</v>
      </c>
      <c r="X744" s="88">
        <v>13.95</v>
      </c>
      <c r="Y744" s="2">
        <f t="shared" si="1684"/>
        <v>15.632</v>
      </c>
      <c r="Z744" s="87">
        <v>15.632</v>
      </c>
      <c r="AA744" s="88">
        <v>12.46</v>
      </c>
      <c r="AB744" s="88">
        <v>14.073</v>
      </c>
      <c r="AC744" s="88">
        <v>13.195</v>
      </c>
      <c r="AD744" s="4">
        <f t="shared" si="1685"/>
        <v>19.864999999999998</v>
      </c>
      <c r="AE744" s="87">
        <v>19.864999999999998</v>
      </c>
      <c r="AF744" s="88">
        <v>16.347999999999999</v>
      </c>
      <c r="AG744" s="88">
        <v>17.806000000000001</v>
      </c>
      <c r="AH744" s="88">
        <v>15.984999999999999</v>
      </c>
      <c r="AI744" s="4">
        <f t="shared" si="1686"/>
        <v>20.928000000000001</v>
      </c>
      <c r="AJ744" s="87">
        <v>20.928000000000001</v>
      </c>
      <c r="AK744" s="88">
        <v>17.742000000000001</v>
      </c>
      <c r="AL744" s="88">
        <v>16.873999999999999</v>
      </c>
      <c r="AM744" s="88">
        <v>16.356000000000002</v>
      </c>
      <c r="AN744" s="2">
        <f t="shared" si="1687"/>
        <v>25.619</v>
      </c>
      <c r="AO744" s="87">
        <v>25.619</v>
      </c>
      <c r="AP744" s="88">
        <v>22.862000000000002</v>
      </c>
      <c r="AQ744" s="88">
        <v>22.931999999999999</v>
      </c>
      <c r="AR744" s="88">
        <v>26.265000000000001</v>
      </c>
      <c r="AS744" s="2"/>
      <c r="AT744" s="86"/>
      <c r="AU744" s="2"/>
      <c r="AV744" s="2"/>
      <c r="AW744" s="2"/>
      <c r="AX744" s="2">
        <f t="shared" si="1688"/>
        <v>0</v>
      </c>
      <c r="AY744" s="86"/>
      <c r="AZ744" s="2"/>
      <c r="BA744" s="2"/>
      <c r="BB744" s="2"/>
      <c r="BC744" s="2"/>
      <c r="BD744" s="86"/>
      <c r="BE744" s="2"/>
      <c r="BF744" s="2"/>
      <c r="BG744" s="2"/>
      <c r="BH744" s="2"/>
      <c r="BI744" s="90"/>
      <c r="BJ744" s="2"/>
      <c r="BK744" s="2"/>
      <c r="BL744" s="2"/>
      <c r="BM744" s="2"/>
      <c r="BN744" s="86"/>
      <c r="BO744" s="2"/>
      <c r="BP744" s="2"/>
      <c r="BQ744" s="2"/>
      <c r="BR744" s="2"/>
      <c r="BS744" s="86"/>
      <c r="BT744" s="86"/>
      <c r="BU744" s="86"/>
      <c r="BV744" s="86"/>
      <c r="BW744" s="483"/>
    </row>
    <row r="745" spans="1:75" ht="15.75" hidden="1" customHeight="1" outlineLevel="1" x14ac:dyDescent="0.2">
      <c r="A745" s="91" t="s">
        <v>374</v>
      </c>
      <c r="B745" s="92"/>
      <c r="C745" s="98">
        <v>27.475000000000001</v>
      </c>
      <c r="D745" s="98">
        <v>27.295999999999999</v>
      </c>
      <c r="E745" s="98">
        <v>32.095999999999997</v>
      </c>
      <c r="F745" s="98">
        <v>48.1</v>
      </c>
      <c r="G745" s="99">
        <v>26.015000000000001</v>
      </c>
      <c r="H745" s="99">
        <v>27.849</v>
      </c>
      <c r="I745" s="99">
        <v>30.335999999999999</v>
      </c>
      <c r="J745" s="95">
        <f t="shared" si="1681"/>
        <v>55.460999999999999</v>
      </c>
      <c r="K745" s="98">
        <v>55.460999999999999</v>
      </c>
      <c r="L745" s="99">
        <v>28.728000000000002</v>
      </c>
      <c r="M745" s="99">
        <v>31.504999999999999</v>
      </c>
      <c r="N745" s="99">
        <v>35.555</v>
      </c>
      <c r="O745" s="95">
        <f t="shared" si="1682"/>
        <v>62.326999999999998</v>
      </c>
      <c r="P745" s="98">
        <v>62.326999999999998</v>
      </c>
      <c r="Q745" s="99">
        <v>29.692</v>
      </c>
      <c r="R745" s="99">
        <v>33.412999999999997</v>
      </c>
      <c r="S745" s="99">
        <v>35.003999999999998</v>
      </c>
      <c r="T745" s="95">
        <f t="shared" si="1683"/>
        <v>72.658000000000001</v>
      </c>
      <c r="U745" s="98">
        <v>72.658000000000001</v>
      </c>
      <c r="V745" s="99">
        <v>30.588000000000001</v>
      </c>
      <c r="W745" s="99">
        <v>27.15</v>
      </c>
      <c r="X745" s="99">
        <v>30.765000000000001</v>
      </c>
      <c r="Y745" s="94">
        <f t="shared" si="1684"/>
        <v>64.591999999999999</v>
      </c>
      <c r="Z745" s="98">
        <v>64.591999999999999</v>
      </c>
      <c r="AA745" s="99">
        <v>32.328000000000003</v>
      </c>
      <c r="AB745" s="99">
        <v>34.741999999999997</v>
      </c>
      <c r="AC745" s="99">
        <v>33.896999999999998</v>
      </c>
      <c r="AD745" s="95">
        <f t="shared" si="1685"/>
        <v>67.518000000000001</v>
      </c>
      <c r="AE745" s="98">
        <v>67.518000000000001</v>
      </c>
      <c r="AF745" s="99">
        <v>26.376000000000001</v>
      </c>
      <c r="AG745" s="99">
        <v>31.815000000000001</v>
      </c>
      <c r="AH745" s="99">
        <v>34.915999999999997</v>
      </c>
      <c r="AI745" s="95">
        <f t="shared" si="1686"/>
        <v>68.192999999999998</v>
      </c>
      <c r="AJ745" s="98">
        <v>68.192999999999998</v>
      </c>
      <c r="AK745" s="99">
        <v>28.446000000000002</v>
      </c>
      <c r="AL745" s="99">
        <v>30.797000000000001</v>
      </c>
      <c r="AM745" s="99">
        <v>31.445</v>
      </c>
      <c r="AN745" s="94">
        <f t="shared" si="1687"/>
        <v>64.683000000000007</v>
      </c>
      <c r="AO745" s="98">
        <v>64.683000000000007</v>
      </c>
      <c r="AP745" s="99">
        <v>27.283000000000001</v>
      </c>
      <c r="AQ745" s="99">
        <v>25.652000000000001</v>
      </c>
      <c r="AR745" s="99">
        <v>25.468</v>
      </c>
      <c r="AS745" s="94"/>
      <c r="AT745" s="93"/>
      <c r="AU745" s="94"/>
      <c r="AV745" s="94"/>
      <c r="AW745" s="94"/>
      <c r="AX745" s="94">
        <f t="shared" si="1688"/>
        <v>0</v>
      </c>
      <c r="AY745" s="93"/>
      <c r="AZ745" s="94"/>
      <c r="BA745" s="94"/>
      <c r="BB745" s="94"/>
      <c r="BC745" s="94"/>
      <c r="BD745" s="93"/>
      <c r="BE745" s="94"/>
      <c r="BF745" s="94"/>
      <c r="BG745" s="94"/>
      <c r="BH745" s="94"/>
      <c r="BI745" s="97"/>
      <c r="BJ745" s="94"/>
      <c r="BK745" s="94"/>
      <c r="BL745" s="94"/>
      <c r="BM745" s="94"/>
      <c r="BN745" s="93"/>
      <c r="BO745" s="94"/>
      <c r="BP745" s="94"/>
      <c r="BQ745" s="94"/>
      <c r="BR745" s="94"/>
      <c r="BS745" s="93"/>
      <c r="BT745" s="93"/>
      <c r="BU745" s="93"/>
      <c r="BV745" s="93"/>
      <c r="BW745" s="483"/>
    </row>
    <row r="746" spans="1:75" ht="15.75" customHeight="1" collapsed="1" x14ac:dyDescent="0.2">
      <c r="A746" s="84" t="s">
        <v>375</v>
      </c>
      <c r="B746" s="85"/>
      <c r="C746" s="111">
        <f t="shared" ref="C746:AR746" si="1692">C744+C745</f>
        <v>38.826999999999998</v>
      </c>
      <c r="D746" s="111">
        <f t="shared" si="1692"/>
        <v>43.480000000000004</v>
      </c>
      <c r="E746" s="111">
        <f t="shared" si="1692"/>
        <v>43.429999999999993</v>
      </c>
      <c r="F746" s="111">
        <f t="shared" si="1692"/>
        <v>62.658000000000001</v>
      </c>
      <c r="G746" s="4">
        <f t="shared" si="1692"/>
        <v>34.802</v>
      </c>
      <c r="H746" s="4">
        <f t="shared" si="1692"/>
        <v>38.792999999999999</v>
      </c>
      <c r="I746" s="4">
        <f t="shared" si="1692"/>
        <v>41.500999999999998</v>
      </c>
      <c r="J746" s="4">
        <f t="shared" si="1692"/>
        <v>65.542000000000002</v>
      </c>
      <c r="K746" s="111">
        <f t="shared" si="1692"/>
        <v>65.542000000000002</v>
      </c>
      <c r="L746" s="4">
        <f t="shared" si="1692"/>
        <v>40.400000000000006</v>
      </c>
      <c r="M746" s="4">
        <f t="shared" si="1692"/>
        <v>40.662999999999997</v>
      </c>
      <c r="N746" s="4">
        <f t="shared" si="1692"/>
        <v>46.567999999999998</v>
      </c>
      <c r="O746" s="4">
        <f t="shared" si="1692"/>
        <v>77.497</v>
      </c>
      <c r="P746" s="111">
        <f t="shared" si="1692"/>
        <v>77.497</v>
      </c>
      <c r="Q746" s="4">
        <f t="shared" si="1692"/>
        <v>42.335000000000001</v>
      </c>
      <c r="R746" s="4">
        <f t="shared" si="1692"/>
        <v>42.223999999999997</v>
      </c>
      <c r="S746" s="4">
        <f t="shared" si="1692"/>
        <v>45.87</v>
      </c>
      <c r="T746" s="4">
        <f t="shared" si="1692"/>
        <v>86.817000000000007</v>
      </c>
      <c r="U746" s="111">
        <f t="shared" si="1692"/>
        <v>86.817000000000007</v>
      </c>
      <c r="V746" s="4">
        <f t="shared" si="1692"/>
        <v>43.667000000000002</v>
      </c>
      <c r="W746" s="4">
        <f t="shared" si="1692"/>
        <v>41.617999999999995</v>
      </c>
      <c r="X746" s="4">
        <f t="shared" si="1692"/>
        <v>44.715000000000003</v>
      </c>
      <c r="Y746" s="2">
        <f t="shared" si="1692"/>
        <v>80.224000000000004</v>
      </c>
      <c r="Z746" s="86">
        <f t="shared" si="1692"/>
        <v>80.224000000000004</v>
      </c>
      <c r="AA746" s="4">
        <f t="shared" si="1692"/>
        <v>44.788000000000004</v>
      </c>
      <c r="AB746" s="4">
        <f t="shared" si="1692"/>
        <v>48.814999999999998</v>
      </c>
      <c r="AC746" s="4">
        <f t="shared" si="1692"/>
        <v>47.091999999999999</v>
      </c>
      <c r="AD746" s="4">
        <f t="shared" si="1692"/>
        <v>87.382999999999996</v>
      </c>
      <c r="AE746" s="86">
        <f t="shared" si="1692"/>
        <v>87.382999999999996</v>
      </c>
      <c r="AF746" s="4">
        <f t="shared" si="1692"/>
        <v>42.724000000000004</v>
      </c>
      <c r="AG746" s="4">
        <f t="shared" si="1692"/>
        <v>49.621000000000002</v>
      </c>
      <c r="AH746" s="4">
        <f t="shared" si="1692"/>
        <v>50.900999999999996</v>
      </c>
      <c r="AI746" s="4">
        <f t="shared" si="1692"/>
        <v>89.120999999999995</v>
      </c>
      <c r="AJ746" s="86">
        <f t="shared" si="1692"/>
        <v>89.120999999999995</v>
      </c>
      <c r="AK746" s="2">
        <f t="shared" si="1692"/>
        <v>46.188000000000002</v>
      </c>
      <c r="AL746" s="2">
        <f t="shared" si="1692"/>
        <v>47.670999999999999</v>
      </c>
      <c r="AM746" s="2">
        <f t="shared" si="1692"/>
        <v>47.801000000000002</v>
      </c>
      <c r="AN746" s="2">
        <f t="shared" si="1692"/>
        <v>90.302000000000007</v>
      </c>
      <c r="AO746" s="111">
        <f t="shared" si="1692"/>
        <v>90.302000000000007</v>
      </c>
      <c r="AP746" s="2">
        <f t="shared" si="1692"/>
        <v>50.145000000000003</v>
      </c>
      <c r="AQ746" s="2">
        <f t="shared" si="1692"/>
        <v>48.584000000000003</v>
      </c>
      <c r="AR746" s="2">
        <f t="shared" si="1692"/>
        <v>51.733000000000004</v>
      </c>
      <c r="AS746" s="2">
        <f t="shared" ref="AS746:AS749" si="1693">AT746</f>
        <v>75.787000000000006</v>
      </c>
      <c r="AT746" s="87">
        <v>75.787000000000006</v>
      </c>
      <c r="AU746" s="88">
        <v>57.814999999999998</v>
      </c>
      <c r="AV746" s="88">
        <v>57.933999999999997</v>
      </c>
      <c r="AW746" s="88">
        <v>66.662999999999997</v>
      </c>
      <c r="AX746" s="2">
        <f t="shared" si="1688"/>
        <v>100.504</v>
      </c>
      <c r="AY746" s="87">
        <v>100.504</v>
      </c>
      <c r="AZ746" s="88">
        <v>66.450999999999993</v>
      </c>
      <c r="BA746" s="88">
        <v>71.337999999999994</v>
      </c>
      <c r="BB746" s="88">
        <v>67.661000000000001</v>
      </c>
      <c r="BC746" s="2">
        <f t="shared" ref="BC746:BC750" si="1694">BD746</f>
        <v>105.511</v>
      </c>
      <c r="BD746" s="87">
        <v>105.511</v>
      </c>
      <c r="BE746" s="88">
        <v>68.456000000000003</v>
      </c>
      <c r="BF746" s="88">
        <v>71.366</v>
      </c>
      <c r="BG746" s="88">
        <v>70.236000000000004</v>
      </c>
      <c r="BH746" s="2">
        <f t="shared" ref="BH746:BH750" si="1695">BI746</f>
        <v>103.09399999999999</v>
      </c>
      <c r="BI746" s="89">
        <v>103.09399999999999</v>
      </c>
      <c r="BJ746" s="2">
        <f>(BJ$382+BH$382+BG$382+BF$382)*BJ707</f>
        <v>70.569847308020712</v>
      </c>
      <c r="BK746" s="2">
        <f>(BK$382+BJ$382+BH$382+BG$382)*BK707</f>
        <v>74.10218748851922</v>
      </c>
      <c r="BL746" s="2">
        <f>(BL$382+BK$382+BJ$382+BH$382)*BL707</f>
        <v>73.134192652620158</v>
      </c>
      <c r="BM746" s="2">
        <f>(BM$382+BL$382+BK$382+BJ$382)*BM707</f>
        <v>109.66688404975687</v>
      </c>
      <c r="BN746" s="86">
        <f>BM746</f>
        <v>109.66688404975687</v>
      </c>
      <c r="BO746" s="2">
        <f>(BO$382+BM$382+BL$382+BK$382)*BO707</f>
        <v>75.128114409428576</v>
      </c>
      <c r="BP746" s="2">
        <f>(BP$382+BO$382+BM$382+BL$382)*BP707</f>
        <v>78.50594417751077</v>
      </c>
      <c r="BQ746" s="2">
        <f>(BQ$382+BP$382+BO$382+BM$382)*BQ707</f>
        <v>77.132947316838553</v>
      </c>
      <c r="BR746" s="2">
        <f>(BR$382+BQ$382+BP$382+BO$382)*BR707</f>
        <v>115.19779729449519</v>
      </c>
      <c r="BS746" s="86">
        <f>BR746</f>
        <v>115.19779729449519</v>
      </c>
      <c r="BT746" s="86">
        <f t="shared" ref="BT746:BV746" si="1696">BT$382*BT707</f>
        <v>124.00330748248071</v>
      </c>
      <c r="BU746" s="86">
        <f t="shared" si="1696"/>
        <v>133.75060153182264</v>
      </c>
      <c r="BV746" s="86">
        <f t="shared" si="1696"/>
        <v>146.17363449800396</v>
      </c>
      <c r="BW746" s="483"/>
    </row>
    <row r="747" spans="1:75" ht="15.75" customHeight="1" x14ac:dyDescent="0.2">
      <c r="A747" s="84" t="s">
        <v>376</v>
      </c>
      <c r="B747" s="85"/>
      <c r="C747" s="87">
        <v>1.875</v>
      </c>
      <c r="D747" s="87">
        <v>3.84</v>
      </c>
      <c r="E747" s="87">
        <v>5.4720000000000004</v>
      </c>
      <c r="F747" s="86"/>
      <c r="G747" s="2"/>
      <c r="H747" s="88">
        <v>1.897</v>
      </c>
      <c r="I747" s="88">
        <v>2.4159999999999999</v>
      </c>
      <c r="J747" s="4">
        <f t="shared" ref="J747:J750" si="1697">K747</f>
        <v>4.5289999999999999</v>
      </c>
      <c r="K747" s="87">
        <v>4.5289999999999999</v>
      </c>
      <c r="L747" s="88">
        <v>1.093</v>
      </c>
      <c r="M747" s="88">
        <v>2.7669999999999999</v>
      </c>
      <c r="N747" s="88">
        <v>11.539</v>
      </c>
      <c r="O747" s="4">
        <f t="shared" ref="O747:O750" si="1698">P747</f>
        <v>17.382999999999999</v>
      </c>
      <c r="P747" s="87">
        <v>17.382999999999999</v>
      </c>
      <c r="Q747" s="88">
        <v>12.782999999999999</v>
      </c>
      <c r="R747" s="88">
        <v>5.9169999999999998</v>
      </c>
      <c r="S747" s="88">
        <v>16.030999999999999</v>
      </c>
      <c r="T747" s="4">
        <f t="shared" ref="T747:T750" si="1699">U747</f>
        <v>18.739000000000001</v>
      </c>
      <c r="U747" s="87">
        <v>18.739000000000001</v>
      </c>
      <c r="V747" s="88">
        <v>16.021000000000001</v>
      </c>
      <c r="W747" s="88">
        <v>4.3410000000000002</v>
      </c>
      <c r="X747" s="88">
        <v>0.45900000000000002</v>
      </c>
      <c r="Y747" s="2">
        <f t="shared" ref="Y747:Y750" si="1700">Z747</f>
        <v>0</v>
      </c>
      <c r="Z747" s="86"/>
      <c r="AA747" s="2"/>
      <c r="AB747" s="88">
        <v>4.1980000000000004</v>
      </c>
      <c r="AC747" s="88">
        <v>5.0380000000000003</v>
      </c>
      <c r="AD747" s="4">
        <f t="shared" ref="AD747:AD750" si="1701">AE747</f>
        <v>15.016</v>
      </c>
      <c r="AE747" s="87">
        <v>15.016</v>
      </c>
      <c r="AF747" s="88">
        <v>1.3480000000000001</v>
      </c>
      <c r="AG747" s="88">
        <v>2.4329999999999998</v>
      </c>
      <c r="AH747" s="88">
        <v>3.1850000000000001</v>
      </c>
      <c r="AI747" s="4">
        <f t="shared" ref="AI747:AI749" si="1702">AJ747</f>
        <v>0</v>
      </c>
      <c r="AJ747" s="87">
        <v>0</v>
      </c>
      <c r="AK747" s="2"/>
      <c r="AL747" s="88">
        <v>2.3820000000000001</v>
      </c>
      <c r="AM747" s="88">
        <v>8.4149999999999991</v>
      </c>
      <c r="AN747" s="2">
        <f t="shared" ref="AN747:AN749" si="1703">AO747</f>
        <v>4.6260000000000003</v>
      </c>
      <c r="AO747" s="87">
        <v>4.6260000000000003</v>
      </c>
      <c r="AP747" s="88">
        <v>49.179000000000002</v>
      </c>
      <c r="AQ747" s="88">
        <v>79.013000000000005</v>
      </c>
      <c r="AR747" s="88">
        <v>45.603000000000002</v>
      </c>
      <c r="AS747" s="2">
        <f t="shared" si="1693"/>
        <v>36.889000000000003</v>
      </c>
      <c r="AT747" s="87">
        <v>36.889000000000003</v>
      </c>
      <c r="AU747" s="88">
        <v>34.972999999999999</v>
      </c>
      <c r="AV747" s="88">
        <v>34.655000000000001</v>
      </c>
      <c r="AW747" s="88">
        <v>39.51</v>
      </c>
      <c r="AX747" s="2">
        <f t="shared" si="1688"/>
        <v>36.173000000000002</v>
      </c>
      <c r="AY747" s="87">
        <v>36.173000000000002</v>
      </c>
      <c r="AZ747" s="88">
        <v>36.893000000000001</v>
      </c>
      <c r="BA747" s="88">
        <v>39.790999999999997</v>
      </c>
      <c r="BB747" s="88">
        <v>23.692</v>
      </c>
      <c r="BC747" s="2">
        <f t="shared" si="1694"/>
        <v>21.521999999999998</v>
      </c>
      <c r="BD747" s="87">
        <v>21.521999999999998</v>
      </c>
      <c r="BE747" s="88">
        <v>21.64</v>
      </c>
      <c r="BF747" s="88">
        <v>22.739000000000001</v>
      </c>
      <c r="BG747" s="88">
        <v>23.922999999999998</v>
      </c>
      <c r="BH747" s="2">
        <f t="shared" si="1695"/>
        <v>20.67</v>
      </c>
      <c r="BI747" s="89">
        <v>20.67</v>
      </c>
      <c r="BJ747" s="2">
        <f t="shared" ref="BJ747:BV747" si="1704">BI747</f>
        <v>20.67</v>
      </c>
      <c r="BK747" s="2">
        <f t="shared" si="1704"/>
        <v>20.67</v>
      </c>
      <c r="BL747" s="2">
        <f t="shared" si="1704"/>
        <v>20.67</v>
      </c>
      <c r="BM747" s="2">
        <f t="shared" si="1704"/>
        <v>20.67</v>
      </c>
      <c r="BN747" s="86">
        <f t="shared" si="1704"/>
        <v>20.67</v>
      </c>
      <c r="BO747" s="2">
        <f t="shared" si="1704"/>
        <v>20.67</v>
      </c>
      <c r="BP747" s="2">
        <f t="shared" si="1704"/>
        <v>20.67</v>
      </c>
      <c r="BQ747" s="2">
        <f t="shared" si="1704"/>
        <v>20.67</v>
      </c>
      <c r="BR747" s="2">
        <f t="shared" si="1704"/>
        <v>20.67</v>
      </c>
      <c r="BS747" s="86">
        <f t="shared" si="1704"/>
        <v>20.67</v>
      </c>
      <c r="BT747" s="86">
        <f t="shared" si="1704"/>
        <v>20.67</v>
      </c>
      <c r="BU747" s="86">
        <f t="shared" si="1704"/>
        <v>20.67</v>
      </c>
      <c r="BV747" s="86">
        <f t="shared" si="1704"/>
        <v>20.67</v>
      </c>
      <c r="BW747" s="483"/>
    </row>
    <row r="748" spans="1:75" ht="15.75" customHeight="1" x14ac:dyDescent="0.2">
      <c r="A748" s="84" t="s">
        <v>377</v>
      </c>
      <c r="B748" s="85"/>
      <c r="C748" s="87">
        <v>22.202000000000002</v>
      </c>
      <c r="D748" s="87">
        <v>23.036000000000001</v>
      </c>
      <c r="E748" s="87">
        <v>28.21</v>
      </c>
      <c r="F748" s="87">
        <v>28.835999999999999</v>
      </c>
      <c r="G748" s="88">
        <v>33.837000000000003</v>
      </c>
      <c r="H748" s="88">
        <v>35.69</v>
      </c>
      <c r="I748" s="88">
        <v>37.045999999999999</v>
      </c>
      <c r="J748" s="4">
        <f t="shared" si="1697"/>
        <v>35.478000000000002</v>
      </c>
      <c r="K748" s="87">
        <v>35.478000000000002</v>
      </c>
      <c r="L748" s="88">
        <v>34.655000000000001</v>
      </c>
      <c r="M748" s="88">
        <v>36.378999999999998</v>
      </c>
      <c r="N748" s="88">
        <v>37.165999999999997</v>
      </c>
      <c r="O748" s="4">
        <f t="shared" si="1698"/>
        <v>33.255000000000003</v>
      </c>
      <c r="P748" s="87">
        <v>33.255000000000003</v>
      </c>
      <c r="Q748" s="88">
        <v>32.524999999999999</v>
      </c>
      <c r="R748" s="88">
        <v>36.466000000000001</v>
      </c>
      <c r="S748" s="88">
        <v>36.741999999999997</v>
      </c>
      <c r="T748" s="4">
        <f t="shared" si="1699"/>
        <v>34.01</v>
      </c>
      <c r="U748" s="87">
        <v>34.01</v>
      </c>
      <c r="V748" s="88">
        <v>35.542999999999999</v>
      </c>
      <c r="W748" s="88">
        <v>34.570999999999998</v>
      </c>
      <c r="X748" s="88">
        <v>35.540999999999997</v>
      </c>
      <c r="Y748" s="2">
        <f t="shared" si="1700"/>
        <v>34.926000000000002</v>
      </c>
      <c r="Z748" s="87">
        <v>34.926000000000002</v>
      </c>
      <c r="AA748" s="88">
        <v>38.540999999999997</v>
      </c>
      <c r="AB748" s="88">
        <v>40.246000000000002</v>
      </c>
      <c r="AC748" s="88">
        <v>44.195</v>
      </c>
      <c r="AD748" s="4">
        <f t="shared" si="1701"/>
        <v>42.56</v>
      </c>
      <c r="AE748" s="87">
        <v>42.56</v>
      </c>
      <c r="AF748" s="88">
        <v>40.959000000000003</v>
      </c>
      <c r="AG748" s="88">
        <v>34.691000000000003</v>
      </c>
      <c r="AH748" s="88">
        <v>39.768999999999998</v>
      </c>
      <c r="AI748" s="4">
        <f t="shared" si="1702"/>
        <v>38.886000000000003</v>
      </c>
      <c r="AJ748" s="87">
        <v>38.886000000000003</v>
      </c>
      <c r="AK748" s="88">
        <v>42.027999999999999</v>
      </c>
      <c r="AL748" s="88">
        <v>46.011000000000003</v>
      </c>
      <c r="AM748" s="88">
        <v>47.777999999999999</v>
      </c>
      <c r="AN748" s="2">
        <f t="shared" si="1703"/>
        <v>47.225000000000001</v>
      </c>
      <c r="AO748" s="87">
        <v>47.225000000000001</v>
      </c>
      <c r="AP748" s="88">
        <v>47.822000000000003</v>
      </c>
      <c r="AQ748" s="88">
        <v>40.511000000000003</v>
      </c>
      <c r="AR748" s="88">
        <v>37.726999999999997</v>
      </c>
      <c r="AS748" s="2">
        <f t="shared" si="1693"/>
        <v>39.287999999999997</v>
      </c>
      <c r="AT748" s="87">
        <v>39.287999999999997</v>
      </c>
      <c r="AU748" s="88">
        <v>38.954999999999998</v>
      </c>
      <c r="AV748" s="88">
        <v>41.868000000000002</v>
      </c>
      <c r="AW748" s="88">
        <v>43.27</v>
      </c>
      <c r="AX748" s="2">
        <f t="shared" si="1688"/>
        <v>42.838999999999999</v>
      </c>
      <c r="AY748" s="87">
        <v>42.838999999999999</v>
      </c>
      <c r="AZ748" s="88">
        <v>46.68</v>
      </c>
      <c r="BA748" s="88">
        <v>52.286000000000001</v>
      </c>
      <c r="BB748" s="88">
        <v>62.274999999999999</v>
      </c>
      <c r="BC748" s="2">
        <f t="shared" si="1694"/>
        <v>55.558999999999997</v>
      </c>
      <c r="BD748" s="87">
        <v>55.558999999999997</v>
      </c>
      <c r="BE748" s="88">
        <v>58.988999999999997</v>
      </c>
      <c r="BF748" s="88">
        <v>60.868000000000002</v>
      </c>
      <c r="BG748" s="88">
        <v>58.671999999999997</v>
      </c>
      <c r="BH748" s="2">
        <f t="shared" si="1695"/>
        <v>57.654000000000003</v>
      </c>
      <c r="BI748" s="89">
        <v>57.654000000000003</v>
      </c>
      <c r="BJ748" s="2">
        <f>(BJ$382+BH$382+BG$382+BF$382)*BJ708</f>
        <v>60.810516577843195</v>
      </c>
      <c r="BK748" s="2">
        <f>(BK$382+BJ$382+BH$382+BG$382)*BK708</f>
        <v>63.201691954869112</v>
      </c>
      <c r="BL748" s="2">
        <f>(BL$382+BK$382+BJ$382+BH$382)*BL708</f>
        <v>61.093019979989315</v>
      </c>
      <c r="BM748" s="2">
        <f>(BM$382+BL$382+BK$382+BJ$382)*BM708</f>
        <v>61.329801278490351</v>
      </c>
      <c r="BN748" s="86">
        <f>BM748</f>
        <v>61.329801278490351</v>
      </c>
      <c r="BO748" s="2">
        <f>(BO$382+BM$382+BL$382+BK$382)*BO708</f>
        <v>64.738406288678604</v>
      </c>
      <c r="BP748" s="2">
        <f>(BP$382+BO$382+BM$382+BL$382)*BP708</f>
        <v>66.957652246121768</v>
      </c>
      <c r="BQ748" s="2">
        <f>(BQ$382+BP$382+BO$382+BM$382)*BQ708</f>
        <v>64.433400036641487</v>
      </c>
      <c r="BR748" s="2">
        <f>(BR$382+BQ$382+BP$382+BO$382)*BR708</f>
        <v>64.422893720457324</v>
      </c>
      <c r="BS748" s="86">
        <f>BR748</f>
        <v>64.422893720457324</v>
      </c>
      <c r="BT748" s="86">
        <f t="shared" ref="BT748:BV748" si="1705">BT382*BT708</f>
        <v>69.34726259137237</v>
      </c>
      <c r="BU748" s="86">
        <f t="shared" si="1705"/>
        <v>74.798312032860338</v>
      </c>
      <c r="BV748" s="86">
        <f t="shared" si="1705"/>
        <v>81.745734216811087</v>
      </c>
      <c r="BW748" s="483"/>
    </row>
    <row r="749" spans="1:75" ht="15.75" customHeight="1" x14ac:dyDescent="0.2">
      <c r="A749" s="84" t="s">
        <v>378</v>
      </c>
      <c r="B749" s="85"/>
      <c r="C749" s="87">
        <v>27.870999999999999</v>
      </c>
      <c r="D749" s="87">
        <v>28.344999999999999</v>
      </c>
      <c r="E749" s="87">
        <v>36.497999999999998</v>
      </c>
      <c r="F749" s="87">
        <v>39.887</v>
      </c>
      <c r="G749" s="88">
        <v>38.756</v>
      </c>
      <c r="H749" s="88">
        <v>38.122</v>
      </c>
      <c r="I749" s="88">
        <v>35.926000000000002</v>
      </c>
      <c r="J749" s="4">
        <f t="shared" si="1697"/>
        <v>42.594999999999999</v>
      </c>
      <c r="K749" s="87">
        <v>42.594999999999999</v>
      </c>
      <c r="L749" s="88">
        <v>42.893999999999998</v>
      </c>
      <c r="M749" s="88">
        <v>42.021000000000001</v>
      </c>
      <c r="N749" s="88">
        <v>40.343000000000004</v>
      </c>
      <c r="O749" s="4">
        <f t="shared" si="1698"/>
        <v>38.232999999999997</v>
      </c>
      <c r="P749" s="87">
        <v>38.232999999999997</v>
      </c>
      <c r="Q749" s="88">
        <v>46.579000000000001</v>
      </c>
      <c r="R749" s="88">
        <v>46.622</v>
      </c>
      <c r="S749" s="88">
        <v>44.08</v>
      </c>
      <c r="T749" s="4">
        <f t="shared" si="1699"/>
        <v>41.975999999999999</v>
      </c>
      <c r="U749" s="87">
        <v>41.975999999999999</v>
      </c>
      <c r="V749" s="88">
        <v>40.637</v>
      </c>
      <c r="W749" s="88">
        <v>37.823999999999998</v>
      </c>
      <c r="X749" s="88">
        <v>36.337000000000003</v>
      </c>
      <c r="Y749" s="2">
        <f t="shared" si="1700"/>
        <v>52.438000000000002</v>
      </c>
      <c r="Z749" s="87">
        <v>52.438000000000002</v>
      </c>
      <c r="AA749" s="88">
        <v>52.585000000000001</v>
      </c>
      <c r="AB749" s="88">
        <v>50.918999999999997</v>
      </c>
      <c r="AC749" s="88">
        <v>48.521000000000001</v>
      </c>
      <c r="AD749" s="4">
        <f t="shared" si="1701"/>
        <v>57.665999999999997</v>
      </c>
      <c r="AE749" s="87">
        <v>57.665999999999997</v>
      </c>
      <c r="AF749" s="88">
        <v>54.036000000000001</v>
      </c>
      <c r="AG749" s="88">
        <v>52.945999999999998</v>
      </c>
      <c r="AH749" s="88">
        <v>48.326999999999998</v>
      </c>
      <c r="AI749" s="4">
        <f t="shared" si="1702"/>
        <v>40.645000000000003</v>
      </c>
      <c r="AJ749" s="87">
        <v>40.645000000000003</v>
      </c>
      <c r="AK749" s="88">
        <v>46.771000000000001</v>
      </c>
      <c r="AL749" s="88">
        <v>39.524000000000001</v>
      </c>
      <c r="AM749" s="88">
        <v>38.895000000000003</v>
      </c>
      <c r="AN749" s="2">
        <f t="shared" si="1703"/>
        <v>43.945999999999998</v>
      </c>
      <c r="AO749" s="87">
        <v>43.945999999999998</v>
      </c>
      <c r="AP749" s="88">
        <v>42.489000000000004</v>
      </c>
      <c r="AQ749" s="88">
        <v>36.341999999999999</v>
      </c>
      <c r="AR749" s="88">
        <v>32.188000000000002</v>
      </c>
      <c r="AS749" s="2">
        <f t="shared" si="1693"/>
        <v>35.31</v>
      </c>
      <c r="AT749" s="87">
        <v>35.31</v>
      </c>
      <c r="AU749" s="88">
        <v>30.727</v>
      </c>
      <c r="AV749" s="88">
        <v>32.039000000000001</v>
      </c>
      <c r="AW749" s="88">
        <v>29.713999999999999</v>
      </c>
      <c r="AX749" s="2">
        <f t="shared" si="1688"/>
        <v>36.445999999999998</v>
      </c>
      <c r="AY749" s="87">
        <v>36.445999999999998</v>
      </c>
      <c r="AZ749" s="88">
        <v>33.741</v>
      </c>
      <c r="BA749" s="88">
        <v>33.372999999999998</v>
      </c>
      <c r="BB749" s="88">
        <v>30.952999999999999</v>
      </c>
      <c r="BC749" s="2">
        <f t="shared" si="1694"/>
        <v>48.399000000000001</v>
      </c>
      <c r="BD749" s="87">
        <v>48.399000000000001</v>
      </c>
      <c r="BE749" s="88">
        <v>48.387</v>
      </c>
      <c r="BF749" s="88">
        <v>52.640999999999998</v>
      </c>
      <c r="BG749" s="88">
        <v>55.558</v>
      </c>
      <c r="BH749" s="2">
        <f t="shared" si="1695"/>
        <v>63.09</v>
      </c>
      <c r="BI749" s="89">
        <v>63.09</v>
      </c>
      <c r="BJ749" s="2">
        <f t="shared" ref="BJ749:BV749" si="1706">BI749</f>
        <v>63.09</v>
      </c>
      <c r="BK749" s="2">
        <f t="shared" si="1706"/>
        <v>63.09</v>
      </c>
      <c r="BL749" s="2">
        <f t="shared" si="1706"/>
        <v>63.09</v>
      </c>
      <c r="BM749" s="2">
        <f t="shared" si="1706"/>
        <v>63.09</v>
      </c>
      <c r="BN749" s="86">
        <f t="shared" si="1706"/>
        <v>63.09</v>
      </c>
      <c r="BO749" s="2">
        <f t="shared" si="1706"/>
        <v>63.09</v>
      </c>
      <c r="BP749" s="2">
        <f t="shared" si="1706"/>
        <v>63.09</v>
      </c>
      <c r="BQ749" s="2">
        <f t="shared" si="1706"/>
        <v>63.09</v>
      </c>
      <c r="BR749" s="2">
        <f t="shared" si="1706"/>
        <v>63.09</v>
      </c>
      <c r="BS749" s="86">
        <f t="shared" si="1706"/>
        <v>63.09</v>
      </c>
      <c r="BT749" s="86">
        <f t="shared" si="1706"/>
        <v>63.09</v>
      </c>
      <c r="BU749" s="86">
        <f t="shared" si="1706"/>
        <v>63.09</v>
      </c>
      <c r="BV749" s="86">
        <f t="shared" si="1706"/>
        <v>63.09</v>
      </c>
      <c r="BW749" s="483"/>
    </row>
    <row r="750" spans="1:75" ht="15.75" customHeight="1" x14ac:dyDescent="0.2">
      <c r="A750" s="91" t="s">
        <v>379</v>
      </c>
      <c r="B750" s="92"/>
      <c r="C750" s="98">
        <v>7.7370000000000001</v>
      </c>
      <c r="D750" s="98">
        <v>14.641999999999999</v>
      </c>
      <c r="E750" s="98">
        <v>14.574</v>
      </c>
      <c r="F750" s="98">
        <v>15.257</v>
      </c>
      <c r="G750" s="99">
        <v>16.577000000000002</v>
      </c>
      <c r="H750" s="99">
        <v>16.577000000000002</v>
      </c>
      <c r="I750" s="99">
        <v>16.577000000000002</v>
      </c>
      <c r="J750" s="95">
        <f t="shared" si="1697"/>
        <v>16.007999999999999</v>
      </c>
      <c r="K750" s="98">
        <v>16.007999999999999</v>
      </c>
      <c r="L750" s="99">
        <v>16.007999999999999</v>
      </c>
      <c r="M750" s="99">
        <v>16.007999999999999</v>
      </c>
      <c r="N750" s="99">
        <v>16.094999999999999</v>
      </c>
      <c r="O750" s="95">
        <f t="shared" si="1698"/>
        <v>0</v>
      </c>
      <c r="P750" s="93"/>
      <c r="Q750" s="99">
        <v>15.076000000000001</v>
      </c>
      <c r="R750" s="99">
        <v>15.076000000000001</v>
      </c>
      <c r="S750" s="99">
        <v>15.076000000000001</v>
      </c>
      <c r="T750" s="95">
        <f t="shared" si="1699"/>
        <v>0</v>
      </c>
      <c r="U750" s="93"/>
      <c r="V750" s="94"/>
      <c r="W750" s="94"/>
      <c r="X750" s="94"/>
      <c r="Y750" s="94">
        <f t="shared" si="1700"/>
        <v>0</v>
      </c>
      <c r="Z750" s="93"/>
      <c r="AA750" s="94"/>
      <c r="AB750" s="94"/>
      <c r="AC750" s="94"/>
      <c r="AD750" s="95">
        <f t="shared" si="1701"/>
        <v>0</v>
      </c>
      <c r="AE750" s="93"/>
      <c r="AF750" s="94"/>
      <c r="AG750" s="94"/>
      <c r="AH750" s="94"/>
      <c r="AI750" s="94"/>
      <c r="AJ750" s="93"/>
      <c r="AK750" s="94"/>
      <c r="AL750" s="94"/>
      <c r="AM750" s="94"/>
      <c r="AN750" s="94"/>
      <c r="AO750" s="93"/>
      <c r="AP750" s="94"/>
      <c r="AQ750" s="94"/>
      <c r="AR750" s="94"/>
      <c r="AS750" s="94"/>
      <c r="AT750" s="93"/>
      <c r="AU750" s="94"/>
      <c r="AV750" s="94"/>
      <c r="AW750" s="94"/>
      <c r="AX750" s="2">
        <f t="shared" si="1688"/>
        <v>0</v>
      </c>
      <c r="AY750" s="93"/>
      <c r="AZ750" s="94"/>
      <c r="BA750" s="94"/>
      <c r="BB750" s="94"/>
      <c r="BC750" s="2">
        <f t="shared" si="1694"/>
        <v>0</v>
      </c>
      <c r="BD750" s="93"/>
      <c r="BE750" s="94"/>
      <c r="BF750" s="94"/>
      <c r="BG750" s="94"/>
      <c r="BH750" s="94">
        <f t="shared" si="1695"/>
        <v>0</v>
      </c>
      <c r="BI750" s="97"/>
      <c r="BJ750" s="94"/>
      <c r="BK750" s="94"/>
      <c r="BL750" s="94"/>
      <c r="BM750" s="94"/>
      <c r="BN750" s="93"/>
      <c r="BO750" s="94"/>
      <c r="BP750" s="94"/>
      <c r="BQ750" s="94"/>
      <c r="BR750" s="94"/>
      <c r="BS750" s="93"/>
      <c r="BT750" s="93"/>
      <c r="BU750" s="93"/>
      <c r="BV750" s="93"/>
      <c r="BW750" s="483"/>
    </row>
    <row r="751" spans="1:75" ht="15.75" customHeight="1" x14ac:dyDescent="0.2">
      <c r="A751" s="101" t="s">
        <v>380</v>
      </c>
      <c r="B751" s="102"/>
      <c r="C751" s="104">
        <f t="shared" ref="C751:BV751" si="1707">SUM(C743,C746:C750)</f>
        <v>172.227</v>
      </c>
      <c r="D751" s="104">
        <f t="shared" si="1707"/>
        <v>194.96199999999999</v>
      </c>
      <c r="E751" s="104">
        <f t="shared" si="1707"/>
        <v>176.39499999999998</v>
      </c>
      <c r="F751" s="104">
        <f t="shared" si="1707"/>
        <v>230.20699999999999</v>
      </c>
      <c r="G751" s="105">
        <f t="shared" si="1707"/>
        <v>211.11199999999999</v>
      </c>
      <c r="H751" s="105">
        <f t="shared" si="1707"/>
        <v>261.702</v>
      </c>
      <c r="I751" s="105">
        <f t="shared" si="1707"/>
        <v>216.09100000000001</v>
      </c>
      <c r="J751" s="105">
        <f t="shared" si="1707"/>
        <v>225.90300000000002</v>
      </c>
      <c r="K751" s="104">
        <f t="shared" si="1707"/>
        <v>225.90300000000002</v>
      </c>
      <c r="L751" s="105">
        <f t="shared" si="1707"/>
        <v>166.51500000000001</v>
      </c>
      <c r="M751" s="105">
        <f t="shared" si="1707"/>
        <v>163.41499999999999</v>
      </c>
      <c r="N751" s="105">
        <f t="shared" si="1707"/>
        <v>173.852</v>
      </c>
      <c r="O751" s="105">
        <f t="shared" si="1707"/>
        <v>224.386</v>
      </c>
      <c r="P751" s="104">
        <f t="shared" si="1707"/>
        <v>224.386</v>
      </c>
      <c r="Q751" s="105">
        <f t="shared" si="1707"/>
        <v>188.77600000000001</v>
      </c>
      <c r="R751" s="105">
        <f t="shared" si="1707"/>
        <v>207.85299999999998</v>
      </c>
      <c r="S751" s="105">
        <f t="shared" si="1707"/>
        <v>187.40599999999998</v>
      </c>
      <c r="T751" s="105">
        <f t="shared" si="1707"/>
        <v>225.39599999999999</v>
      </c>
      <c r="U751" s="104">
        <f t="shared" si="1707"/>
        <v>225.39599999999999</v>
      </c>
      <c r="V751" s="105">
        <f t="shared" si="1707"/>
        <v>189.79</v>
      </c>
      <c r="W751" s="105">
        <f t="shared" si="1707"/>
        <v>197.97199999999998</v>
      </c>
      <c r="X751" s="105">
        <f t="shared" si="1707"/>
        <v>182.89699999999999</v>
      </c>
      <c r="Y751" s="106">
        <f t="shared" si="1707"/>
        <v>221.42699999999996</v>
      </c>
      <c r="Z751" s="103">
        <f t="shared" si="1707"/>
        <v>221.42699999999996</v>
      </c>
      <c r="AA751" s="105">
        <f t="shared" si="1707"/>
        <v>201.58</v>
      </c>
      <c r="AB751" s="105">
        <f t="shared" si="1707"/>
        <v>210.49200000000002</v>
      </c>
      <c r="AC751" s="105">
        <f t="shared" si="1707"/>
        <v>164.64100000000002</v>
      </c>
      <c r="AD751" s="105">
        <f t="shared" si="1707"/>
        <v>208.63299999999998</v>
      </c>
      <c r="AE751" s="103">
        <f t="shared" si="1707"/>
        <v>208.63299999999998</v>
      </c>
      <c r="AF751" s="105">
        <f t="shared" si="1707"/>
        <v>163.86799999999999</v>
      </c>
      <c r="AG751" s="105">
        <f t="shared" si="1707"/>
        <v>169.06</v>
      </c>
      <c r="AH751" s="105">
        <f t="shared" si="1707"/>
        <v>154.821</v>
      </c>
      <c r="AI751" s="105">
        <f t="shared" si="1707"/>
        <v>195.23000000000002</v>
      </c>
      <c r="AJ751" s="103">
        <f t="shared" si="1707"/>
        <v>195.23000000000002</v>
      </c>
      <c r="AK751" s="106">
        <f t="shared" si="1707"/>
        <v>157.51600000000002</v>
      </c>
      <c r="AL751" s="106">
        <f t="shared" si="1707"/>
        <v>158.19200000000001</v>
      </c>
      <c r="AM751" s="106">
        <f t="shared" si="1707"/>
        <v>449.14100000000002</v>
      </c>
      <c r="AN751" s="106">
        <f t="shared" si="1707"/>
        <v>244.51500000000001</v>
      </c>
      <c r="AO751" s="103">
        <f t="shared" si="1707"/>
        <v>244.51500000000001</v>
      </c>
      <c r="AP751" s="106">
        <f t="shared" si="1707"/>
        <v>270.65800000000002</v>
      </c>
      <c r="AQ751" s="106">
        <f t="shared" si="1707"/>
        <v>454.60500000000008</v>
      </c>
      <c r="AR751" s="106">
        <f t="shared" si="1707"/>
        <v>411.01899999999995</v>
      </c>
      <c r="AS751" s="106">
        <f t="shared" si="1707"/>
        <v>341.35900000000004</v>
      </c>
      <c r="AT751" s="103">
        <f t="shared" si="1707"/>
        <v>341.35900000000004</v>
      </c>
      <c r="AU751" s="106">
        <f t="shared" si="1707"/>
        <v>343.81499999999994</v>
      </c>
      <c r="AV751" s="106">
        <f t="shared" si="1707"/>
        <v>328.26400000000001</v>
      </c>
      <c r="AW751" s="106">
        <f t="shared" si="1707"/>
        <v>310.18699999999995</v>
      </c>
      <c r="AX751" s="106">
        <f t="shared" si="1707"/>
        <v>405.58900000000006</v>
      </c>
      <c r="AY751" s="103">
        <f t="shared" si="1707"/>
        <v>405.58900000000006</v>
      </c>
      <c r="AZ751" s="106">
        <f t="shared" si="1707"/>
        <v>367.32099999999997</v>
      </c>
      <c r="BA751" s="106">
        <f t="shared" si="1707"/>
        <v>391.67899999999997</v>
      </c>
      <c r="BB751" s="106">
        <f t="shared" si="1707"/>
        <v>317.738</v>
      </c>
      <c r="BC751" s="106">
        <f t="shared" si="1707"/>
        <v>345.76800000000003</v>
      </c>
      <c r="BD751" s="103">
        <f t="shared" si="1707"/>
        <v>345.76800000000003</v>
      </c>
      <c r="BE751" s="106">
        <f t="shared" si="1707"/>
        <v>313.63599999999997</v>
      </c>
      <c r="BF751" s="106">
        <f t="shared" si="1707"/>
        <v>299.17099999999999</v>
      </c>
      <c r="BG751" s="106">
        <f t="shared" si="1707"/>
        <v>272.37600000000003</v>
      </c>
      <c r="BH751" s="106">
        <f t="shared" si="1707"/>
        <v>300.798</v>
      </c>
      <c r="BI751" s="115">
        <f t="shared" si="1707"/>
        <v>300.798</v>
      </c>
      <c r="BJ751" s="106">
        <f t="shared" ca="1" si="1707"/>
        <v>279.50943361434713</v>
      </c>
      <c r="BK751" s="106">
        <f t="shared" ca="1" si="1707"/>
        <v>298.82415888720584</v>
      </c>
      <c r="BL751" s="106">
        <f t="shared" ca="1" si="1707"/>
        <v>287.22638321836575</v>
      </c>
      <c r="BM751" s="106">
        <f t="shared" ca="1" si="1707"/>
        <v>369.90105241440153</v>
      </c>
      <c r="BN751" s="103">
        <f t="shared" ca="1" si="1707"/>
        <v>369.90105241440153</v>
      </c>
      <c r="BO751" s="106">
        <f t="shared" ca="1" si="1707"/>
        <v>350.21786254911751</v>
      </c>
      <c r="BP751" s="106">
        <f t="shared" ca="1" si="1707"/>
        <v>370.56616779496812</v>
      </c>
      <c r="BQ751" s="106">
        <f t="shared" ca="1" si="1707"/>
        <v>362.23516894191266</v>
      </c>
      <c r="BR751" s="106">
        <f t="shared" ca="1" si="1707"/>
        <v>453.31795107003359</v>
      </c>
      <c r="BS751" s="103">
        <f t="shared" ca="1" si="1707"/>
        <v>453.31795107003359</v>
      </c>
      <c r="BT751" s="103">
        <f t="shared" ca="1" si="1707"/>
        <v>576.80976666986771</v>
      </c>
      <c r="BU751" s="103">
        <f t="shared" ca="1" si="1707"/>
        <v>724.19645189647792</v>
      </c>
      <c r="BV751" s="103">
        <f t="shared" ca="1" si="1707"/>
        <v>905.86214207224134</v>
      </c>
      <c r="BW751" s="197"/>
    </row>
    <row r="752" spans="1:75" ht="15.75" customHeight="1" x14ac:dyDescent="0.2">
      <c r="A752" s="108"/>
      <c r="B752" s="108"/>
      <c r="C752" s="109"/>
      <c r="D752" s="109"/>
      <c r="E752" s="109"/>
      <c r="F752" s="109"/>
      <c r="G752" s="110"/>
      <c r="H752" s="110"/>
      <c r="I752" s="110"/>
      <c r="J752" s="110"/>
      <c r="K752" s="109"/>
      <c r="L752" s="110"/>
      <c r="M752" s="110"/>
      <c r="N752" s="110"/>
      <c r="O752" s="110"/>
      <c r="P752" s="109"/>
      <c r="Q752" s="110"/>
      <c r="R752" s="110"/>
      <c r="S752" s="110"/>
      <c r="T752" s="110"/>
      <c r="U752" s="109"/>
      <c r="V752" s="110"/>
      <c r="W752" s="110"/>
      <c r="X752" s="110"/>
      <c r="Y752" s="110"/>
      <c r="Z752" s="109"/>
      <c r="AA752" s="110"/>
      <c r="AB752" s="110"/>
      <c r="AC752" s="110"/>
      <c r="AD752" s="110"/>
      <c r="AE752" s="109"/>
      <c r="AF752" s="110"/>
      <c r="AG752" s="110"/>
      <c r="AH752" s="110"/>
      <c r="AI752" s="110"/>
      <c r="AJ752" s="109"/>
      <c r="AK752" s="110"/>
      <c r="AL752" s="110"/>
      <c r="AM752" s="110"/>
      <c r="AN752" s="110"/>
      <c r="AO752" s="109"/>
      <c r="AP752" s="110"/>
      <c r="AQ752" s="110"/>
      <c r="AR752" s="110"/>
      <c r="AS752" s="110"/>
      <c r="AT752" s="109"/>
      <c r="AU752" s="110"/>
      <c r="AV752" s="110"/>
      <c r="AW752" s="110"/>
      <c r="AX752" s="110"/>
      <c r="AY752" s="109"/>
      <c r="AZ752" s="110"/>
      <c r="BA752" s="110"/>
      <c r="BB752" s="110"/>
      <c r="BC752" s="110"/>
      <c r="BD752" s="109"/>
      <c r="BE752" s="110"/>
      <c r="BF752" s="110"/>
      <c r="BG752" s="110"/>
      <c r="BH752" s="110"/>
      <c r="BI752" s="107"/>
      <c r="BJ752" s="110"/>
      <c r="BK752" s="110"/>
      <c r="BL752" s="110"/>
      <c r="BM752" s="110"/>
      <c r="BN752" s="109"/>
      <c r="BO752" s="110"/>
      <c r="BP752" s="110"/>
      <c r="BQ752" s="110"/>
      <c r="BR752" s="110"/>
      <c r="BS752" s="109"/>
      <c r="BT752" s="109"/>
      <c r="BU752" s="109"/>
      <c r="BV752" s="109"/>
      <c r="BW752" s="197"/>
    </row>
    <row r="753" spans="1:75" ht="15.75" customHeight="1" x14ac:dyDescent="0.2">
      <c r="A753" s="83" t="s">
        <v>381</v>
      </c>
      <c r="B753" s="108"/>
      <c r="C753" s="109"/>
      <c r="D753" s="109"/>
      <c r="E753" s="109"/>
      <c r="F753" s="109"/>
      <c r="G753" s="110"/>
      <c r="H753" s="110"/>
      <c r="I753" s="110"/>
      <c r="J753" s="110"/>
      <c r="K753" s="109"/>
      <c r="L753" s="110"/>
      <c r="M753" s="110"/>
      <c r="N753" s="110"/>
      <c r="O753" s="110"/>
      <c r="P753" s="109"/>
      <c r="Q753" s="110"/>
      <c r="R753" s="110"/>
      <c r="S753" s="110"/>
      <c r="T753" s="110"/>
      <c r="U753" s="109"/>
      <c r="V753" s="110"/>
      <c r="W753" s="110"/>
      <c r="X753" s="110"/>
      <c r="Y753" s="110"/>
      <c r="Z753" s="109"/>
      <c r="AA753" s="110"/>
      <c r="AB753" s="110"/>
      <c r="AC753" s="110"/>
      <c r="AD753" s="110"/>
      <c r="AE753" s="109"/>
      <c r="AF753" s="110"/>
      <c r="AG753" s="110"/>
      <c r="AH753" s="110"/>
      <c r="AI753" s="110"/>
      <c r="AJ753" s="109"/>
      <c r="AK753" s="110"/>
      <c r="AL753" s="110"/>
      <c r="AM753" s="110"/>
      <c r="AN753" s="110"/>
      <c r="AO753" s="109"/>
      <c r="AP753" s="110"/>
      <c r="AQ753" s="110"/>
      <c r="AR753" s="110"/>
      <c r="AS753" s="110"/>
      <c r="AT753" s="109"/>
      <c r="AU753" s="110"/>
      <c r="AV753" s="110"/>
      <c r="AW753" s="110"/>
      <c r="AX753" s="110"/>
      <c r="AY753" s="109"/>
      <c r="AZ753" s="110"/>
      <c r="BA753" s="110"/>
      <c r="BB753" s="110"/>
      <c r="BC753" s="110"/>
      <c r="BD753" s="109"/>
      <c r="BE753" s="110"/>
      <c r="BF753" s="110"/>
      <c r="BG753" s="110"/>
      <c r="BH753" s="110"/>
      <c r="BI753" s="107"/>
      <c r="BJ753" s="110"/>
      <c r="BK753" s="110"/>
      <c r="BL753" s="110"/>
      <c r="BM753" s="110"/>
      <c r="BN753" s="109"/>
      <c r="BO753" s="110"/>
      <c r="BP753" s="110"/>
      <c r="BQ753" s="110"/>
      <c r="BR753" s="110"/>
      <c r="BS753" s="109"/>
      <c r="BT753" s="109"/>
      <c r="BU753" s="109"/>
      <c r="BV753" s="109"/>
      <c r="BW753" s="197"/>
    </row>
    <row r="754" spans="1:75" ht="15.75" customHeight="1" x14ac:dyDescent="0.2">
      <c r="A754" s="84" t="s">
        <v>382</v>
      </c>
      <c r="B754" s="85"/>
      <c r="C754" s="87">
        <v>788.40200000000004</v>
      </c>
      <c r="D754" s="87">
        <v>755.46799999999996</v>
      </c>
      <c r="E754" s="87">
        <v>758.50300000000004</v>
      </c>
      <c r="F754" s="87">
        <v>764.41800000000001</v>
      </c>
      <c r="G754" s="88">
        <v>762.88400000000001</v>
      </c>
      <c r="H754" s="88">
        <v>765.62</v>
      </c>
      <c r="I754" s="88">
        <v>784.31899999999996</v>
      </c>
      <c r="J754" s="88">
        <v>795.37900000000002</v>
      </c>
      <c r="K754" s="87">
        <v>795.37900000000002</v>
      </c>
      <c r="L754" s="88">
        <v>803.33399999999995</v>
      </c>
      <c r="M754" s="88">
        <v>810.85500000000002</v>
      </c>
      <c r="N754" s="88">
        <v>824.41</v>
      </c>
      <c r="O754" s="88">
        <v>828.30499999999995</v>
      </c>
      <c r="P754" s="87">
        <v>828.30499999999995</v>
      </c>
      <c r="Q754" s="88">
        <v>828.96600000000001</v>
      </c>
      <c r="R754" s="88">
        <v>851.47699999999998</v>
      </c>
      <c r="S754" s="88">
        <v>874.34</v>
      </c>
      <c r="T754" s="4">
        <f t="shared" ref="T754:T755" si="1708">U754</f>
        <v>892.19100000000003</v>
      </c>
      <c r="U754" s="87">
        <v>892.19100000000003</v>
      </c>
      <c r="V754" s="88">
        <v>885.96400000000006</v>
      </c>
      <c r="W754" s="88">
        <v>888.84900000000005</v>
      </c>
      <c r="X754" s="88">
        <v>902.58100000000002</v>
      </c>
      <c r="Y754" s="2">
        <f t="shared" ref="Y754:Y755" si="1709">Z754</f>
        <v>910.13400000000001</v>
      </c>
      <c r="Z754" s="87">
        <v>910.13400000000001</v>
      </c>
      <c r="AA754" s="88">
        <v>910.58100000000002</v>
      </c>
      <c r="AB754" s="88">
        <v>913.375</v>
      </c>
      <c r="AC754" s="88">
        <v>933.48400000000004</v>
      </c>
      <c r="AD754" s="4">
        <f t="shared" ref="AD754:AD755" si="1710">AE754</f>
        <v>935.04499999999996</v>
      </c>
      <c r="AE754" s="87">
        <v>935.04499999999996</v>
      </c>
      <c r="AF754" s="88">
        <v>935.279</v>
      </c>
      <c r="AG754" s="88">
        <v>936.46900000000005</v>
      </c>
      <c r="AH754" s="88">
        <v>940.077</v>
      </c>
      <c r="AI754" s="4">
        <f t="shared" ref="AI754:AI755" si="1711">AJ754</f>
        <v>913.27499999999998</v>
      </c>
      <c r="AJ754" s="87">
        <v>913.27499999999998</v>
      </c>
      <c r="AK754" s="88">
        <v>763.88400000000001</v>
      </c>
      <c r="AL754" s="88">
        <v>758.49599999999998</v>
      </c>
      <c r="AM754" s="88">
        <v>759.24300000000005</v>
      </c>
      <c r="AN754" s="2">
        <f t="shared" ref="AN754:AN759" si="1712">AO754</f>
        <v>831.59900000000005</v>
      </c>
      <c r="AO754" s="87">
        <v>831.59900000000005</v>
      </c>
      <c r="AP754" s="88">
        <v>818.28300000000002</v>
      </c>
      <c r="AQ754" s="88">
        <v>805.88900000000001</v>
      </c>
      <c r="AR754" s="88">
        <v>789.60400000000004</v>
      </c>
      <c r="AS754" s="2">
        <f t="shared" ref="AS754:AS759" si="1713">AT754</f>
        <v>774.13699999999994</v>
      </c>
      <c r="AT754" s="87">
        <v>774.13699999999994</v>
      </c>
      <c r="AU754" s="88">
        <v>760.72199999999998</v>
      </c>
      <c r="AV754" s="88">
        <v>761.58900000000006</v>
      </c>
      <c r="AW754" s="88">
        <v>755.64</v>
      </c>
      <c r="AX754" s="2">
        <f t="shared" ref="AX754:AX759" si="1714">AY754</f>
        <v>741.74599999999998</v>
      </c>
      <c r="AY754" s="87">
        <v>741.74599999999998</v>
      </c>
      <c r="AZ754" s="88">
        <v>744.75099999999998</v>
      </c>
      <c r="BA754" s="88">
        <v>745.25099999999998</v>
      </c>
      <c r="BB754" s="88">
        <v>755.524</v>
      </c>
      <c r="BC754" s="2">
        <f t="shared" ref="BC754:BC759" si="1715">BD754</f>
        <v>746.05100000000004</v>
      </c>
      <c r="BD754" s="87">
        <v>746.05100000000004</v>
      </c>
      <c r="BE754" s="88">
        <v>754.89499999999998</v>
      </c>
      <c r="BF754" s="88">
        <v>770.31500000000005</v>
      </c>
      <c r="BG754" s="88">
        <v>777.66899999999998</v>
      </c>
      <c r="BH754" s="2">
        <f t="shared" ref="BH754:BH759" si="1716">BI754</f>
        <v>791.09299999999996</v>
      </c>
      <c r="BI754" s="89">
        <v>791.09299999999996</v>
      </c>
      <c r="BJ754" s="2">
        <f t="shared" ref="BJ754:BM754" si="1717">BI754-BJ667-BJ668+BJ722+BJ721</f>
        <v>810.92134374999989</v>
      </c>
      <c r="BK754" s="2">
        <f t="shared" si="1717"/>
        <v>832.60505175781236</v>
      </c>
      <c r="BL754" s="2">
        <f t="shared" si="1717"/>
        <v>853.61114389038073</v>
      </c>
      <c r="BM754" s="2">
        <f t="shared" si="1717"/>
        <v>873.96079564380636</v>
      </c>
      <c r="BN754" s="86">
        <f t="shared" ref="BN754:BN755" si="1718">BM754</f>
        <v>873.96079564380636</v>
      </c>
      <c r="BO754" s="2">
        <f t="shared" ref="BO754:BR754" si="1719">BN754-BO667-BO668+BO722+BO721</f>
        <v>891.19952077993742</v>
      </c>
      <c r="BP754" s="2">
        <f t="shared" si="1719"/>
        <v>910.37453575556435</v>
      </c>
      <c r="BQ754" s="2">
        <f t="shared" si="1719"/>
        <v>928.95033151320297</v>
      </c>
      <c r="BR754" s="2">
        <f t="shared" si="1719"/>
        <v>946.94563365341537</v>
      </c>
      <c r="BS754" s="86">
        <f t="shared" ref="BS754:BS755" si="1720">BR754</f>
        <v>946.94563365341537</v>
      </c>
      <c r="BT754" s="86">
        <f t="shared" ref="BT754:BV754" si="1721">BS754-BT667-BT668+BT722+BT721</f>
        <v>991.92742944673842</v>
      </c>
      <c r="BU754" s="86">
        <f t="shared" si="1721"/>
        <v>1031.2865007658961</v>
      </c>
      <c r="BV754" s="86">
        <f t="shared" si="1721"/>
        <v>1065.7256881701589</v>
      </c>
      <c r="BW754" s="483"/>
    </row>
    <row r="755" spans="1:75" ht="15.75" customHeight="1" x14ac:dyDescent="0.2">
      <c r="A755" s="84" t="s">
        <v>383</v>
      </c>
      <c r="B755" s="85"/>
      <c r="C755" s="87">
        <v>4.3380000000000001</v>
      </c>
      <c r="D755" s="87">
        <v>14.481999999999999</v>
      </c>
      <c r="E755" s="87">
        <v>14.673999999999999</v>
      </c>
      <c r="F755" s="87">
        <v>17.829000000000001</v>
      </c>
      <c r="G755" s="88">
        <v>18.186</v>
      </c>
      <c r="H755" s="88">
        <v>18.428999999999998</v>
      </c>
      <c r="I755" s="88">
        <v>18.32</v>
      </c>
      <c r="J755" s="88">
        <v>18.646999999999998</v>
      </c>
      <c r="K755" s="87">
        <v>18.646999999999998</v>
      </c>
      <c r="L755" s="88">
        <v>18.881</v>
      </c>
      <c r="M755" s="88">
        <v>19.084</v>
      </c>
      <c r="N755" s="88">
        <v>20.504000000000001</v>
      </c>
      <c r="O755" s="88">
        <v>20.780999999999999</v>
      </c>
      <c r="P755" s="87">
        <v>20.780999999999999</v>
      </c>
      <c r="Q755" s="88">
        <v>21.215</v>
      </c>
      <c r="R755" s="88">
        <v>21.504000000000001</v>
      </c>
      <c r="S755" s="88">
        <v>21.606999999999999</v>
      </c>
      <c r="T755" s="4">
        <f t="shared" si="1708"/>
        <v>21.972000000000001</v>
      </c>
      <c r="U755" s="87">
        <v>21.972000000000001</v>
      </c>
      <c r="V755" s="88">
        <v>22.471</v>
      </c>
      <c r="W755" s="88">
        <v>22.597000000000001</v>
      </c>
      <c r="X755" s="88">
        <v>22.844000000000001</v>
      </c>
      <c r="Y755" s="2">
        <f t="shared" si="1709"/>
        <v>23.053999999999998</v>
      </c>
      <c r="Z755" s="87">
        <v>23.053999999999998</v>
      </c>
      <c r="AA755" s="88">
        <v>23.213999999999999</v>
      </c>
      <c r="AB755" s="88">
        <v>23.391999999999999</v>
      </c>
      <c r="AC755" s="88">
        <v>23.545999999999999</v>
      </c>
      <c r="AD755" s="4">
        <f t="shared" si="1710"/>
        <v>24.065000000000001</v>
      </c>
      <c r="AE755" s="87">
        <v>24.065000000000001</v>
      </c>
      <c r="AF755" s="88">
        <v>24.233000000000001</v>
      </c>
      <c r="AG755" s="88">
        <v>24.524000000000001</v>
      </c>
      <c r="AH755" s="88">
        <v>26.327000000000002</v>
      </c>
      <c r="AI755" s="4">
        <f t="shared" si="1711"/>
        <v>26.209</v>
      </c>
      <c r="AJ755" s="87">
        <v>26.209</v>
      </c>
      <c r="AK755" s="88">
        <v>20.094000000000001</v>
      </c>
      <c r="AL755" s="88">
        <v>20.157</v>
      </c>
      <c r="AM755" s="88">
        <v>20.271000000000001</v>
      </c>
      <c r="AN755" s="2">
        <f t="shared" si="1712"/>
        <v>437.20699999999999</v>
      </c>
      <c r="AO755" s="87">
        <v>437.20699999999999</v>
      </c>
      <c r="AP755" s="88">
        <v>254.40100000000001</v>
      </c>
      <c r="AQ755" s="88">
        <v>254.33</v>
      </c>
      <c r="AR755" s="88">
        <v>253.577</v>
      </c>
      <c r="AS755" s="2">
        <f t="shared" si="1713"/>
        <v>253.16</v>
      </c>
      <c r="AT755" s="87">
        <v>253.16</v>
      </c>
      <c r="AU755" s="88">
        <v>253.15199999999999</v>
      </c>
      <c r="AV755" s="88">
        <v>253.143</v>
      </c>
      <c r="AW755" s="88">
        <v>253.154</v>
      </c>
      <c r="AX755" s="2">
        <f t="shared" si="1714"/>
        <v>251.70099999999999</v>
      </c>
      <c r="AY755" s="87">
        <v>251.70099999999999</v>
      </c>
      <c r="AZ755" s="88">
        <v>251.655</v>
      </c>
      <c r="BA755" s="88">
        <v>251.61799999999999</v>
      </c>
      <c r="BB755" s="88">
        <v>251.63900000000001</v>
      </c>
      <c r="BC755" s="2">
        <f t="shared" si="1715"/>
        <v>251.524</v>
      </c>
      <c r="BD755" s="87">
        <v>251.524</v>
      </c>
      <c r="BE755" s="88">
        <v>251.52600000000001</v>
      </c>
      <c r="BF755" s="88">
        <v>251.559</v>
      </c>
      <c r="BG755" s="88">
        <v>251.529</v>
      </c>
      <c r="BH755" s="2">
        <f t="shared" si="1716"/>
        <v>251.727</v>
      </c>
      <c r="BI755" s="89">
        <v>251.727</v>
      </c>
      <c r="BJ755" s="2">
        <f t="shared" ref="BJ755:BM755" si="1722">BI755+BJ728+BJ727</f>
        <v>251.54768249999998</v>
      </c>
      <c r="BK755" s="2">
        <f t="shared" si="1722"/>
        <v>251.39381329374999</v>
      </c>
      <c r="BL755" s="2">
        <f t="shared" si="1722"/>
        <v>251.24032876051561</v>
      </c>
      <c r="BM755" s="2">
        <f t="shared" si="1722"/>
        <v>251.08722793861432</v>
      </c>
      <c r="BN755" s="86">
        <f t="shared" si="1718"/>
        <v>251.08722793861432</v>
      </c>
      <c r="BO755" s="2">
        <f t="shared" ref="BO755:BR755" si="1723">BN755+BO728+BO727</f>
        <v>250.90950986876777</v>
      </c>
      <c r="BP755" s="2">
        <f t="shared" si="1723"/>
        <v>250.75723609409584</v>
      </c>
      <c r="BQ755" s="2">
        <f t="shared" si="1723"/>
        <v>250.60534300386061</v>
      </c>
      <c r="BR755" s="2">
        <f t="shared" si="1723"/>
        <v>250.45382964635095</v>
      </c>
      <c r="BS755" s="86">
        <f t="shared" si="1720"/>
        <v>250.45382964635095</v>
      </c>
      <c r="BT755" s="86">
        <f t="shared" ref="BT755:BV755" si="1724">BS755+BT728+BT727</f>
        <v>249.59929134988744</v>
      </c>
      <c r="BU755" s="86">
        <f t="shared" si="1724"/>
        <v>248.75329843638858</v>
      </c>
      <c r="BV755" s="86">
        <f t="shared" si="1724"/>
        <v>247.91576545202469</v>
      </c>
      <c r="BW755" s="483"/>
    </row>
    <row r="756" spans="1:75" ht="15.75" customHeight="1" x14ac:dyDescent="0.2">
      <c r="A756" s="84" t="s">
        <v>384</v>
      </c>
      <c r="B756" s="85"/>
      <c r="C756" s="86"/>
      <c r="D756" s="86"/>
      <c r="E756" s="86"/>
      <c r="F756" s="86"/>
      <c r="G756" s="2"/>
      <c r="H756" s="2"/>
      <c r="I756" s="2"/>
      <c r="J756" s="2"/>
      <c r="K756" s="86"/>
      <c r="L756" s="2"/>
      <c r="M756" s="2"/>
      <c r="N756" s="2"/>
      <c r="O756" s="2"/>
      <c r="P756" s="86"/>
      <c r="Q756" s="2"/>
      <c r="R756" s="2"/>
      <c r="S756" s="2"/>
      <c r="T756" s="2"/>
      <c r="U756" s="86"/>
      <c r="V756" s="2"/>
      <c r="W756" s="2"/>
      <c r="X756" s="2"/>
      <c r="Y756" s="2"/>
      <c r="Z756" s="86"/>
      <c r="AA756" s="2"/>
      <c r="AB756" s="2"/>
      <c r="AC756" s="2"/>
      <c r="AD756" s="2"/>
      <c r="AE756" s="86"/>
      <c r="AF756" s="2"/>
      <c r="AG756" s="2"/>
      <c r="AH756" s="2"/>
      <c r="AI756" s="2"/>
      <c r="AJ756" s="86"/>
      <c r="AK756" s="88">
        <v>968.74099999999999</v>
      </c>
      <c r="AL756" s="88">
        <v>963.72400000000005</v>
      </c>
      <c r="AM756" s="88">
        <v>984.83799999999997</v>
      </c>
      <c r="AN756" s="2">
        <f t="shared" si="1712"/>
        <v>1240.9760000000001</v>
      </c>
      <c r="AO756" s="87">
        <v>1240.9760000000001</v>
      </c>
      <c r="AP756" s="88">
        <v>1257.4280000000001</v>
      </c>
      <c r="AQ756" s="88">
        <v>1268.1369999999999</v>
      </c>
      <c r="AR756" s="88">
        <v>1267.27</v>
      </c>
      <c r="AS756" s="2">
        <f t="shared" si="1713"/>
        <v>1251.027</v>
      </c>
      <c r="AT756" s="87">
        <v>1251.027</v>
      </c>
      <c r="AU756" s="88">
        <v>1245.8920000000001</v>
      </c>
      <c r="AV756" s="88">
        <v>1241.1969999999999</v>
      </c>
      <c r="AW756" s="88">
        <v>1258.8510000000001</v>
      </c>
      <c r="AX756" s="2">
        <f t="shared" si="1714"/>
        <v>1241.2370000000001</v>
      </c>
      <c r="AY756" s="87">
        <v>1241.2370000000001</v>
      </c>
      <c r="AZ756" s="88">
        <v>1240.5519999999999</v>
      </c>
      <c r="BA756" s="88">
        <v>1241.6990000000001</v>
      </c>
      <c r="BB756" s="88">
        <v>1267.241</v>
      </c>
      <c r="BC756" s="2">
        <f t="shared" si="1715"/>
        <v>1268.9860000000001</v>
      </c>
      <c r="BD756" s="87">
        <v>1268.9860000000001</v>
      </c>
      <c r="BE756" s="88">
        <v>1259.0260000000001</v>
      </c>
      <c r="BF756" s="88">
        <v>1280.758</v>
      </c>
      <c r="BG756" s="88">
        <v>1307.345</v>
      </c>
      <c r="BH756" s="2">
        <f t="shared" si="1716"/>
        <v>1302.1500000000001</v>
      </c>
      <c r="BI756" s="89">
        <v>1302.1500000000001</v>
      </c>
      <c r="BJ756" s="2">
        <f t="shared" ref="BJ756:BV759" si="1725">BI756</f>
        <v>1302.1500000000001</v>
      </c>
      <c r="BK756" s="2">
        <f t="shared" si="1725"/>
        <v>1302.1500000000001</v>
      </c>
      <c r="BL756" s="2">
        <f t="shared" si="1725"/>
        <v>1302.1500000000001</v>
      </c>
      <c r="BM756" s="2">
        <f t="shared" si="1725"/>
        <v>1302.1500000000001</v>
      </c>
      <c r="BN756" s="86">
        <f t="shared" si="1725"/>
        <v>1302.1500000000001</v>
      </c>
      <c r="BO756" s="2">
        <f t="shared" si="1725"/>
        <v>1302.1500000000001</v>
      </c>
      <c r="BP756" s="2">
        <f t="shared" si="1725"/>
        <v>1302.1500000000001</v>
      </c>
      <c r="BQ756" s="2">
        <f t="shared" si="1725"/>
        <v>1302.1500000000001</v>
      </c>
      <c r="BR756" s="2">
        <f t="shared" si="1725"/>
        <v>1302.1500000000001</v>
      </c>
      <c r="BS756" s="86">
        <f t="shared" si="1725"/>
        <v>1302.1500000000001</v>
      </c>
      <c r="BT756" s="86">
        <f t="shared" si="1725"/>
        <v>1302.1500000000001</v>
      </c>
      <c r="BU756" s="86">
        <f t="shared" si="1725"/>
        <v>1302.1500000000001</v>
      </c>
      <c r="BV756" s="86">
        <f t="shared" si="1725"/>
        <v>1302.1500000000001</v>
      </c>
      <c r="BW756" s="483"/>
    </row>
    <row r="757" spans="1:75" ht="15.75" customHeight="1" x14ac:dyDescent="0.2">
      <c r="A757" s="84" t="s">
        <v>385</v>
      </c>
      <c r="B757" s="85"/>
      <c r="C757" s="87">
        <v>54.243000000000002</v>
      </c>
      <c r="D757" s="87">
        <v>50.390999999999998</v>
      </c>
      <c r="E757" s="87">
        <v>49.49</v>
      </c>
      <c r="F757" s="87">
        <v>50.792999999999999</v>
      </c>
      <c r="G757" s="88">
        <v>47.515000000000001</v>
      </c>
      <c r="H757" s="88">
        <v>46.933</v>
      </c>
      <c r="I757" s="88">
        <v>47.640999999999998</v>
      </c>
      <c r="J757" s="88">
        <v>47.064</v>
      </c>
      <c r="K757" s="87">
        <v>47.064</v>
      </c>
      <c r="L757" s="88">
        <v>46.597999999999999</v>
      </c>
      <c r="M757" s="88">
        <v>46.177999999999997</v>
      </c>
      <c r="N757" s="88">
        <v>45.764000000000003</v>
      </c>
      <c r="O757" s="88">
        <v>46.212000000000003</v>
      </c>
      <c r="P757" s="87">
        <v>46.212000000000003</v>
      </c>
      <c r="Q757" s="88">
        <v>47.067</v>
      </c>
      <c r="R757" s="88">
        <v>46.109000000000002</v>
      </c>
      <c r="S757" s="88">
        <v>46.844000000000001</v>
      </c>
      <c r="T757" s="4">
        <f>U757</f>
        <v>46.881</v>
      </c>
      <c r="U757" s="87">
        <v>46.881</v>
      </c>
      <c r="V757" s="88">
        <v>45.521000000000001</v>
      </c>
      <c r="W757" s="88">
        <v>44.386000000000003</v>
      </c>
      <c r="X757" s="88">
        <v>43.250999999999998</v>
      </c>
      <c r="Y757" s="2">
        <f>Z757</f>
        <v>42.161999999999999</v>
      </c>
      <c r="Z757" s="87">
        <v>42.161999999999999</v>
      </c>
      <c r="AA757" s="88">
        <v>41.362000000000002</v>
      </c>
      <c r="AB757" s="88">
        <v>40.735999999999997</v>
      </c>
      <c r="AC757" s="88">
        <v>39.652000000000001</v>
      </c>
      <c r="AD757" s="4">
        <f>AE757</f>
        <v>39.399000000000001</v>
      </c>
      <c r="AE757" s="87">
        <v>39.399000000000001</v>
      </c>
      <c r="AF757" s="88">
        <v>37.875</v>
      </c>
      <c r="AG757" s="88">
        <v>36.759</v>
      </c>
      <c r="AH757" s="88">
        <v>35.814</v>
      </c>
      <c r="AI757" s="4">
        <f t="shared" ref="AI757:AI759" si="1726">AJ757</f>
        <v>34.960999999999999</v>
      </c>
      <c r="AJ757" s="87">
        <v>34.960999999999999</v>
      </c>
      <c r="AK757" s="2"/>
      <c r="AL757" s="2"/>
      <c r="AM757" s="2"/>
      <c r="AN757" s="2">
        <f t="shared" si="1712"/>
        <v>0</v>
      </c>
      <c r="AO757" s="86"/>
      <c r="AP757" s="2"/>
      <c r="AQ757" s="2"/>
      <c r="AR757" s="2"/>
      <c r="AS757" s="2">
        <f t="shared" si="1713"/>
        <v>0</v>
      </c>
      <c r="AT757" s="86"/>
      <c r="AU757" s="2"/>
      <c r="AV757" s="2"/>
      <c r="AW757" s="2"/>
      <c r="AX757" s="2">
        <f t="shared" si="1714"/>
        <v>0</v>
      </c>
      <c r="AY757" s="86"/>
      <c r="AZ757" s="2"/>
      <c r="BA757" s="2"/>
      <c r="BB757" s="2"/>
      <c r="BC757" s="2">
        <f t="shared" si="1715"/>
        <v>0</v>
      </c>
      <c r="BD757" s="86"/>
      <c r="BE757" s="2"/>
      <c r="BF757" s="2"/>
      <c r="BG757" s="2"/>
      <c r="BH757" s="2">
        <f t="shared" si="1716"/>
        <v>0</v>
      </c>
      <c r="BI757" s="90"/>
      <c r="BJ757" s="2">
        <f t="shared" si="1725"/>
        <v>0</v>
      </c>
      <c r="BK757" s="2">
        <f t="shared" si="1725"/>
        <v>0</v>
      </c>
      <c r="BL757" s="2">
        <f t="shared" si="1725"/>
        <v>0</v>
      </c>
      <c r="BM757" s="2">
        <f t="shared" si="1725"/>
        <v>0</v>
      </c>
      <c r="BN757" s="86">
        <f t="shared" si="1725"/>
        <v>0</v>
      </c>
      <c r="BO757" s="2">
        <f t="shared" si="1725"/>
        <v>0</v>
      </c>
      <c r="BP757" s="2">
        <f t="shared" si="1725"/>
        <v>0</v>
      </c>
      <c r="BQ757" s="2">
        <f t="shared" si="1725"/>
        <v>0</v>
      </c>
      <c r="BR757" s="2">
        <f t="shared" si="1725"/>
        <v>0</v>
      </c>
      <c r="BS757" s="86">
        <f t="shared" si="1725"/>
        <v>0</v>
      </c>
      <c r="BT757" s="86">
        <f t="shared" si="1725"/>
        <v>0</v>
      </c>
      <c r="BU757" s="86">
        <f t="shared" si="1725"/>
        <v>0</v>
      </c>
      <c r="BV757" s="86">
        <f t="shared" si="1725"/>
        <v>0</v>
      </c>
      <c r="BW757" s="483"/>
    </row>
    <row r="758" spans="1:75" ht="15.75" customHeight="1" x14ac:dyDescent="0.2">
      <c r="A758" s="84" t="s">
        <v>386</v>
      </c>
      <c r="B758" s="85"/>
      <c r="C758" s="86"/>
      <c r="D758" s="86"/>
      <c r="E758" s="86"/>
      <c r="F758" s="86"/>
      <c r="G758" s="2"/>
      <c r="H758" s="2"/>
      <c r="I758" s="2"/>
      <c r="J758" s="2"/>
      <c r="K758" s="86"/>
      <c r="L758" s="2"/>
      <c r="M758" s="2"/>
      <c r="N758" s="2"/>
      <c r="O758" s="2"/>
      <c r="P758" s="86"/>
      <c r="Q758" s="2"/>
      <c r="R758" s="2"/>
      <c r="S758" s="2"/>
      <c r="T758" s="2"/>
      <c r="U758" s="86"/>
      <c r="V758" s="2"/>
      <c r="W758" s="2"/>
      <c r="X758" s="2"/>
      <c r="Y758" s="2"/>
      <c r="Z758" s="86"/>
      <c r="AA758" s="2"/>
      <c r="AB758" s="2"/>
      <c r="AC758" s="2"/>
      <c r="AD758" s="2"/>
      <c r="AE758" s="86"/>
      <c r="AF758" s="2"/>
      <c r="AG758" s="2"/>
      <c r="AH758" s="2"/>
      <c r="AI758" s="4">
        <f t="shared" si="1726"/>
        <v>79.766999999999996</v>
      </c>
      <c r="AJ758" s="87">
        <v>79.766999999999996</v>
      </c>
      <c r="AK758" s="88">
        <v>81.316999999999993</v>
      </c>
      <c r="AL758" s="88">
        <v>79.674000000000007</v>
      </c>
      <c r="AM758" s="88">
        <v>69.328000000000003</v>
      </c>
      <c r="AN758" s="2">
        <f t="shared" si="1712"/>
        <v>0</v>
      </c>
      <c r="AO758" s="86"/>
      <c r="AP758" s="2"/>
      <c r="AQ758" s="2"/>
      <c r="AR758" s="2"/>
      <c r="AS758" s="2">
        <f t="shared" si="1713"/>
        <v>0</v>
      </c>
      <c r="AT758" s="86"/>
      <c r="AU758" s="2"/>
      <c r="AV758" s="2"/>
      <c r="AW758" s="2"/>
      <c r="AX758" s="2">
        <f t="shared" si="1714"/>
        <v>0</v>
      </c>
      <c r="AY758" s="86"/>
      <c r="AZ758" s="2"/>
      <c r="BA758" s="2"/>
      <c r="BB758" s="2"/>
      <c r="BC758" s="2">
        <f t="shared" si="1715"/>
        <v>0</v>
      </c>
      <c r="BD758" s="86"/>
      <c r="BE758" s="2"/>
      <c r="BF758" s="2"/>
      <c r="BG758" s="2"/>
      <c r="BH758" s="2">
        <f t="shared" si="1716"/>
        <v>0</v>
      </c>
      <c r="BI758" s="90"/>
      <c r="BJ758" s="2">
        <f t="shared" si="1725"/>
        <v>0</v>
      </c>
      <c r="BK758" s="2">
        <f t="shared" si="1725"/>
        <v>0</v>
      </c>
      <c r="BL758" s="2">
        <f t="shared" si="1725"/>
        <v>0</v>
      </c>
      <c r="BM758" s="2">
        <f t="shared" si="1725"/>
        <v>0</v>
      </c>
      <c r="BN758" s="86">
        <f t="shared" si="1725"/>
        <v>0</v>
      </c>
      <c r="BO758" s="2">
        <f t="shared" si="1725"/>
        <v>0</v>
      </c>
      <c r="BP758" s="2">
        <f t="shared" si="1725"/>
        <v>0</v>
      </c>
      <c r="BQ758" s="2">
        <f t="shared" si="1725"/>
        <v>0</v>
      </c>
      <c r="BR758" s="2">
        <f t="shared" si="1725"/>
        <v>0</v>
      </c>
      <c r="BS758" s="86">
        <f t="shared" si="1725"/>
        <v>0</v>
      </c>
      <c r="BT758" s="86">
        <f t="shared" si="1725"/>
        <v>0</v>
      </c>
      <c r="BU758" s="86">
        <f t="shared" si="1725"/>
        <v>0</v>
      </c>
      <c r="BV758" s="86">
        <f t="shared" si="1725"/>
        <v>0</v>
      </c>
      <c r="BW758" s="483"/>
    </row>
    <row r="759" spans="1:75" ht="15.75" customHeight="1" x14ac:dyDescent="0.2">
      <c r="A759" s="91" t="s">
        <v>387</v>
      </c>
      <c r="B759" s="92"/>
      <c r="C759" s="98">
        <v>27.541</v>
      </c>
      <c r="D759" s="98">
        <v>22.004000000000001</v>
      </c>
      <c r="E759" s="98">
        <v>23.507999999999999</v>
      </c>
      <c r="F759" s="98">
        <v>28.92</v>
      </c>
      <c r="G759" s="99">
        <v>31.411000000000001</v>
      </c>
      <c r="H759" s="99">
        <v>32.203000000000003</v>
      </c>
      <c r="I759" s="99">
        <v>34.767000000000003</v>
      </c>
      <c r="J759" s="99">
        <v>37.121000000000002</v>
      </c>
      <c r="K759" s="98">
        <v>37.121000000000002</v>
      </c>
      <c r="L759" s="99">
        <v>38.427999999999997</v>
      </c>
      <c r="M759" s="99">
        <v>40.988999999999997</v>
      </c>
      <c r="N759" s="99">
        <v>40.984000000000002</v>
      </c>
      <c r="O759" s="99">
        <v>41.692</v>
      </c>
      <c r="P759" s="98">
        <v>41.692</v>
      </c>
      <c r="Q759" s="99">
        <v>42.701999999999998</v>
      </c>
      <c r="R759" s="99">
        <v>47.847000000000001</v>
      </c>
      <c r="S759" s="99">
        <v>45.658999999999999</v>
      </c>
      <c r="T759" s="95">
        <f>U759</f>
        <v>46.905999999999999</v>
      </c>
      <c r="U759" s="98">
        <v>46.905999999999999</v>
      </c>
      <c r="V759" s="99">
        <v>48.905000000000001</v>
      </c>
      <c r="W759" s="99">
        <v>50.514000000000003</v>
      </c>
      <c r="X759" s="99">
        <v>52.805999999999997</v>
      </c>
      <c r="Y759" s="94">
        <f>Z759</f>
        <v>96.542000000000002</v>
      </c>
      <c r="Z759" s="98">
        <v>96.542000000000002</v>
      </c>
      <c r="AA759" s="99">
        <v>100.09099999999999</v>
      </c>
      <c r="AB759" s="99">
        <v>111.32</v>
      </c>
      <c r="AC759" s="99">
        <v>114.005</v>
      </c>
      <c r="AD759" s="95">
        <f>AE759</f>
        <v>125.91800000000001</v>
      </c>
      <c r="AE759" s="98">
        <v>125.91800000000001</v>
      </c>
      <c r="AF759" s="99">
        <v>126.08799999999999</v>
      </c>
      <c r="AG759" s="99">
        <v>139.827</v>
      </c>
      <c r="AH759" s="99">
        <v>151.024</v>
      </c>
      <c r="AI759" s="95">
        <f t="shared" si="1726"/>
        <v>64.691000000000003</v>
      </c>
      <c r="AJ759" s="98">
        <v>64.691000000000003</v>
      </c>
      <c r="AK759" s="99">
        <v>84.528000000000006</v>
      </c>
      <c r="AL759" s="99">
        <v>93.546999999999997</v>
      </c>
      <c r="AM759" s="99">
        <v>98.948999999999998</v>
      </c>
      <c r="AN759" s="94">
        <f t="shared" si="1712"/>
        <v>86.296000000000006</v>
      </c>
      <c r="AO759" s="98">
        <v>86.296000000000006</v>
      </c>
      <c r="AP759" s="99">
        <v>75.012</v>
      </c>
      <c r="AQ759" s="99">
        <v>84.32</v>
      </c>
      <c r="AR759" s="99">
        <v>106.593</v>
      </c>
      <c r="AS759" s="94">
        <f t="shared" si="1713"/>
        <v>127.371</v>
      </c>
      <c r="AT759" s="98">
        <v>127.371</v>
      </c>
      <c r="AU759" s="99">
        <v>131.858</v>
      </c>
      <c r="AV759" s="99">
        <v>138.09700000000001</v>
      </c>
      <c r="AW759" s="99">
        <v>139.886</v>
      </c>
      <c r="AX759" s="2">
        <f t="shared" si="1714"/>
        <v>157.852</v>
      </c>
      <c r="AY759" s="87">
        <v>157.852</v>
      </c>
      <c r="AZ759" s="99">
        <v>149.46199999999999</v>
      </c>
      <c r="BA759" s="99">
        <v>142.18600000000001</v>
      </c>
      <c r="BB759" s="99">
        <v>141.93199999999999</v>
      </c>
      <c r="BC759" s="2">
        <f t="shared" si="1715"/>
        <v>162.89099999999999</v>
      </c>
      <c r="BD759" s="98">
        <v>162.89099999999999</v>
      </c>
      <c r="BE759" s="99">
        <v>163.405</v>
      </c>
      <c r="BF759" s="99">
        <v>167.905</v>
      </c>
      <c r="BG759" s="99">
        <v>167.971</v>
      </c>
      <c r="BH759" s="94">
        <f t="shared" si="1716"/>
        <v>194.61500000000001</v>
      </c>
      <c r="BI759" s="100">
        <v>194.61500000000001</v>
      </c>
      <c r="BJ759" s="94">
        <f t="shared" si="1725"/>
        <v>194.61500000000001</v>
      </c>
      <c r="BK759" s="94">
        <f t="shared" si="1725"/>
        <v>194.61500000000001</v>
      </c>
      <c r="BL759" s="94">
        <f t="shared" si="1725"/>
        <v>194.61500000000001</v>
      </c>
      <c r="BM759" s="94">
        <f t="shared" si="1725"/>
        <v>194.61500000000001</v>
      </c>
      <c r="BN759" s="93">
        <f t="shared" si="1725"/>
        <v>194.61500000000001</v>
      </c>
      <c r="BO759" s="94">
        <f t="shared" si="1725"/>
        <v>194.61500000000001</v>
      </c>
      <c r="BP759" s="94">
        <f t="shared" si="1725"/>
        <v>194.61500000000001</v>
      </c>
      <c r="BQ759" s="94">
        <f t="shared" si="1725"/>
        <v>194.61500000000001</v>
      </c>
      <c r="BR759" s="94">
        <f t="shared" si="1725"/>
        <v>194.61500000000001</v>
      </c>
      <c r="BS759" s="93">
        <f t="shared" si="1725"/>
        <v>194.61500000000001</v>
      </c>
      <c r="BT759" s="93">
        <f t="shared" si="1725"/>
        <v>194.61500000000001</v>
      </c>
      <c r="BU759" s="93">
        <f t="shared" si="1725"/>
        <v>194.61500000000001</v>
      </c>
      <c r="BV759" s="93">
        <f t="shared" si="1725"/>
        <v>194.61500000000001</v>
      </c>
      <c r="BW759" s="483"/>
    </row>
    <row r="760" spans="1:75" ht="15.75" customHeight="1" x14ac:dyDescent="0.2">
      <c r="A760" s="101" t="s">
        <v>388</v>
      </c>
      <c r="B760" s="102"/>
      <c r="C760" s="104">
        <f t="shared" ref="C760:BV760" si="1727">SUM(C754:C759)</f>
        <v>874.52400000000011</v>
      </c>
      <c r="D760" s="104">
        <f t="shared" si="1727"/>
        <v>842.34499999999991</v>
      </c>
      <c r="E760" s="104">
        <f t="shared" si="1727"/>
        <v>846.17500000000007</v>
      </c>
      <c r="F760" s="104">
        <f t="shared" si="1727"/>
        <v>861.95999999999992</v>
      </c>
      <c r="G760" s="105">
        <f t="shared" si="1727"/>
        <v>859.99600000000009</v>
      </c>
      <c r="H760" s="105">
        <f t="shared" si="1727"/>
        <v>863.18499999999995</v>
      </c>
      <c r="I760" s="105">
        <f t="shared" si="1727"/>
        <v>885.04700000000003</v>
      </c>
      <c r="J760" s="105">
        <f t="shared" si="1727"/>
        <v>898.21100000000001</v>
      </c>
      <c r="K760" s="104">
        <f t="shared" si="1727"/>
        <v>898.21100000000001</v>
      </c>
      <c r="L760" s="105">
        <f t="shared" si="1727"/>
        <v>907.24099999999987</v>
      </c>
      <c r="M760" s="105">
        <f t="shared" si="1727"/>
        <v>917.10599999999999</v>
      </c>
      <c r="N760" s="105">
        <f t="shared" si="1727"/>
        <v>931.66200000000003</v>
      </c>
      <c r="O760" s="105">
        <f t="shared" si="1727"/>
        <v>936.9899999999999</v>
      </c>
      <c r="P760" s="104">
        <f t="shared" si="1727"/>
        <v>936.9899999999999</v>
      </c>
      <c r="Q760" s="105">
        <f t="shared" si="1727"/>
        <v>939.95</v>
      </c>
      <c r="R760" s="105">
        <f t="shared" si="1727"/>
        <v>966.93700000000001</v>
      </c>
      <c r="S760" s="105">
        <f t="shared" si="1727"/>
        <v>988.45</v>
      </c>
      <c r="T760" s="105">
        <f t="shared" si="1727"/>
        <v>1007.9499999999999</v>
      </c>
      <c r="U760" s="104">
        <f t="shared" si="1727"/>
        <v>1007.9499999999999</v>
      </c>
      <c r="V760" s="105">
        <f t="shared" si="1727"/>
        <v>1002.861</v>
      </c>
      <c r="W760" s="105">
        <f t="shared" si="1727"/>
        <v>1006.346</v>
      </c>
      <c r="X760" s="105">
        <f t="shared" si="1727"/>
        <v>1021.4820000000001</v>
      </c>
      <c r="Y760" s="106">
        <f t="shared" si="1727"/>
        <v>1071.8920000000001</v>
      </c>
      <c r="Z760" s="103">
        <f t="shared" si="1727"/>
        <v>1071.8920000000001</v>
      </c>
      <c r="AA760" s="105">
        <f t="shared" si="1727"/>
        <v>1075.248</v>
      </c>
      <c r="AB760" s="105">
        <f t="shared" si="1727"/>
        <v>1088.8230000000001</v>
      </c>
      <c r="AC760" s="105">
        <f t="shared" si="1727"/>
        <v>1110.6870000000001</v>
      </c>
      <c r="AD760" s="105">
        <f t="shared" si="1727"/>
        <v>1124.4270000000001</v>
      </c>
      <c r="AE760" s="103">
        <f t="shared" si="1727"/>
        <v>1124.4270000000001</v>
      </c>
      <c r="AF760" s="105">
        <f t="shared" si="1727"/>
        <v>1123.4749999999999</v>
      </c>
      <c r="AG760" s="105">
        <f t="shared" si="1727"/>
        <v>1137.5790000000002</v>
      </c>
      <c r="AH760" s="105">
        <f t="shared" si="1727"/>
        <v>1153.242</v>
      </c>
      <c r="AI760" s="105">
        <f t="shared" si="1727"/>
        <v>1118.903</v>
      </c>
      <c r="AJ760" s="103">
        <f t="shared" si="1727"/>
        <v>1118.903</v>
      </c>
      <c r="AK760" s="106">
        <f t="shared" si="1727"/>
        <v>1918.5640000000001</v>
      </c>
      <c r="AL760" s="106">
        <f t="shared" si="1727"/>
        <v>1915.598</v>
      </c>
      <c r="AM760" s="106">
        <f t="shared" si="1727"/>
        <v>1932.6289999999999</v>
      </c>
      <c r="AN760" s="106">
        <f t="shared" si="1727"/>
        <v>2596.078</v>
      </c>
      <c r="AO760" s="103">
        <f t="shared" si="1727"/>
        <v>2596.078</v>
      </c>
      <c r="AP760" s="106">
        <f t="shared" si="1727"/>
        <v>2405.1240000000003</v>
      </c>
      <c r="AQ760" s="106">
        <f t="shared" si="1727"/>
        <v>2412.6759999999999</v>
      </c>
      <c r="AR760" s="106">
        <f t="shared" si="1727"/>
        <v>2417.0439999999999</v>
      </c>
      <c r="AS760" s="106">
        <f t="shared" si="1727"/>
        <v>2405.6950000000002</v>
      </c>
      <c r="AT760" s="103">
        <f t="shared" si="1727"/>
        <v>2405.6950000000002</v>
      </c>
      <c r="AU760" s="106">
        <f t="shared" si="1727"/>
        <v>2391.6240000000003</v>
      </c>
      <c r="AV760" s="106">
        <f t="shared" si="1727"/>
        <v>2394.0260000000003</v>
      </c>
      <c r="AW760" s="106">
        <f t="shared" si="1727"/>
        <v>2407.5309999999999</v>
      </c>
      <c r="AX760" s="106">
        <f t="shared" si="1727"/>
        <v>2392.5360000000001</v>
      </c>
      <c r="AY760" s="103">
        <f t="shared" si="1727"/>
        <v>2392.5360000000001</v>
      </c>
      <c r="AZ760" s="106">
        <f t="shared" si="1727"/>
        <v>2386.4199999999996</v>
      </c>
      <c r="BA760" s="106">
        <f t="shared" si="1727"/>
        <v>2380.7540000000004</v>
      </c>
      <c r="BB760" s="106">
        <f t="shared" si="1727"/>
        <v>2416.3359999999998</v>
      </c>
      <c r="BC760" s="106">
        <f t="shared" si="1727"/>
        <v>2429.4520000000002</v>
      </c>
      <c r="BD760" s="103">
        <f t="shared" si="1727"/>
        <v>2429.4520000000002</v>
      </c>
      <c r="BE760" s="106">
        <f t="shared" si="1727"/>
        <v>2428.8520000000003</v>
      </c>
      <c r="BF760" s="106">
        <f t="shared" si="1727"/>
        <v>2470.5370000000003</v>
      </c>
      <c r="BG760" s="106">
        <f t="shared" si="1727"/>
        <v>2504.5139999999997</v>
      </c>
      <c r="BH760" s="106">
        <f t="shared" si="1727"/>
        <v>2539.585</v>
      </c>
      <c r="BI760" s="115">
        <f t="shared" si="1727"/>
        <v>2539.585</v>
      </c>
      <c r="BJ760" s="106">
        <f t="shared" si="1727"/>
        <v>2559.2340262500002</v>
      </c>
      <c r="BK760" s="106">
        <f t="shared" si="1727"/>
        <v>2580.7638650515628</v>
      </c>
      <c r="BL760" s="106">
        <f t="shared" si="1727"/>
        <v>2601.616472650896</v>
      </c>
      <c r="BM760" s="106">
        <f t="shared" si="1727"/>
        <v>2621.813023582421</v>
      </c>
      <c r="BN760" s="103">
        <f t="shared" si="1727"/>
        <v>2621.813023582421</v>
      </c>
      <c r="BO760" s="106">
        <f t="shared" si="1727"/>
        <v>2638.8740306487052</v>
      </c>
      <c r="BP760" s="106">
        <f t="shared" si="1727"/>
        <v>2657.8967718496606</v>
      </c>
      <c r="BQ760" s="106">
        <f t="shared" si="1727"/>
        <v>2676.3206745170637</v>
      </c>
      <c r="BR760" s="106">
        <f t="shared" si="1727"/>
        <v>2694.1644632997659</v>
      </c>
      <c r="BS760" s="103">
        <f t="shared" si="1727"/>
        <v>2694.1644632997659</v>
      </c>
      <c r="BT760" s="103">
        <f t="shared" si="1727"/>
        <v>2738.2917207966257</v>
      </c>
      <c r="BU760" s="103">
        <f t="shared" si="1727"/>
        <v>2776.8047992022848</v>
      </c>
      <c r="BV760" s="103">
        <f t="shared" si="1727"/>
        <v>2810.406453622184</v>
      </c>
      <c r="BW760" s="197"/>
    </row>
    <row r="761" spans="1:75" ht="15.75" customHeight="1" x14ac:dyDescent="0.2">
      <c r="A761" s="229" t="s">
        <v>389</v>
      </c>
      <c r="B761" s="108"/>
      <c r="C761" s="319">
        <f t="shared" ref="C761:BV761" si="1728">C751+C760</f>
        <v>1046.7510000000002</v>
      </c>
      <c r="D761" s="319">
        <f t="shared" si="1728"/>
        <v>1037.3069999999998</v>
      </c>
      <c r="E761" s="319">
        <f t="shared" si="1728"/>
        <v>1022.57</v>
      </c>
      <c r="F761" s="319">
        <f t="shared" si="1728"/>
        <v>1092.1669999999999</v>
      </c>
      <c r="G761" s="83">
        <f t="shared" si="1728"/>
        <v>1071.1080000000002</v>
      </c>
      <c r="H761" s="83">
        <f t="shared" si="1728"/>
        <v>1124.8869999999999</v>
      </c>
      <c r="I761" s="83">
        <f t="shared" si="1728"/>
        <v>1101.1379999999999</v>
      </c>
      <c r="J761" s="83">
        <f t="shared" si="1728"/>
        <v>1124.114</v>
      </c>
      <c r="K761" s="319">
        <f t="shared" si="1728"/>
        <v>1124.114</v>
      </c>
      <c r="L761" s="83">
        <f t="shared" si="1728"/>
        <v>1073.7559999999999</v>
      </c>
      <c r="M761" s="83">
        <f t="shared" si="1728"/>
        <v>1080.521</v>
      </c>
      <c r="N761" s="83">
        <f t="shared" si="1728"/>
        <v>1105.5140000000001</v>
      </c>
      <c r="O761" s="83">
        <f t="shared" si="1728"/>
        <v>1161.376</v>
      </c>
      <c r="P761" s="319">
        <f t="shared" si="1728"/>
        <v>1161.376</v>
      </c>
      <c r="Q761" s="83">
        <f t="shared" si="1728"/>
        <v>1128.7260000000001</v>
      </c>
      <c r="R761" s="83">
        <f t="shared" si="1728"/>
        <v>1174.79</v>
      </c>
      <c r="S761" s="83">
        <f t="shared" si="1728"/>
        <v>1175.856</v>
      </c>
      <c r="T761" s="83">
        <f t="shared" si="1728"/>
        <v>1233.346</v>
      </c>
      <c r="U761" s="319">
        <f t="shared" si="1728"/>
        <v>1233.346</v>
      </c>
      <c r="V761" s="83">
        <f t="shared" si="1728"/>
        <v>1192.6510000000001</v>
      </c>
      <c r="W761" s="83">
        <f t="shared" si="1728"/>
        <v>1204.318</v>
      </c>
      <c r="X761" s="83">
        <f t="shared" si="1728"/>
        <v>1204.3790000000001</v>
      </c>
      <c r="Y761" s="110">
        <f t="shared" si="1728"/>
        <v>1293.319</v>
      </c>
      <c r="Z761" s="109">
        <f t="shared" si="1728"/>
        <v>1293.319</v>
      </c>
      <c r="AA761" s="83">
        <f t="shared" si="1728"/>
        <v>1276.828</v>
      </c>
      <c r="AB761" s="83">
        <f t="shared" si="1728"/>
        <v>1299.3150000000001</v>
      </c>
      <c r="AC761" s="83">
        <f t="shared" si="1728"/>
        <v>1275.3280000000002</v>
      </c>
      <c r="AD761" s="83">
        <f t="shared" si="1728"/>
        <v>1333.0600000000002</v>
      </c>
      <c r="AE761" s="109">
        <f t="shared" si="1728"/>
        <v>1333.0600000000002</v>
      </c>
      <c r="AF761" s="83">
        <f t="shared" si="1728"/>
        <v>1287.3429999999998</v>
      </c>
      <c r="AG761" s="83">
        <f t="shared" si="1728"/>
        <v>1306.6390000000001</v>
      </c>
      <c r="AH761" s="83">
        <f t="shared" si="1728"/>
        <v>1308.0629999999999</v>
      </c>
      <c r="AI761" s="83">
        <f t="shared" si="1728"/>
        <v>1314.133</v>
      </c>
      <c r="AJ761" s="109">
        <f t="shared" si="1728"/>
        <v>1314.133</v>
      </c>
      <c r="AK761" s="110">
        <f t="shared" si="1728"/>
        <v>2076.08</v>
      </c>
      <c r="AL761" s="110">
        <f t="shared" si="1728"/>
        <v>2073.79</v>
      </c>
      <c r="AM761" s="110">
        <f t="shared" si="1728"/>
        <v>2381.77</v>
      </c>
      <c r="AN761" s="110">
        <f t="shared" si="1728"/>
        <v>2840.5929999999998</v>
      </c>
      <c r="AO761" s="109">
        <f t="shared" si="1728"/>
        <v>2840.5929999999998</v>
      </c>
      <c r="AP761" s="110">
        <f t="shared" si="1728"/>
        <v>2675.7820000000002</v>
      </c>
      <c r="AQ761" s="110">
        <f t="shared" si="1728"/>
        <v>2867.2809999999999</v>
      </c>
      <c r="AR761" s="110">
        <f t="shared" si="1728"/>
        <v>2828.0629999999996</v>
      </c>
      <c r="AS761" s="110">
        <f t="shared" si="1728"/>
        <v>2747.0540000000001</v>
      </c>
      <c r="AT761" s="109">
        <f t="shared" si="1728"/>
        <v>2747.0540000000001</v>
      </c>
      <c r="AU761" s="110">
        <f t="shared" si="1728"/>
        <v>2735.4390000000003</v>
      </c>
      <c r="AV761" s="110">
        <f t="shared" si="1728"/>
        <v>2722.2900000000004</v>
      </c>
      <c r="AW761" s="110">
        <f t="shared" si="1728"/>
        <v>2717.7179999999998</v>
      </c>
      <c r="AX761" s="110">
        <f t="shared" si="1728"/>
        <v>2798.125</v>
      </c>
      <c r="AY761" s="109">
        <f t="shared" si="1728"/>
        <v>2798.125</v>
      </c>
      <c r="AZ761" s="110">
        <f t="shared" si="1728"/>
        <v>2753.7409999999995</v>
      </c>
      <c r="BA761" s="110">
        <f t="shared" si="1728"/>
        <v>2772.4330000000004</v>
      </c>
      <c r="BB761" s="110">
        <f t="shared" si="1728"/>
        <v>2734.0739999999996</v>
      </c>
      <c r="BC761" s="110">
        <f t="shared" si="1728"/>
        <v>2775.2200000000003</v>
      </c>
      <c r="BD761" s="109">
        <f t="shared" si="1728"/>
        <v>2775.2200000000003</v>
      </c>
      <c r="BE761" s="110">
        <f t="shared" si="1728"/>
        <v>2742.4880000000003</v>
      </c>
      <c r="BF761" s="110">
        <f t="shared" si="1728"/>
        <v>2769.7080000000001</v>
      </c>
      <c r="BG761" s="110">
        <f t="shared" si="1728"/>
        <v>2776.89</v>
      </c>
      <c r="BH761" s="110">
        <f t="shared" si="1728"/>
        <v>2840.3829999999998</v>
      </c>
      <c r="BI761" s="107">
        <f t="shared" si="1728"/>
        <v>2840.3829999999998</v>
      </c>
      <c r="BJ761" s="110">
        <f t="shared" ca="1" si="1728"/>
        <v>2838.7434598643472</v>
      </c>
      <c r="BK761" s="110">
        <f t="shared" ca="1" si="1728"/>
        <v>2879.5880239387689</v>
      </c>
      <c r="BL761" s="110">
        <f t="shared" ca="1" si="1728"/>
        <v>2888.8428558692617</v>
      </c>
      <c r="BM761" s="110">
        <f t="shared" ca="1" si="1728"/>
        <v>2991.7140759968224</v>
      </c>
      <c r="BN761" s="109">
        <f t="shared" ca="1" si="1728"/>
        <v>2991.7140759968224</v>
      </c>
      <c r="BO761" s="110">
        <f t="shared" ca="1" si="1728"/>
        <v>2989.0918931978226</v>
      </c>
      <c r="BP761" s="110">
        <f t="shared" ca="1" si="1728"/>
        <v>3028.4629396446289</v>
      </c>
      <c r="BQ761" s="110">
        <f t="shared" ca="1" si="1728"/>
        <v>3038.5558434589766</v>
      </c>
      <c r="BR761" s="110">
        <f t="shared" ca="1" si="1728"/>
        <v>3147.4824143697997</v>
      </c>
      <c r="BS761" s="109">
        <f t="shared" ca="1" si="1728"/>
        <v>3147.4824143697997</v>
      </c>
      <c r="BT761" s="109">
        <f t="shared" ca="1" si="1728"/>
        <v>3315.1014874664934</v>
      </c>
      <c r="BU761" s="109">
        <f t="shared" ca="1" si="1728"/>
        <v>3501.0012510987626</v>
      </c>
      <c r="BV761" s="109">
        <f t="shared" ca="1" si="1728"/>
        <v>3716.2685956944251</v>
      </c>
      <c r="BW761" s="197"/>
    </row>
    <row r="762" spans="1:75" ht="15.75" customHeight="1" x14ac:dyDescent="0.2">
      <c r="A762" s="108"/>
      <c r="B762" s="108"/>
      <c r="C762" s="109"/>
      <c r="D762" s="109"/>
      <c r="E762" s="109"/>
      <c r="F762" s="109"/>
      <c r="G762" s="110"/>
      <c r="H762" s="110"/>
      <c r="I762" s="110"/>
      <c r="J762" s="110"/>
      <c r="K762" s="109"/>
      <c r="L762" s="110"/>
      <c r="M762" s="110"/>
      <c r="N762" s="110"/>
      <c r="O762" s="110"/>
      <c r="P762" s="109"/>
      <c r="Q762" s="110"/>
      <c r="R762" s="110"/>
      <c r="S762" s="110"/>
      <c r="T762" s="110"/>
      <c r="U762" s="109"/>
      <c r="V762" s="110"/>
      <c r="W762" s="110"/>
      <c r="X762" s="110"/>
      <c r="Y762" s="110"/>
      <c r="Z762" s="109"/>
      <c r="AA762" s="110"/>
      <c r="AB762" s="110"/>
      <c r="AC762" s="110"/>
      <c r="AD762" s="110"/>
      <c r="AE762" s="109"/>
      <c r="AF762" s="110"/>
      <c r="AG762" s="110"/>
      <c r="AH762" s="110"/>
      <c r="AI762" s="110"/>
      <c r="AJ762" s="109"/>
      <c r="AK762" s="110"/>
      <c r="AL762" s="110"/>
      <c r="AM762" s="110"/>
      <c r="AN762" s="110"/>
      <c r="AO762" s="109"/>
      <c r="AP762" s="110"/>
      <c r="AQ762" s="110"/>
      <c r="AR762" s="110"/>
      <c r="AS762" s="110"/>
      <c r="AT762" s="109"/>
      <c r="AU762" s="110"/>
      <c r="AV762" s="110"/>
      <c r="AW762" s="110"/>
      <c r="AX762" s="110"/>
      <c r="AY762" s="109"/>
      <c r="AZ762" s="110"/>
      <c r="BA762" s="110"/>
      <c r="BB762" s="110"/>
      <c r="BC762" s="110"/>
      <c r="BD762" s="109"/>
      <c r="BE762" s="110"/>
      <c r="BF762" s="110"/>
      <c r="BG762" s="110"/>
      <c r="BH762" s="110"/>
      <c r="BI762" s="107"/>
      <c r="BJ762" s="110"/>
      <c r="BK762" s="110"/>
      <c r="BL762" s="110"/>
      <c r="BM762" s="110"/>
      <c r="BN762" s="109"/>
      <c r="BO762" s="110"/>
      <c r="BP762" s="110"/>
      <c r="BQ762" s="110"/>
      <c r="BR762" s="110"/>
      <c r="BS762" s="109"/>
      <c r="BT762" s="109"/>
      <c r="BU762" s="109"/>
      <c r="BV762" s="109"/>
      <c r="BW762" s="197"/>
    </row>
    <row r="763" spans="1:75" ht="15.75" customHeight="1" x14ac:dyDescent="0.2">
      <c r="A763" s="229" t="s">
        <v>390</v>
      </c>
      <c r="B763" s="108"/>
      <c r="C763" s="109"/>
      <c r="D763" s="109"/>
      <c r="E763" s="109"/>
      <c r="F763" s="109"/>
      <c r="G763" s="110"/>
      <c r="H763" s="110"/>
      <c r="I763" s="110"/>
      <c r="J763" s="110"/>
      <c r="K763" s="109"/>
      <c r="L763" s="110"/>
      <c r="M763" s="110"/>
      <c r="N763" s="110"/>
      <c r="O763" s="110"/>
      <c r="P763" s="109"/>
      <c r="Q763" s="110"/>
      <c r="R763" s="110"/>
      <c r="S763" s="110"/>
      <c r="T763" s="110"/>
      <c r="U763" s="109"/>
      <c r="V763" s="110"/>
      <c r="W763" s="110"/>
      <c r="X763" s="110"/>
      <c r="Y763" s="110"/>
      <c r="Z763" s="109"/>
      <c r="AA763" s="110"/>
      <c r="AB763" s="110"/>
      <c r="AC763" s="110"/>
      <c r="AD763" s="110"/>
      <c r="AE763" s="109"/>
      <c r="AF763" s="110"/>
      <c r="AG763" s="110"/>
      <c r="AH763" s="110"/>
      <c r="AI763" s="110"/>
      <c r="AJ763" s="109"/>
      <c r="AK763" s="110"/>
      <c r="AL763" s="110"/>
      <c r="AM763" s="110"/>
      <c r="AN763" s="110"/>
      <c r="AO763" s="109"/>
      <c r="AP763" s="110"/>
      <c r="AQ763" s="110"/>
      <c r="AR763" s="110"/>
      <c r="AS763" s="110"/>
      <c r="AT763" s="109"/>
      <c r="AU763" s="110"/>
      <c r="AV763" s="110"/>
      <c r="AW763" s="110"/>
      <c r="AX763" s="110"/>
      <c r="AY763" s="109"/>
      <c r="AZ763" s="110"/>
      <c r="BA763" s="110"/>
      <c r="BB763" s="110"/>
      <c r="BC763" s="110"/>
      <c r="BD763" s="109"/>
      <c r="BE763" s="110"/>
      <c r="BF763" s="110"/>
      <c r="BG763" s="110"/>
      <c r="BH763" s="110"/>
      <c r="BI763" s="107"/>
      <c r="BJ763" s="110"/>
      <c r="BK763" s="110"/>
      <c r="BL763" s="110"/>
      <c r="BM763" s="110"/>
      <c r="BN763" s="109"/>
      <c r="BO763" s="110"/>
      <c r="BP763" s="110"/>
      <c r="BQ763" s="110"/>
      <c r="BR763" s="110"/>
      <c r="BS763" s="109"/>
      <c r="BT763" s="109"/>
      <c r="BU763" s="109"/>
      <c r="BV763" s="109"/>
      <c r="BW763" s="197"/>
    </row>
    <row r="764" spans="1:75" ht="15.75" customHeight="1" x14ac:dyDescent="0.2">
      <c r="A764" s="84" t="s">
        <v>391</v>
      </c>
      <c r="B764" s="85"/>
      <c r="C764" s="87">
        <v>33.948</v>
      </c>
      <c r="D764" s="87">
        <v>32.651000000000003</v>
      </c>
      <c r="E764" s="87">
        <v>36.158999999999999</v>
      </c>
      <c r="F764" s="87">
        <v>46.997999999999998</v>
      </c>
      <c r="G764" s="88">
        <v>35.369999999999997</v>
      </c>
      <c r="H764" s="88">
        <v>35.634999999999998</v>
      </c>
      <c r="I764" s="88">
        <v>43.981999999999999</v>
      </c>
      <c r="J764" s="88">
        <v>35.417999999999999</v>
      </c>
      <c r="K764" s="87">
        <v>35.417999999999999</v>
      </c>
      <c r="L764" s="88">
        <v>49.182000000000002</v>
      </c>
      <c r="M764" s="88">
        <v>47.494</v>
      </c>
      <c r="N764" s="88">
        <v>50.646999999999998</v>
      </c>
      <c r="O764" s="88">
        <v>57.325000000000003</v>
      </c>
      <c r="P764" s="87">
        <v>57.325000000000003</v>
      </c>
      <c r="Q764" s="88">
        <v>54.152000000000001</v>
      </c>
      <c r="R764" s="88">
        <v>52.170999999999999</v>
      </c>
      <c r="S764" s="88">
        <v>44.207999999999998</v>
      </c>
      <c r="T764" s="4">
        <f t="shared" ref="T764:T766" si="1729">U764</f>
        <v>47.77</v>
      </c>
      <c r="U764" s="87">
        <v>47.77</v>
      </c>
      <c r="V764" s="88">
        <v>38.363</v>
      </c>
      <c r="W764" s="88">
        <v>38.573</v>
      </c>
      <c r="X764" s="88">
        <v>38.905999999999999</v>
      </c>
      <c r="Y764" s="2">
        <f t="shared" ref="Y764:Y766" si="1730">Z764</f>
        <v>41.564</v>
      </c>
      <c r="Z764" s="87">
        <v>41.564</v>
      </c>
      <c r="AA764" s="88">
        <v>34.936999999999998</v>
      </c>
      <c r="AB764" s="88">
        <v>46.219000000000001</v>
      </c>
      <c r="AC764" s="88">
        <v>46.572000000000003</v>
      </c>
      <c r="AD764" s="4">
        <f t="shared" ref="AD764:AD766" si="1731">AE764</f>
        <v>50.984000000000002</v>
      </c>
      <c r="AE764" s="87">
        <v>50.984000000000002</v>
      </c>
      <c r="AF764" s="88">
        <v>38.805</v>
      </c>
      <c r="AG764" s="88">
        <v>38.311999999999998</v>
      </c>
      <c r="AH764" s="88">
        <v>39.130000000000003</v>
      </c>
      <c r="AI764" s="4">
        <f t="shared" ref="AI764:AI766" si="1732">AJ764</f>
        <v>49.070999999999998</v>
      </c>
      <c r="AJ764" s="87">
        <v>49.070999999999998</v>
      </c>
      <c r="AK764" s="88">
        <v>36.393999999999998</v>
      </c>
      <c r="AL764" s="88">
        <v>35.96</v>
      </c>
      <c r="AM764" s="88">
        <v>36.094999999999999</v>
      </c>
      <c r="AN764" s="2">
        <f t="shared" ref="AN764:AN768" si="1733">AO764</f>
        <v>61.945999999999998</v>
      </c>
      <c r="AO764" s="87">
        <v>61.945999999999998</v>
      </c>
      <c r="AP764" s="88">
        <v>55.893999999999998</v>
      </c>
      <c r="AQ764" s="88">
        <v>57.531999999999996</v>
      </c>
      <c r="AR764" s="88">
        <v>61.548999999999999</v>
      </c>
      <c r="AS764" s="2">
        <f t="shared" ref="AS764:AS768" si="1734">AT764</f>
        <v>58.432000000000002</v>
      </c>
      <c r="AT764" s="87">
        <v>58.432000000000002</v>
      </c>
      <c r="AU764" s="88">
        <v>56.046999999999997</v>
      </c>
      <c r="AV764" s="88">
        <v>55.377000000000002</v>
      </c>
      <c r="AW764" s="88">
        <v>52.89</v>
      </c>
      <c r="AX764" s="2">
        <f t="shared" ref="AX764:AX768" si="1735">AY764</f>
        <v>54.085999999999999</v>
      </c>
      <c r="AY764" s="87">
        <v>54.085999999999999</v>
      </c>
      <c r="AZ764" s="88">
        <v>61.741</v>
      </c>
      <c r="BA764" s="88">
        <v>58.927</v>
      </c>
      <c r="BB764" s="88">
        <v>59.03</v>
      </c>
      <c r="BC764" s="2">
        <f t="shared" ref="BC764:BC768" si="1736">BD764</f>
        <v>66.638000000000005</v>
      </c>
      <c r="BD764" s="87">
        <v>66.638000000000005</v>
      </c>
      <c r="BE764" s="88">
        <v>57.000999999999998</v>
      </c>
      <c r="BF764" s="88">
        <v>72.682000000000002</v>
      </c>
      <c r="BG764" s="88">
        <v>53.392000000000003</v>
      </c>
      <c r="BH764" s="2">
        <f t="shared" ref="BH764:BH768" si="1737">BI764</f>
        <v>63.152000000000001</v>
      </c>
      <c r="BI764" s="89">
        <v>63.152000000000001</v>
      </c>
      <c r="BJ764" s="2">
        <f>(BJ$382+BH$382+BG$382+BF$382)*BJ709</f>
        <v>58.761129286030283</v>
      </c>
      <c r="BK764" s="2">
        <f>(BK$382+BJ$382+BH$382+BG$382)*BK709</f>
        <v>75.468643206016239</v>
      </c>
      <c r="BL764" s="2">
        <f>(BL$382+BK$382+BJ$382+BH$382)*BL709</f>
        <v>55.595147988334986</v>
      </c>
      <c r="BM764" s="2">
        <f>(BM$382+BL$382+BK$382+BJ$382)*BM709</f>
        <v>67.178332992320094</v>
      </c>
      <c r="BN764" s="86">
        <f>BM764</f>
        <v>67.178332992320094</v>
      </c>
      <c r="BO764" s="2">
        <f>(BO$382+BM$382+BL$382+BK$382)*BO709</f>
        <v>62.556644405922619</v>
      </c>
      <c r="BP764" s="2">
        <f>(BP$382+BO$382+BM$382+BL$382)*BP709</f>
        <v>79.953605844657659</v>
      </c>
      <c r="BQ764" s="2">
        <f>(BQ$382+BP$382+BO$382+BM$382)*BQ709</f>
        <v>58.634921167786381</v>
      </c>
      <c r="BR764" s="2">
        <f>(BR$382+BQ$382+BP$382+BO$382)*BR709</f>
        <v>70.566388875608297</v>
      </c>
      <c r="BS764" s="86">
        <f>BR764</f>
        <v>70.566388875608297</v>
      </c>
      <c r="BT764" s="86">
        <f t="shared" ref="BT764:BV764" si="1738">BT382*BT709</f>
        <v>75.960355346903043</v>
      </c>
      <c r="BU764" s="86">
        <f t="shared" si="1738"/>
        <v>81.93122769450855</v>
      </c>
      <c r="BV764" s="86">
        <f t="shared" si="1738"/>
        <v>89.541169862629701</v>
      </c>
      <c r="BW764" s="483"/>
    </row>
    <row r="765" spans="1:75" ht="15.75" customHeight="1" x14ac:dyDescent="0.2">
      <c r="A765" s="84" t="s">
        <v>392</v>
      </c>
      <c r="B765" s="85"/>
      <c r="C765" s="86"/>
      <c r="D765" s="86"/>
      <c r="E765" s="86"/>
      <c r="F765" s="86"/>
      <c r="G765" s="2"/>
      <c r="H765" s="2"/>
      <c r="I765" s="2"/>
      <c r="J765" s="2"/>
      <c r="K765" s="86"/>
      <c r="L765" s="2"/>
      <c r="M765" s="2"/>
      <c r="N765" s="2"/>
      <c r="O765" s="2"/>
      <c r="P765" s="86"/>
      <c r="Q765" s="2"/>
      <c r="R765" s="2"/>
      <c r="S765" s="2"/>
      <c r="T765" s="4">
        <f t="shared" si="1729"/>
        <v>0</v>
      </c>
      <c r="U765" s="86"/>
      <c r="V765" s="2"/>
      <c r="W765" s="2"/>
      <c r="X765" s="2"/>
      <c r="Y765" s="2">
        <f t="shared" si="1730"/>
        <v>2.2989999999999999</v>
      </c>
      <c r="Z765" s="87">
        <v>2.2989999999999999</v>
      </c>
      <c r="AA765" s="88">
        <v>5.4630000000000001</v>
      </c>
      <c r="AB765" s="88">
        <v>0</v>
      </c>
      <c r="AC765" s="88">
        <v>0</v>
      </c>
      <c r="AD765" s="4">
        <f t="shared" si="1731"/>
        <v>0</v>
      </c>
      <c r="AE765" s="87">
        <v>0</v>
      </c>
      <c r="AF765" s="4">
        <f>AE765</f>
        <v>0</v>
      </c>
      <c r="AG765" s="2"/>
      <c r="AH765" s="2"/>
      <c r="AI765" s="4">
        <f t="shared" si="1732"/>
        <v>0.71199999999999997</v>
      </c>
      <c r="AJ765" s="87">
        <v>0.71199999999999997</v>
      </c>
      <c r="AK765" s="88">
        <v>3.1E-2</v>
      </c>
      <c r="AL765" s="2"/>
      <c r="AM765" s="2"/>
      <c r="AN765" s="2">
        <f t="shared" si="1733"/>
        <v>0</v>
      </c>
      <c r="AO765" s="86"/>
      <c r="AP765" s="2"/>
      <c r="AQ765" s="2"/>
      <c r="AR765" s="2"/>
      <c r="AS765" s="2">
        <f t="shared" si="1734"/>
        <v>0</v>
      </c>
      <c r="AT765" s="86"/>
      <c r="AU765" s="2"/>
      <c r="AV765" s="2"/>
      <c r="AW765" s="2"/>
      <c r="AX765" s="2">
        <f t="shared" si="1735"/>
        <v>0</v>
      </c>
      <c r="AY765" s="86"/>
      <c r="AZ765" s="2"/>
      <c r="BA765" s="2"/>
      <c r="BB765" s="2"/>
      <c r="BC765" s="2">
        <f t="shared" si="1736"/>
        <v>0</v>
      </c>
      <c r="BD765" s="86"/>
      <c r="BE765" s="2"/>
      <c r="BF765" s="2"/>
      <c r="BG765" s="2"/>
      <c r="BH765" s="2">
        <f t="shared" si="1737"/>
        <v>0</v>
      </c>
      <c r="BI765" s="90"/>
      <c r="BJ765" s="2">
        <f t="shared" ref="BJ765:BV766" si="1739">BI765</f>
        <v>0</v>
      </c>
      <c r="BK765" s="2">
        <f t="shared" si="1739"/>
        <v>0</v>
      </c>
      <c r="BL765" s="2">
        <f t="shared" si="1739"/>
        <v>0</v>
      </c>
      <c r="BM765" s="2">
        <f t="shared" si="1739"/>
        <v>0</v>
      </c>
      <c r="BN765" s="86">
        <f t="shared" si="1739"/>
        <v>0</v>
      </c>
      <c r="BO765" s="2">
        <f t="shared" si="1739"/>
        <v>0</v>
      </c>
      <c r="BP765" s="2">
        <f t="shared" si="1739"/>
        <v>0</v>
      </c>
      <c r="BQ765" s="2">
        <f t="shared" si="1739"/>
        <v>0</v>
      </c>
      <c r="BR765" s="2">
        <f t="shared" si="1739"/>
        <v>0</v>
      </c>
      <c r="BS765" s="86">
        <f t="shared" si="1739"/>
        <v>0</v>
      </c>
      <c r="BT765" s="86">
        <f t="shared" si="1739"/>
        <v>0</v>
      </c>
      <c r="BU765" s="86">
        <f t="shared" si="1739"/>
        <v>0</v>
      </c>
      <c r="BV765" s="86">
        <f t="shared" si="1739"/>
        <v>0</v>
      </c>
      <c r="BW765" s="483"/>
    </row>
    <row r="766" spans="1:75" ht="15.75" customHeight="1" x14ac:dyDescent="0.2">
      <c r="A766" s="84" t="s">
        <v>393</v>
      </c>
      <c r="B766" s="85"/>
      <c r="C766" s="86"/>
      <c r="D766" s="86"/>
      <c r="E766" s="86"/>
      <c r="F766" s="86"/>
      <c r="G766" s="2"/>
      <c r="H766" s="2"/>
      <c r="I766" s="2"/>
      <c r="J766" s="2"/>
      <c r="K766" s="86"/>
      <c r="L766" s="2"/>
      <c r="M766" s="2"/>
      <c r="N766" s="2"/>
      <c r="O766" s="2"/>
      <c r="P766" s="86"/>
      <c r="Q766" s="2"/>
      <c r="R766" s="2"/>
      <c r="S766" s="2"/>
      <c r="T766" s="4">
        <f t="shared" si="1729"/>
        <v>0</v>
      </c>
      <c r="U766" s="86"/>
      <c r="V766" s="2"/>
      <c r="W766" s="2"/>
      <c r="X766" s="2"/>
      <c r="Y766" s="2">
        <f t="shared" si="1730"/>
        <v>153.62899999999999</v>
      </c>
      <c r="Z766" s="87">
        <v>153.62899999999999</v>
      </c>
      <c r="AA766" s="88">
        <v>127.61799999999999</v>
      </c>
      <c r="AB766" s="88">
        <v>123.64</v>
      </c>
      <c r="AC766" s="88">
        <v>116.419</v>
      </c>
      <c r="AD766" s="4">
        <f t="shared" si="1731"/>
        <v>163.95099999999999</v>
      </c>
      <c r="AE766" s="87">
        <v>163.95099999999999</v>
      </c>
      <c r="AF766" s="88">
        <v>138.13399999999999</v>
      </c>
      <c r="AG766" s="88">
        <v>133.61699999999999</v>
      </c>
      <c r="AH766" s="88">
        <v>125.342</v>
      </c>
      <c r="AI766" s="4">
        <f t="shared" si="1732"/>
        <v>172.33600000000001</v>
      </c>
      <c r="AJ766" s="87">
        <v>172.33600000000001</v>
      </c>
      <c r="AK766" s="88">
        <v>145.745</v>
      </c>
      <c r="AL766" s="88">
        <v>142.36099999999999</v>
      </c>
      <c r="AM766" s="88">
        <v>135.566</v>
      </c>
      <c r="AN766" s="2">
        <f t="shared" si="1733"/>
        <v>187.97800000000001</v>
      </c>
      <c r="AO766" s="87">
        <v>187.97800000000001</v>
      </c>
      <c r="AP766" s="88">
        <v>161.215</v>
      </c>
      <c r="AQ766" s="88">
        <v>162.24100000000001</v>
      </c>
      <c r="AR766" s="88">
        <v>155.48599999999999</v>
      </c>
      <c r="AS766" s="2">
        <f t="shared" si="1734"/>
        <v>184.655</v>
      </c>
      <c r="AT766" s="87">
        <v>184.655</v>
      </c>
      <c r="AU766" s="88">
        <v>166.178</v>
      </c>
      <c r="AV766" s="88">
        <v>169.09800000000001</v>
      </c>
      <c r="AW766" s="88">
        <v>161.51300000000001</v>
      </c>
      <c r="AX766" s="2">
        <f t="shared" si="1735"/>
        <v>211.18199999999999</v>
      </c>
      <c r="AY766" s="87">
        <v>211.18199999999999</v>
      </c>
      <c r="AZ766" s="88">
        <v>185.512</v>
      </c>
      <c r="BA766" s="88">
        <v>182.29499999999999</v>
      </c>
      <c r="BB766" s="88">
        <v>174.72499999999999</v>
      </c>
      <c r="BC766" s="2">
        <f t="shared" si="1736"/>
        <v>219.80799999999999</v>
      </c>
      <c r="BD766" s="87">
        <v>219.80799999999999</v>
      </c>
      <c r="BE766" s="88">
        <v>191.90799999999999</v>
      </c>
      <c r="BF766" s="88">
        <v>187.483</v>
      </c>
      <c r="BG766" s="88">
        <v>180.2</v>
      </c>
      <c r="BH766" s="2">
        <f t="shared" si="1737"/>
        <v>222.91499999999999</v>
      </c>
      <c r="BI766" s="89">
        <v>222.91499999999999</v>
      </c>
      <c r="BJ766" s="2">
        <f>(BJ$382+BH$382+BG$382+BF$382)*BJ710</f>
        <v>197.83391166862859</v>
      </c>
      <c r="BK766" s="2">
        <f>(BK$382+BJ$382+BH$382+BG$382)*BK710</f>
        <v>194.67113775341272</v>
      </c>
      <c r="BL766" s="2">
        <f>(BL$382+BK$382+BJ$382+BH$382)*BL710</f>
        <v>187.63570698790011</v>
      </c>
      <c r="BM766" s="2">
        <f>(BM$382+BL$382+BK$382+BJ$382)*BM710</f>
        <v>237.12721844095245</v>
      </c>
      <c r="BN766" s="86">
        <f>BM766</f>
        <v>237.12721844095245</v>
      </c>
      <c r="BO766" s="2">
        <f>(BO$382+BM$382+BL$382+BK$382)*BO710</f>
        <v>210.61245442451531</v>
      </c>
      <c r="BP766" s="2">
        <f>(BP$382+BO$382+BM$382+BL$382)*BP710</f>
        <v>206.24008536603219</v>
      </c>
      <c r="BQ766" s="2">
        <f>(BQ$382+BP$382+BO$382+BM$382)*BQ710</f>
        <v>197.89505533478993</v>
      </c>
      <c r="BR766" s="2">
        <f>(BR$382+BQ$382+BP$382+BO$382)*BR710</f>
        <v>249.08643552391405</v>
      </c>
      <c r="BS766" s="86">
        <f t="shared" si="1739"/>
        <v>249.08643552391405</v>
      </c>
      <c r="BT766" s="86">
        <f t="shared" si="1739"/>
        <v>249.08643552391405</v>
      </c>
      <c r="BU766" s="86">
        <f t="shared" si="1739"/>
        <v>249.08643552391405</v>
      </c>
      <c r="BV766" s="86">
        <f t="shared" si="1739"/>
        <v>249.08643552391405</v>
      </c>
      <c r="BW766" s="483"/>
    </row>
    <row r="767" spans="1:75" ht="15.75" customHeight="1" x14ac:dyDescent="0.2">
      <c r="A767" s="84" t="s">
        <v>394</v>
      </c>
      <c r="B767" s="85"/>
      <c r="C767" s="86"/>
      <c r="D767" s="86"/>
      <c r="E767" s="86"/>
      <c r="F767" s="86"/>
      <c r="G767" s="2"/>
      <c r="H767" s="2"/>
      <c r="I767" s="2"/>
      <c r="J767" s="2"/>
      <c r="K767" s="86"/>
      <c r="L767" s="2"/>
      <c r="M767" s="2"/>
      <c r="N767" s="2"/>
      <c r="O767" s="2"/>
      <c r="P767" s="86"/>
      <c r="Q767" s="2"/>
      <c r="R767" s="2"/>
      <c r="S767" s="2"/>
      <c r="T767" s="2"/>
      <c r="U767" s="86"/>
      <c r="V767" s="2"/>
      <c r="W767" s="2"/>
      <c r="X767" s="2"/>
      <c r="Y767" s="2"/>
      <c r="Z767" s="86"/>
      <c r="AA767" s="2"/>
      <c r="AB767" s="2"/>
      <c r="AC767" s="2"/>
      <c r="AD767" s="2"/>
      <c r="AE767" s="86"/>
      <c r="AF767" s="2"/>
      <c r="AG767" s="2"/>
      <c r="AH767" s="2"/>
      <c r="AI767" s="2"/>
      <c r="AJ767" s="86"/>
      <c r="AK767" s="88">
        <v>93.150999999999996</v>
      </c>
      <c r="AL767" s="88">
        <v>85.668999999999997</v>
      </c>
      <c r="AM767" s="88">
        <v>90.027000000000001</v>
      </c>
      <c r="AN767" s="2">
        <f t="shared" si="1733"/>
        <v>128.08099999999999</v>
      </c>
      <c r="AO767" s="87">
        <v>128.08099999999999</v>
      </c>
      <c r="AP767" s="88">
        <v>123.18900000000001</v>
      </c>
      <c r="AQ767" s="88">
        <v>120.35</v>
      </c>
      <c r="AR767" s="88">
        <v>128.767</v>
      </c>
      <c r="AS767" s="2">
        <f t="shared" si="1734"/>
        <v>132.51900000000001</v>
      </c>
      <c r="AT767" s="87">
        <v>132.51900000000001</v>
      </c>
      <c r="AU767" s="88">
        <v>132.52099999999999</v>
      </c>
      <c r="AV767" s="88">
        <v>131.18899999999999</v>
      </c>
      <c r="AW767" s="88">
        <v>132.55000000000001</v>
      </c>
      <c r="AX767" s="2">
        <f t="shared" si="1735"/>
        <v>131.81800000000001</v>
      </c>
      <c r="AY767" s="87">
        <v>131.81800000000001</v>
      </c>
      <c r="AZ767" s="88">
        <v>144.96600000000001</v>
      </c>
      <c r="BA767" s="88">
        <v>144.82900000000001</v>
      </c>
      <c r="BB767" s="88">
        <v>147.41300000000001</v>
      </c>
      <c r="BC767" s="2">
        <f t="shared" si="1736"/>
        <v>139.09899999999999</v>
      </c>
      <c r="BD767" s="87">
        <v>139.09899999999999</v>
      </c>
      <c r="BE767" s="88">
        <v>140.49299999999999</v>
      </c>
      <c r="BF767" s="88">
        <v>142.37</v>
      </c>
      <c r="BG767" s="88">
        <v>144.488</v>
      </c>
      <c r="BH767" s="2">
        <f t="shared" si="1737"/>
        <v>134.905</v>
      </c>
      <c r="BI767" s="89">
        <v>134.905</v>
      </c>
      <c r="BJ767" s="2">
        <f t="shared" ref="BJ767:BV767" si="1740">BI767</f>
        <v>134.905</v>
      </c>
      <c r="BK767" s="2">
        <f t="shared" si="1740"/>
        <v>134.905</v>
      </c>
      <c r="BL767" s="2">
        <f t="shared" si="1740"/>
        <v>134.905</v>
      </c>
      <c r="BM767" s="2">
        <f t="shared" si="1740"/>
        <v>134.905</v>
      </c>
      <c r="BN767" s="86">
        <f t="shared" si="1740"/>
        <v>134.905</v>
      </c>
      <c r="BO767" s="2">
        <f t="shared" si="1740"/>
        <v>134.905</v>
      </c>
      <c r="BP767" s="2">
        <f t="shared" si="1740"/>
        <v>134.905</v>
      </c>
      <c r="BQ767" s="2">
        <f t="shared" si="1740"/>
        <v>134.905</v>
      </c>
      <c r="BR767" s="2">
        <f t="shared" si="1740"/>
        <v>134.905</v>
      </c>
      <c r="BS767" s="86">
        <f t="shared" si="1740"/>
        <v>134.905</v>
      </c>
      <c r="BT767" s="86">
        <f t="shared" si="1740"/>
        <v>134.905</v>
      </c>
      <c r="BU767" s="86">
        <f t="shared" si="1740"/>
        <v>134.905</v>
      </c>
      <c r="BV767" s="86">
        <f t="shared" si="1740"/>
        <v>134.905</v>
      </c>
      <c r="BW767" s="483"/>
    </row>
    <row r="768" spans="1:75" ht="15.75" customHeight="1" x14ac:dyDescent="0.2">
      <c r="A768" s="91" t="s">
        <v>395</v>
      </c>
      <c r="B768" s="92"/>
      <c r="C768" s="98">
        <v>166.51300000000001</v>
      </c>
      <c r="D768" s="98">
        <v>170.054</v>
      </c>
      <c r="E768" s="98">
        <v>187.08099999999999</v>
      </c>
      <c r="F768" s="98">
        <v>204.82300000000001</v>
      </c>
      <c r="G768" s="99">
        <v>183.76400000000001</v>
      </c>
      <c r="H768" s="99">
        <v>182.72300000000001</v>
      </c>
      <c r="I768" s="99">
        <v>193.00299999999999</v>
      </c>
      <c r="J768" s="99">
        <v>228.82900000000001</v>
      </c>
      <c r="K768" s="98">
        <v>228.82900000000001</v>
      </c>
      <c r="L768" s="99">
        <v>209.26599999999999</v>
      </c>
      <c r="M768" s="99">
        <v>207.41900000000001</v>
      </c>
      <c r="N768" s="99">
        <v>211.99299999999999</v>
      </c>
      <c r="O768" s="99">
        <v>264.68599999999998</v>
      </c>
      <c r="P768" s="98">
        <v>264.68599999999998</v>
      </c>
      <c r="Q768" s="99">
        <v>243.62299999999999</v>
      </c>
      <c r="R768" s="99">
        <v>246.07</v>
      </c>
      <c r="S768" s="99">
        <v>246.428</v>
      </c>
      <c r="T768" s="95">
        <f>U768</f>
        <v>302.45600000000002</v>
      </c>
      <c r="U768" s="98">
        <v>302.45600000000002</v>
      </c>
      <c r="V768" s="99">
        <v>267.85700000000003</v>
      </c>
      <c r="W768" s="99">
        <v>265.851</v>
      </c>
      <c r="X768" s="99">
        <v>265.197</v>
      </c>
      <c r="Y768" s="94">
        <f>Z768</f>
        <v>179.03399999999999</v>
      </c>
      <c r="Z768" s="98">
        <v>179.03399999999999</v>
      </c>
      <c r="AA768" s="99">
        <v>155.08099999999999</v>
      </c>
      <c r="AB768" s="99">
        <v>160.04599999999999</v>
      </c>
      <c r="AC768" s="99">
        <v>159.82300000000001</v>
      </c>
      <c r="AD768" s="95">
        <f>AE768</f>
        <v>183.01599999999999</v>
      </c>
      <c r="AE768" s="98">
        <v>183.01599999999999</v>
      </c>
      <c r="AF768" s="99">
        <v>167.36699999999999</v>
      </c>
      <c r="AG768" s="99">
        <v>182.65899999999999</v>
      </c>
      <c r="AH768" s="99">
        <v>179.06200000000001</v>
      </c>
      <c r="AI768" s="95">
        <f>AJ768</f>
        <v>194.381</v>
      </c>
      <c r="AJ768" s="98">
        <v>194.381</v>
      </c>
      <c r="AK768" s="99">
        <v>171.315</v>
      </c>
      <c r="AL768" s="99">
        <v>172.97300000000001</v>
      </c>
      <c r="AM768" s="99">
        <v>172.09800000000001</v>
      </c>
      <c r="AN768" s="94">
        <f t="shared" si="1733"/>
        <v>236.58199999999999</v>
      </c>
      <c r="AO768" s="98">
        <v>236.58199999999999</v>
      </c>
      <c r="AP768" s="99">
        <v>166.828</v>
      </c>
      <c r="AQ768" s="99">
        <v>192.54900000000001</v>
      </c>
      <c r="AR768" s="99">
        <v>194.57499999999999</v>
      </c>
      <c r="AS768" s="94">
        <f t="shared" si="1734"/>
        <v>210.46100000000001</v>
      </c>
      <c r="AT768" s="98">
        <v>210.46100000000001</v>
      </c>
      <c r="AU768" s="99">
        <v>203.21100000000001</v>
      </c>
      <c r="AV768" s="99">
        <v>241.488</v>
      </c>
      <c r="AW768" s="99">
        <v>210.155</v>
      </c>
      <c r="AX768" s="2">
        <f t="shared" si="1735"/>
        <v>239.18700000000001</v>
      </c>
      <c r="AY768" s="87">
        <v>239.18700000000001</v>
      </c>
      <c r="AZ768" s="99">
        <v>202.21700000000001</v>
      </c>
      <c r="BA768" s="99">
        <v>237.453</v>
      </c>
      <c r="BB768" s="99">
        <v>225</v>
      </c>
      <c r="BC768" s="94">
        <f t="shared" si="1736"/>
        <v>231.13300000000001</v>
      </c>
      <c r="BD768" s="98">
        <v>231.13300000000001</v>
      </c>
      <c r="BE768" s="99">
        <v>237.29300000000001</v>
      </c>
      <c r="BF768" s="99">
        <v>220.917</v>
      </c>
      <c r="BG768" s="99">
        <v>240.44</v>
      </c>
      <c r="BH768" s="94">
        <f t="shared" si="1737"/>
        <v>239.69900000000001</v>
      </c>
      <c r="BI768" s="100">
        <v>239.69900000000001</v>
      </c>
      <c r="BJ768" s="94">
        <f>(BJ$382+BH$382+BG$382+BF$382)*BJ711</f>
        <v>244.62035142664135</v>
      </c>
      <c r="BK768" s="94">
        <f>(BK$382+BJ$382+BH$382+BG$382)*BK711</f>
        <v>229.38700436343919</v>
      </c>
      <c r="BL768" s="94">
        <f>(BL$382+BK$382+BJ$382+BH$382)*BL711</f>
        <v>250.36142834722921</v>
      </c>
      <c r="BM768" s="94">
        <f>(BM$382+BL$382+BK$382+BJ$382)*BM711</f>
        <v>254.98130288709993</v>
      </c>
      <c r="BN768" s="93">
        <f>BM768</f>
        <v>254.98130288709993</v>
      </c>
      <c r="BO768" s="94">
        <f>(BO$382+BM$382+BL$382+BK$382)*BO711</f>
        <v>260.42093684346935</v>
      </c>
      <c r="BP768" s="94">
        <f>(BP$382+BO$382+BM$382+BL$382)*BP711</f>
        <v>243.01905206769536</v>
      </c>
      <c r="BQ768" s="94">
        <f>(BQ$382+BP$382+BO$382+BM$382)*BQ711</f>
        <v>264.05042788400056</v>
      </c>
      <c r="BR768" s="94">
        <f>(BR$382+BQ$382+BP$382+BO$382)*BR711</f>
        <v>267.84096856939499</v>
      </c>
      <c r="BS768" s="93">
        <f>BR768</f>
        <v>267.84096856939499</v>
      </c>
      <c r="BT768" s="93">
        <f t="shared" ref="BT768:BV768" si="1741">BT382*BT711</f>
        <v>288.31424525426451</v>
      </c>
      <c r="BU768" s="93">
        <f t="shared" si="1741"/>
        <v>310.97721920360408</v>
      </c>
      <c r="BV768" s="93">
        <f t="shared" si="1741"/>
        <v>339.86142758586391</v>
      </c>
      <c r="BW768" s="483"/>
    </row>
    <row r="769" spans="1:75" ht="15.75" customHeight="1" x14ac:dyDescent="0.2">
      <c r="A769" s="101" t="s">
        <v>396</v>
      </c>
      <c r="B769" s="102"/>
      <c r="C769" s="104">
        <f t="shared" ref="C769:BV769" si="1742">SUM(C764:C768)</f>
        <v>200.46100000000001</v>
      </c>
      <c r="D769" s="104">
        <f t="shared" si="1742"/>
        <v>202.70500000000001</v>
      </c>
      <c r="E769" s="104">
        <f t="shared" si="1742"/>
        <v>223.23999999999998</v>
      </c>
      <c r="F769" s="104">
        <f t="shared" si="1742"/>
        <v>251.821</v>
      </c>
      <c r="G769" s="105">
        <f t="shared" si="1742"/>
        <v>219.13400000000001</v>
      </c>
      <c r="H769" s="105">
        <f t="shared" si="1742"/>
        <v>218.358</v>
      </c>
      <c r="I769" s="105">
        <f t="shared" si="1742"/>
        <v>236.98499999999999</v>
      </c>
      <c r="J769" s="105">
        <f t="shared" si="1742"/>
        <v>264.24700000000001</v>
      </c>
      <c r="K769" s="104">
        <f t="shared" si="1742"/>
        <v>264.24700000000001</v>
      </c>
      <c r="L769" s="105">
        <f t="shared" si="1742"/>
        <v>258.44799999999998</v>
      </c>
      <c r="M769" s="105">
        <f t="shared" si="1742"/>
        <v>254.91300000000001</v>
      </c>
      <c r="N769" s="105">
        <f t="shared" si="1742"/>
        <v>262.64</v>
      </c>
      <c r="O769" s="105">
        <f t="shared" si="1742"/>
        <v>322.01099999999997</v>
      </c>
      <c r="P769" s="104">
        <f t="shared" si="1742"/>
        <v>322.01099999999997</v>
      </c>
      <c r="Q769" s="105">
        <f t="shared" si="1742"/>
        <v>297.77499999999998</v>
      </c>
      <c r="R769" s="105">
        <f t="shared" si="1742"/>
        <v>298.24099999999999</v>
      </c>
      <c r="S769" s="105">
        <f t="shared" si="1742"/>
        <v>290.63599999999997</v>
      </c>
      <c r="T769" s="105">
        <f t="shared" si="1742"/>
        <v>350.226</v>
      </c>
      <c r="U769" s="104">
        <f t="shared" si="1742"/>
        <v>350.226</v>
      </c>
      <c r="V769" s="105">
        <f t="shared" si="1742"/>
        <v>306.22000000000003</v>
      </c>
      <c r="W769" s="105">
        <f t="shared" si="1742"/>
        <v>304.42399999999998</v>
      </c>
      <c r="X769" s="105">
        <f t="shared" si="1742"/>
        <v>304.10300000000001</v>
      </c>
      <c r="Y769" s="106">
        <f t="shared" si="1742"/>
        <v>376.52599999999995</v>
      </c>
      <c r="Z769" s="103">
        <f t="shared" si="1742"/>
        <v>376.52599999999995</v>
      </c>
      <c r="AA769" s="105">
        <f t="shared" si="1742"/>
        <v>323.09899999999999</v>
      </c>
      <c r="AB769" s="105">
        <f t="shared" si="1742"/>
        <v>329.90499999999997</v>
      </c>
      <c r="AC769" s="105">
        <f t="shared" si="1742"/>
        <v>322.81399999999996</v>
      </c>
      <c r="AD769" s="105">
        <f t="shared" si="1742"/>
        <v>397.95100000000002</v>
      </c>
      <c r="AE769" s="103">
        <f t="shared" si="1742"/>
        <v>397.95100000000002</v>
      </c>
      <c r="AF769" s="105">
        <f t="shared" si="1742"/>
        <v>344.30599999999998</v>
      </c>
      <c r="AG769" s="105">
        <f t="shared" si="1742"/>
        <v>354.58799999999997</v>
      </c>
      <c r="AH769" s="105">
        <f t="shared" si="1742"/>
        <v>343.53399999999999</v>
      </c>
      <c r="AI769" s="105">
        <f t="shared" si="1742"/>
        <v>416.5</v>
      </c>
      <c r="AJ769" s="103">
        <f t="shared" si="1742"/>
        <v>416.5</v>
      </c>
      <c r="AK769" s="106">
        <f t="shared" si="1742"/>
        <v>446.63600000000002</v>
      </c>
      <c r="AL769" s="106">
        <f t="shared" si="1742"/>
        <v>436.96300000000002</v>
      </c>
      <c r="AM769" s="106">
        <f t="shared" si="1742"/>
        <v>433.786</v>
      </c>
      <c r="AN769" s="106">
        <f t="shared" si="1742"/>
        <v>614.58699999999999</v>
      </c>
      <c r="AO769" s="103">
        <f t="shared" si="1742"/>
        <v>614.58699999999999</v>
      </c>
      <c r="AP769" s="106">
        <f t="shared" si="1742"/>
        <v>507.12599999999998</v>
      </c>
      <c r="AQ769" s="106">
        <f t="shared" si="1742"/>
        <v>532.67200000000003</v>
      </c>
      <c r="AR769" s="106">
        <f t="shared" si="1742"/>
        <v>540.37699999999995</v>
      </c>
      <c r="AS769" s="106">
        <f t="shared" si="1742"/>
        <v>586.06700000000001</v>
      </c>
      <c r="AT769" s="103">
        <f t="shared" si="1742"/>
        <v>586.06700000000001</v>
      </c>
      <c r="AU769" s="106">
        <f t="shared" si="1742"/>
        <v>557.95699999999999</v>
      </c>
      <c r="AV769" s="106">
        <f t="shared" si="1742"/>
        <v>597.15200000000004</v>
      </c>
      <c r="AW769" s="106">
        <f t="shared" si="1742"/>
        <v>557.10800000000006</v>
      </c>
      <c r="AX769" s="106">
        <f t="shared" si="1742"/>
        <v>636.27300000000002</v>
      </c>
      <c r="AY769" s="103">
        <f t="shared" si="1742"/>
        <v>636.27300000000002</v>
      </c>
      <c r="AZ769" s="106">
        <f t="shared" si="1742"/>
        <v>594.43600000000004</v>
      </c>
      <c r="BA769" s="106">
        <f t="shared" si="1742"/>
        <v>623.50400000000002</v>
      </c>
      <c r="BB769" s="106">
        <f t="shared" si="1742"/>
        <v>606.16800000000001</v>
      </c>
      <c r="BC769" s="106">
        <f t="shared" si="1742"/>
        <v>656.678</v>
      </c>
      <c r="BD769" s="103">
        <f t="shared" si="1742"/>
        <v>656.678</v>
      </c>
      <c r="BE769" s="106">
        <f t="shared" si="1742"/>
        <v>626.69499999999994</v>
      </c>
      <c r="BF769" s="106">
        <f t="shared" si="1742"/>
        <v>623.452</v>
      </c>
      <c r="BG769" s="106">
        <f t="shared" si="1742"/>
        <v>618.52</v>
      </c>
      <c r="BH769" s="106">
        <f t="shared" si="1742"/>
        <v>660.67100000000005</v>
      </c>
      <c r="BI769" s="115">
        <f t="shared" si="1742"/>
        <v>660.67100000000005</v>
      </c>
      <c r="BJ769" s="106">
        <f t="shared" si="1742"/>
        <v>636.12039238130023</v>
      </c>
      <c r="BK769" s="106">
        <f t="shared" si="1742"/>
        <v>634.43178532286811</v>
      </c>
      <c r="BL769" s="106">
        <f t="shared" si="1742"/>
        <v>628.49728332346433</v>
      </c>
      <c r="BM769" s="106">
        <f t="shared" si="1742"/>
        <v>694.19185432037239</v>
      </c>
      <c r="BN769" s="103">
        <f t="shared" si="1742"/>
        <v>694.19185432037239</v>
      </c>
      <c r="BO769" s="106">
        <f t="shared" si="1742"/>
        <v>668.4950356739073</v>
      </c>
      <c r="BP769" s="106">
        <f t="shared" si="1742"/>
        <v>664.11774327838521</v>
      </c>
      <c r="BQ769" s="106">
        <f t="shared" si="1742"/>
        <v>655.48540438657687</v>
      </c>
      <c r="BR769" s="106">
        <f t="shared" si="1742"/>
        <v>722.39879296891741</v>
      </c>
      <c r="BS769" s="103">
        <f t="shared" si="1742"/>
        <v>722.39879296891741</v>
      </c>
      <c r="BT769" s="103">
        <f t="shared" si="1742"/>
        <v>748.26603612508154</v>
      </c>
      <c r="BU769" s="103">
        <f t="shared" si="1742"/>
        <v>776.89988242202662</v>
      </c>
      <c r="BV769" s="103">
        <f t="shared" si="1742"/>
        <v>813.39403297240767</v>
      </c>
      <c r="BW769" s="197"/>
    </row>
    <row r="770" spans="1:75" ht="15.75" customHeight="1" x14ac:dyDescent="0.2">
      <c r="A770" s="108"/>
      <c r="B770" s="108"/>
      <c r="C770" s="109"/>
      <c r="D770" s="109"/>
      <c r="E770" s="109"/>
      <c r="F770" s="109"/>
      <c r="G770" s="110"/>
      <c r="H770" s="110"/>
      <c r="I770" s="110"/>
      <c r="J770" s="110"/>
      <c r="K770" s="109"/>
      <c r="L770" s="110"/>
      <c r="M770" s="110"/>
      <c r="N770" s="110"/>
      <c r="O770" s="110"/>
      <c r="P770" s="109"/>
      <c r="Q770" s="110"/>
      <c r="R770" s="110"/>
      <c r="S770" s="110"/>
      <c r="T770" s="110"/>
      <c r="U770" s="109"/>
      <c r="V770" s="110"/>
      <c r="W770" s="110"/>
      <c r="X770" s="110"/>
      <c r="Y770" s="110"/>
      <c r="Z770" s="109"/>
      <c r="AA770" s="110"/>
      <c r="AB770" s="110"/>
      <c r="AC770" s="110"/>
      <c r="AD770" s="110"/>
      <c r="AE770" s="109"/>
      <c r="AF770" s="110"/>
      <c r="AG770" s="110"/>
      <c r="AH770" s="110"/>
      <c r="AI770" s="110"/>
      <c r="AJ770" s="109"/>
      <c r="AK770" s="110"/>
      <c r="AL770" s="110"/>
      <c r="AM770" s="110"/>
      <c r="AN770" s="110"/>
      <c r="AO770" s="109"/>
      <c r="AP770" s="110"/>
      <c r="AQ770" s="110"/>
      <c r="AR770" s="110"/>
      <c r="AS770" s="110"/>
      <c r="AT770" s="109"/>
      <c r="AU770" s="110"/>
      <c r="AV770" s="110"/>
      <c r="AW770" s="110"/>
      <c r="AX770" s="110"/>
      <c r="AY770" s="109"/>
      <c r="AZ770" s="110"/>
      <c r="BA770" s="110"/>
      <c r="BB770" s="110"/>
      <c r="BC770" s="110"/>
      <c r="BD770" s="109"/>
      <c r="BE770" s="110"/>
      <c r="BF770" s="110"/>
      <c r="BG770" s="110"/>
      <c r="BH770" s="110"/>
      <c r="BI770" s="107"/>
      <c r="BJ770" s="110"/>
      <c r="BK770" s="110"/>
      <c r="BL770" s="110"/>
      <c r="BM770" s="110"/>
      <c r="BN770" s="109"/>
      <c r="BO770" s="110"/>
      <c r="BP770" s="110"/>
      <c r="BQ770" s="110"/>
      <c r="BR770" s="110"/>
      <c r="BS770" s="109"/>
      <c r="BT770" s="109"/>
      <c r="BU770" s="109"/>
      <c r="BV770" s="109"/>
      <c r="BW770" s="197"/>
    </row>
    <row r="771" spans="1:75" ht="15.75" customHeight="1" x14ac:dyDescent="0.2">
      <c r="A771" s="83" t="s">
        <v>397</v>
      </c>
      <c r="B771" s="108"/>
      <c r="C771" s="109"/>
      <c r="D771" s="109"/>
      <c r="E771" s="109"/>
      <c r="F771" s="109"/>
      <c r="G771" s="110"/>
      <c r="H771" s="110"/>
      <c r="I771" s="110"/>
      <c r="J771" s="110"/>
      <c r="K771" s="109"/>
      <c r="L771" s="110"/>
      <c r="M771" s="110"/>
      <c r="N771" s="110"/>
      <c r="O771" s="110"/>
      <c r="P771" s="109"/>
      <c r="Q771" s="110"/>
      <c r="R771" s="110"/>
      <c r="S771" s="110"/>
      <c r="T771" s="110"/>
      <c r="U771" s="109"/>
      <c r="V771" s="110"/>
      <c r="W771" s="110"/>
      <c r="X771" s="110"/>
      <c r="Y771" s="110"/>
      <c r="Z771" s="109"/>
      <c r="AA771" s="110"/>
      <c r="AB771" s="110"/>
      <c r="AC771" s="110"/>
      <c r="AD771" s="110"/>
      <c r="AE771" s="109"/>
      <c r="AF771" s="110"/>
      <c r="AG771" s="110"/>
      <c r="AH771" s="110"/>
      <c r="AI771" s="110"/>
      <c r="AJ771" s="109"/>
      <c r="AK771" s="110"/>
      <c r="AL771" s="110"/>
      <c r="AM771" s="110"/>
      <c r="AN771" s="110"/>
      <c r="AO771" s="109"/>
      <c r="AP771" s="110"/>
      <c r="AQ771" s="110"/>
      <c r="AR771" s="110"/>
      <c r="AS771" s="110"/>
      <c r="AT771" s="109"/>
      <c r="AU771" s="110"/>
      <c r="AV771" s="110"/>
      <c r="AW771" s="110"/>
      <c r="AX771" s="110"/>
      <c r="AY771" s="109"/>
      <c r="AZ771" s="110"/>
      <c r="BA771" s="110"/>
      <c r="BB771" s="110"/>
      <c r="BC771" s="110"/>
      <c r="BD771" s="109"/>
      <c r="BE771" s="110"/>
      <c r="BF771" s="110"/>
      <c r="BG771" s="110"/>
      <c r="BH771" s="110"/>
      <c r="BI771" s="107"/>
      <c r="BJ771" s="110"/>
      <c r="BK771" s="110"/>
      <c r="BL771" s="110"/>
      <c r="BM771" s="110"/>
      <c r="BN771" s="109"/>
      <c r="BO771" s="110"/>
      <c r="BP771" s="110"/>
      <c r="BQ771" s="110"/>
      <c r="BR771" s="110"/>
      <c r="BS771" s="109"/>
      <c r="BT771" s="109"/>
      <c r="BU771" s="109"/>
      <c r="BV771" s="109"/>
      <c r="BW771" s="197"/>
    </row>
    <row r="772" spans="1:75" ht="15.75" customHeight="1" x14ac:dyDescent="0.2">
      <c r="A772" s="84" t="s">
        <v>398</v>
      </c>
      <c r="B772" s="85"/>
      <c r="C772" s="86"/>
      <c r="D772" s="86"/>
      <c r="E772" s="86"/>
      <c r="F772" s="87">
        <v>1.2130000000000001</v>
      </c>
      <c r="G772" s="88">
        <v>4.6130000000000004</v>
      </c>
      <c r="H772" s="2"/>
      <c r="I772" s="2"/>
      <c r="J772" s="88">
        <v>0</v>
      </c>
      <c r="K772" s="86"/>
      <c r="L772" s="2"/>
      <c r="M772" s="2"/>
      <c r="N772" s="2"/>
      <c r="O772" s="88">
        <v>0</v>
      </c>
      <c r="P772" s="86"/>
      <c r="Q772" s="2"/>
      <c r="R772" s="2"/>
      <c r="S772" s="2"/>
      <c r="T772" s="4">
        <f t="shared" ref="T772:T776" si="1743">U772</f>
        <v>0</v>
      </c>
      <c r="U772" s="86"/>
      <c r="V772" s="2"/>
      <c r="W772" s="2"/>
      <c r="X772" s="2"/>
      <c r="Y772" s="2">
        <f t="shared" ref="Y772:Y776" si="1744">Z772</f>
        <v>0</v>
      </c>
      <c r="Z772" s="86"/>
      <c r="AA772" s="2"/>
      <c r="AB772" s="2"/>
      <c r="AC772" s="2"/>
      <c r="AD772" s="2"/>
      <c r="AE772" s="86"/>
      <c r="AF772" s="2"/>
      <c r="AG772" s="2"/>
      <c r="AH772" s="2"/>
      <c r="AI772" s="2"/>
      <c r="AJ772" s="86"/>
      <c r="AK772" s="2"/>
      <c r="AL772" s="2"/>
      <c r="AM772" s="2"/>
      <c r="AN772" s="2"/>
      <c r="AO772" s="86"/>
      <c r="AP772" s="2"/>
      <c r="AQ772" s="2"/>
      <c r="AR772" s="2"/>
      <c r="AS772" s="2"/>
      <c r="AT772" s="86"/>
      <c r="AU772" s="2"/>
      <c r="AV772" s="2"/>
      <c r="AW772" s="2"/>
      <c r="AX772" s="2"/>
      <c r="AY772" s="86"/>
      <c r="AZ772" s="2"/>
      <c r="BA772" s="2"/>
      <c r="BB772" s="2"/>
      <c r="BC772" s="2"/>
      <c r="BD772" s="86"/>
      <c r="BE772" s="2"/>
      <c r="BF772" s="2"/>
      <c r="BG772" s="2"/>
      <c r="BH772" s="2"/>
      <c r="BI772" s="90"/>
      <c r="BJ772" s="2"/>
      <c r="BK772" s="2"/>
      <c r="BL772" s="2"/>
      <c r="BM772" s="2"/>
      <c r="BN772" s="86"/>
      <c r="BO772" s="2"/>
      <c r="BP772" s="2"/>
      <c r="BQ772" s="2"/>
      <c r="BR772" s="2"/>
      <c r="BS772" s="86"/>
      <c r="BT772" s="86"/>
      <c r="BU772" s="86"/>
      <c r="BV772" s="86"/>
      <c r="BW772" s="483"/>
    </row>
    <row r="773" spans="1:75" ht="15.75" customHeight="1" x14ac:dyDescent="0.2">
      <c r="A773" s="84" t="s">
        <v>379</v>
      </c>
      <c r="B773" s="85"/>
      <c r="C773" s="87">
        <v>87.048000000000002</v>
      </c>
      <c r="D773" s="87">
        <v>95.828000000000003</v>
      </c>
      <c r="E773" s="87">
        <v>103.92700000000001</v>
      </c>
      <c r="F773" s="87">
        <v>91.852000000000004</v>
      </c>
      <c r="G773" s="88">
        <v>95.45</v>
      </c>
      <c r="H773" s="88">
        <v>97.89</v>
      </c>
      <c r="I773" s="88">
        <v>99.421999999999997</v>
      </c>
      <c r="J773" s="88">
        <v>97.236999999999995</v>
      </c>
      <c r="K773" s="87">
        <v>97.236999999999995</v>
      </c>
      <c r="L773" s="88">
        <v>98.046999999999997</v>
      </c>
      <c r="M773" s="88">
        <v>97.046999999999997</v>
      </c>
      <c r="N773" s="88">
        <v>96.149000000000001</v>
      </c>
      <c r="O773" s="88">
        <v>81.433000000000007</v>
      </c>
      <c r="P773" s="87">
        <v>81.433000000000007</v>
      </c>
      <c r="Q773" s="88">
        <v>97.724000000000004</v>
      </c>
      <c r="R773" s="88">
        <v>97.655000000000001</v>
      </c>
      <c r="S773" s="88">
        <v>97.183999999999997</v>
      </c>
      <c r="T773" s="4">
        <f t="shared" si="1743"/>
        <v>82.524000000000001</v>
      </c>
      <c r="U773" s="87">
        <v>82.524000000000001</v>
      </c>
      <c r="V773" s="88">
        <v>85.685000000000002</v>
      </c>
      <c r="W773" s="88">
        <v>83.736999999999995</v>
      </c>
      <c r="X773" s="88">
        <v>83.087999999999994</v>
      </c>
      <c r="Y773" s="2">
        <f t="shared" si="1744"/>
        <v>82.400999999999996</v>
      </c>
      <c r="Z773" s="87">
        <v>82.400999999999996</v>
      </c>
      <c r="AA773" s="88">
        <v>85.587000000000003</v>
      </c>
      <c r="AB773" s="88">
        <v>84.665000000000006</v>
      </c>
      <c r="AC773" s="88">
        <v>83.54</v>
      </c>
      <c r="AD773" s="4">
        <f t="shared" ref="AD773:AD776" si="1745">AE773</f>
        <v>57.216000000000001</v>
      </c>
      <c r="AE773" s="87">
        <v>57.216000000000001</v>
      </c>
      <c r="AF773" s="88">
        <v>57.122</v>
      </c>
      <c r="AG773" s="88">
        <v>56.77</v>
      </c>
      <c r="AH773" s="88">
        <v>56.881</v>
      </c>
      <c r="AI773" s="4">
        <f t="shared" ref="AI773:AI776" si="1746">AJ773</f>
        <v>52.122999999999998</v>
      </c>
      <c r="AJ773" s="87">
        <v>52.122999999999998</v>
      </c>
      <c r="AK773" s="88">
        <v>43.048000000000002</v>
      </c>
      <c r="AL773" s="88">
        <v>38.902000000000001</v>
      </c>
      <c r="AM773" s="88">
        <v>38.448999999999998</v>
      </c>
      <c r="AN773" s="2">
        <f t="shared" ref="AN773:AN778" si="1747">AO773</f>
        <v>33.847000000000001</v>
      </c>
      <c r="AO773" s="87">
        <v>33.847000000000001</v>
      </c>
      <c r="AP773" s="88">
        <v>23.838000000000001</v>
      </c>
      <c r="AQ773" s="88">
        <v>23.478999999999999</v>
      </c>
      <c r="AR773" s="2"/>
      <c r="AS773" s="2">
        <f t="shared" ref="AS773:AS779" si="1748">AT773</f>
        <v>0</v>
      </c>
      <c r="AT773" s="86"/>
      <c r="AU773" s="2"/>
      <c r="AV773" s="2"/>
      <c r="AW773" s="2"/>
      <c r="AX773" s="2"/>
      <c r="AY773" s="86"/>
      <c r="AZ773" s="2"/>
      <c r="BA773" s="2"/>
      <c r="BB773" s="2"/>
      <c r="BC773" s="2"/>
      <c r="BD773" s="86"/>
      <c r="BE773" s="2"/>
      <c r="BF773" s="2"/>
      <c r="BG773" s="2"/>
      <c r="BH773" s="2"/>
      <c r="BI773" s="90"/>
      <c r="BJ773" s="2">
        <f t="shared" ref="BJ773:BM773" si="1749">BI773+BJ638</f>
        <v>0.35068902536221702</v>
      </c>
      <c r="BK773" s="2">
        <f t="shared" ca="1" si="1749"/>
        <v>2.0953464567349931</v>
      </c>
      <c r="BL773" s="2">
        <f t="shared" ca="1" si="1749"/>
        <v>2.6150973563008471</v>
      </c>
      <c r="BM773" s="2">
        <f t="shared" ca="1" si="1749"/>
        <v>4.1707921247796627</v>
      </c>
      <c r="BN773" s="86">
        <f ca="1">BM773</f>
        <v>4.1707921247796627</v>
      </c>
      <c r="BO773" s="2">
        <f t="shared" ref="BO773:BR773" ca="1" si="1750">BN773+BO638</f>
        <v>4.5234661870617554</v>
      </c>
      <c r="BP773" s="2">
        <f t="shared" ca="1" si="1750"/>
        <v>6.3111940184070967</v>
      </c>
      <c r="BQ773" s="2">
        <f t="shared" ca="1" si="1750"/>
        <v>6.9142642022561382</v>
      </c>
      <c r="BR773" s="2">
        <f t="shared" ca="1" si="1750"/>
        <v>8.6408423067239717</v>
      </c>
      <c r="BS773" s="86">
        <f ca="1">BR773</f>
        <v>8.6408423067239717</v>
      </c>
      <c r="BT773" s="86">
        <f t="shared" ref="BT773:BV773" ca="1" si="1751">BS773+BT638</f>
        <v>14.619343226162538</v>
      </c>
      <c r="BU773" s="86">
        <f t="shared" ca="1" si="1751"/>
        <v>21.146129192891877</v>
      </c>
      <c r="BV773" s="86">
        <f t="shared" ca="1" si="1751"/>
        <v>28.432724827291086</v>
      </c>
      <c r="BW773" s="483"/>
    </row>
    <row r="774" spans="1:75" ht="15.75" customHeight="1" x14ac:dyDescent="0.2">
      <c r="A774" s="84" t="s">
        <v>399</v>
      </c>
      <c r="B774" s="85"/>
      <c r="C774" s="87">
        <v>64.209000000000003</v>
      </c>
      <c r="D774" s="87">
        <v>67.257999999999996</v>
      </c>
      <c r="E774" s="87">
        <v>69.742000000000004</v>
      </c>
      <c r="F774" s="87">
        <v>76.144000000000005</v>
      </c>
      <c r="G774" s="88">
        <v>74.879000000000005</v>
      </c>
      <c r="H774" s="88">
        <v>75.13</v>
      </c>
      <c r="I774" s="88">
        <v>75.164000000000001</v>
      </c>
      <c r="J774" s="88">
        <v>74.69</v>
      </c>
      <c r="K774" s="87">
        <v>74.69</v>
      </c>
      <c r="L774" s="88">
        <v>74.691999999999993</v>
      </c>
      <c r="M774" s="88">
        <v>74.081999999999994</v>
      </c>
      <c r="N774" s="88">
        <v>73.867000000000004</v>
      </c>
      <c r="O774" s="88">
        <v>73.856999999999999</v>
      </c>
      <c r="P774" s="87">
        <v>73.856999999999999</v>
      </c>
      <c r="Q774" s="88">
        <v>73.450999999999993</v>
      </c>
      <c r="R774" s="88">
        <v>73.100999999999999</v>
      </c>
      <c r="S774" s="88">
        <v>72.858000000000004</v>
      </c>
      <c r="T774" s="4">
        <f t="shared" si="1743"/>
        <v>72.911000000000001</v>
      </c>
      <c r="U774" s="87">
        <v>72.911000000000001</v>
      </c>
      <c r="V774" s="88">
        <v>72.58</v>
      </c>
      <c r="W774" s="88">
        <v>72.254999999999995</v>
      </c>
      <c r="X774" s="88">
        <v>71.808000000000007</v>
      </c>
      <c r="Y774" s="2">
        <f t="shared" si="1744"/>
        <v>71.575000000000003</v>
      </c>
      <c r="Z774" s="87">
        <v>71.575000000000003</v>
      </c>
      <c r="AA774" s="88">
        <v>70.856999999999999</v>
      </c>
      <c r="AB774" s="88">
        <v>75.260999999999996</v>
      </c>
      <c r="AC774" s="88">
        <v>74.784000000000006</v>
      </c>
      <c r="AD774" s="4">
        <f t="shared" si="1745"/>
        <v>74.760999999999996</v>
      </c>
      <c r="AE774" s="87">
        <v>74.760999999999996</v>
      </c>
      <c r="AF774" s="88">
        <v>73.665999999999997</v>
      </c>
      <c r="AG774" s="88">
        <v>71.497</v>
      </c>
      <c r="AH774" s="88">
        <v>70.436999999999998</v>
      </c>
      <c r="AI774" s="4">
        <f t="shared" si="1746"/>
        <v>79.697000000000003</v>
      </c>
      <c r="AJ774" s="87">
        <v>79.697000000000003</v>
      </c>
      <c r="AK774" s="2"/>
      <c r="AL774" s="2"/>
      <c r="AM774" s="2"/>
      <c r="AN774" s="2">
        <f t="shared" si="1747"/>
        <v>0</v>
      </c>
      <c r="AO774" s="86"/>
      <c r="AP774" s="2"/>
      <c r="AQ774" s="2"/>
      <c r="AR774" s="2"/>
      <c r="AS774" s="2">
        <f t="shared" si="1748"/>
        <v>0</v>
      </c>
      <c r="AT774" s="86"/>
      <c r="AU774" s="2"/>
      <c r="AV774" s="2"/>
      <c r="AW774" s="2"/>
      <c r="AX774" s="2"/>
      <c r="AY774" s="86"/>
      <c r="AZ774" s="2"/>
      <c r="BA774" s="2"/>
      <c r="BB774" s="2"/>
      <c r="BC774" s="2"/>
      <c r="BD774" s="86"/>
      <c r="BE774" s="2"/>
      <c r="BF774" s="2"/>
      <c r="BG774" s="2"/>
      <c r="BH774" s="2"/>
      <c r="BI774" s="90"/>
      <c r="BJ774" s="2">
        <f t="shared" ref="BJ774:BV775" si="1752">BI774</f>
        <v>0</v>
      </c>
      <c r="BK774" s="2">
        <f t="shared" si="1752"/>
        <v>0</v>
      </c>
      <c r="BL774" s="2">
        <f t="shared" si="1752"/>
        <v>0</v>
      </c>
      <c r="BM774" s="2">
        <f t="shared" si="1752"/>
        <v>0</v>
      </c>
      <c r="BN774" s="86">
        <f t="shared" si="1752"/>
        <v>0</v>
      </c>
      <c r="BO774" s="2">
        <f t="shared" si="1752"/>
        <v>0</v>
      </c>
      <c r="BP774" s="2">
        <f t="shared" si="1752"/>
        <v>0</v>
      </c>
      <c r="BQ774" s="2">
        <f t="shared" si="1752"/>
        <v>0</v>
      </c>
      <c r="BR774" s="2">
        <f t="shared" si="1752"/>
        <v>0</v>
      </c>
      <c r="BS774" s="86">
        <f t="shared" si="1752"/>
        <v>0</v>
      </c>
      <c r="BT774" s="86">
        <f t="shared" si="1752"/>
        <v>0</v>
      </c>
      <c r="BU774" s="86">
        <f t="shared" si="1752"/>
        <v>0</v>
      </c>
      <c r="BV774" s="86">
        <f t="shared" si="1752"/>
        <v>0</v>
      </c>
      <c r="BW774" s="483"/>
    </row>
    <row r="775" spans="1:75" ht="15.75" customHeight="1" x14ac:dyDescent="0.2">
      <c r="A775" s="84" t="s">
        <v>400</v>
      </c>
      <c r="B775" s="85"/>
      <c r="C775" s="87">
        <v>51.802</v>
      </c>
      <c r="D775" s="87">
        <v>51.954000000000001</v>
      </c>
      <c r="E775" s="87">
        <v>55.085999999999999</v>
      </c>
      <c r="F775" s="87">
        <v>55.122999999999998</v>
      </c>
      <c r="G775" s="88">
        <v>56.445999999999998</v>
      </c>
      <c r="H775" s="88">
        <v>59.594000000000001</v>
      </c>
      <c r="I775" s="88">
        <v>64.302000000000007</v>
      </c>
      <c r="J775" s="88">
        <v>66.197000000000003</v>
      </c>
      <c r="K775" s="87">
        <v>66.197000000000003</v>
      </c>
      <c r="L775" s="88">
        <v>69.400999999999996</v>
      </c>
      <c r="M775" s="88">
        <v>72.47</v>
      </c>
      <c r="N775" s="88">
        <v>76.653000000000006</v>
      </c>
      <c r="O775" s="88">
        <v>77.165000000000006</v>
      </c>
      <c r="P775" s="87">
        <v>77.165000000000006</v>
      </c>
      <c r="Q775" s="88">
        <v>76.552000000000007</v>
      </c>
      <c r="R775" s="88">
        <v>79.221000000000004</v>
      </c>
      <c r="S775" s="88">
        <v>85.259</v>
      </c>
      <c r="T775" s="4">
        <f t="shared" si="1743"/>
        <v>87.840999999999994</v>
      </c>
      <c r="U775" s="87">
        <v>87.840999999999994</v>
      </c>
      <c r="V775" s="88">
        <v>89.173000000000002</v>
      </c>
      <c r="W775" s="88">
        <v>91.972999999999999</v>
      </c>
      <c r="X775" s="88">
        <v>98.501000000000005</v>
      </c>
      <c r="Y775" s="2">
        <f t="shared" si="1744"/>
        <v>100.57599999999999</v>
      </c>
      <c r="Z775" s="87">
        <v>100.57599999999999</v>
      </c>
      <c r="AA775" s="88">
        <v>107.541</v>
      </c>
      <c r="AB775" s="88">
        <v>104.60599999999999</v>
      </c>
      <c r="AC775" s="88">
        <v>113.607</v>
      </c>
      <c r="AD775" s="4">
        <f t="shared" si="1745"/>
        <v>108.627</v>
      </c>
      <c r="AE775" s="87">
        <v>108.627</v>
      </c>
      <c r="AF775" s="88">
        <v>112.895</v>
      </c>
      <c r="AG775" s="88">
        <v>114.79</v>
      </c>
      <c r="AH775" s="88">
        <v>125.56399999999999</v>
      </c>
      <c r="AI775" s="4">
        <f t="shared" si="1746"/>
        <v>113.095</v>
      </c>
      <c r="AJ775" s="87">
        <v>113.095</v>
      </c>
      <c r="AK775" s="2"/>
      <c r="AL775" s="2"/>
      <c r="AM775" s="2"/>
      <c r="AN775" s="2">
        <f t="shared" si="1747"/>
        <v>0</v>
      </c>
      <c r="AO775" s="86"/>
      <c r="AP775" s="2"/>
      <c r="AQ775" s="2"/>
      <c r="AR775" s="2"/>
      <c r="AS775" s="2">
        <f t="shared" si="1748"/>
        <v>0</v>
      </c>
      <c r="AT775" s="86"/>
      <c r="AU775" s="2"/>
      <c r="AV775" s="2"/>
      <c r="AW775" s="2"/>
      <c r="AX775" s="2"/>
      <c r="AY775" s="86"/>
      <c r="AZ775" s="2"/>
      <c r="BA775" s="2"/>
      <c r="BB775" s="2"/>
      <c r="BC775" s="2"/>
      <c r="BD775" s="86"/>
      <c r="BE775" s="2"/>
      <c r="BF775" s="2"/>
      <c r="BG775" s="2"/>
      <c r="BH775" s="2"/>
      <c r="BI775" s="90"/>
      <c r="BJ775" s="2">
        <f t="shared" si="1752"/>
        <v>0</v>
      </c>
      <c r="BK775" s="2">
        <f t="shared" si="1752"/>
        <v>0</v>
      </c>
      <c r="BL775" s="2">
        <f t="shared" si="1752"/>
        <v>0</v>
      </c>
      <c r="BM775" s="2">
        <f t="shared" si="1752"/>
        <v>0</v>
      </c>
      <c r="BN775" s="86">
        <f t="shared" si="1752"/>
        <v>0</v>
      </c>
      <c r="BO775" s="2">
        <f t="shared" si="1752"/>
        <v>0</v>
      </c>
      <c r="BP775" s="2">
        <f t="shared" si="1752"/>
        <v>0</v>
      </c>
      <c r="BQ775" s="2">
        <f t="shared" si="1752"/>
        <v>0</v>
      </c>
      <c r="BR775" s="2">
        <f t="shared" si="1752"/>
        <v>0</v>
      </c>
      <c r="BS775" s="86">
        <f t="shared" si="1752"/>
        <v>0</v>
      </c>
      <c r="BT775" s="86">
        <f t="shared" si="1752"/>
        <v>0</v>
      </c>
      <c r="BU775" s="86">
        <f t="shared" si="1752"/>
        <v>0</v>
      </c>
      <c r="BV775" s="86">
        <f t="shared" si="1752"/>
        <v>0</v>
      </c>
      <c r="BW775" s="483"/>
    </row>
    <row r="776" spans="1:75" ht="15.75" customHeight="1" x14ac:dyDescent="0.2">
      <c r="A776" s="84" t="s">
        <v>401</v>
      </c>
      <c r="B776" s="85"/>
      <c r="C776" s="87">
        <v>100</v>
      </c>
      <c r="D776" s="86"/>
      <c r="E776" s="86"/>
      <c r="F776" s="86"/>
      <c r="G776" s="2"/>
      <c r="H776" s="2"/>
      <c r="I776" s="2"/>
      <c r="J776" s="88">
        <v>0</v>
      </c>
      <c r="K776" s="86"/>
      <c r="L776" s="88">
        <v>25</v>
      </c>
      <c r="M776" s="88">
        <v>25</v>
      </c>
      <c r="N776" s="88">
        <v>25</v>
      </c>
      <c r="O776" s="88">
        <v>0</v>
      </c>
      <c r="P776" s="86"/>
      <c r="Q776" s="88">
        <v>25</v>
      </c>
      <c r="R776" s="88">
        <v>25</v>
      </c>
      <c r="S776" s="2"/>
      <c r="T776" s="4">
        <f t="shared" si="1743"/>
        <v>0</v>
      </c>
      <c r="U776" s="86"/>
      <c r="V776" s="2"/>
      <c r="W776" s="2"/>
      <c r="X776" s="2"/>
      <c r="Y776" s="2">
        <f t="shared" si="1744"/>
        <v>0</v>
      </c>
      <c r="Z776" s="86"/>
      <c r="AA776" s="2"/>
      <c r="AB776" s="88">
        <v>0</v>
      </c>
      <c r="AC776" s="88">
        <v>30</v>
      </c>
      <c r="AD776" s="4">
        <f t="shared" si="1745"/>
        <v>10</v>
      </c>
      <c r="AE776" s="87">
        <v>10</v>
      </c>
      <c r="AF776" s="88">
        <v>30</v>
      </c>
      <c r="AG776" s="88">
        <v>20</v>
      </c>
      <c r="AH776" s="88">
        <v>20</v>
      </c>
      <c r="AI776" s="4">
        <f t="shared" si="1746"/>
        <v>10</v>
      </c>
      <c r="AJ776" s="87">
        <v>10</v>
      </c>
      <c r="AK776" s="88">
        <v>20</v>
      </c>
      <c r="AL776" s="88">
        <v>35</v>
      </c>
      <c r="AM776" s="88">
        <v>335</v>
      </c>
      <c r="AN776" s="2">
        <f t="shared" si="1747"/>
        <v>290</v>
      </c>
      <c r="AO776" s="87">
        <v>290</v>
      </c>
      <c r="AP776" s="88">
        <v>380</v>
      </c>
      <c r="AQ776" s="88">
        <v>376</v>
      </c>
      <c r="AR776" s="88">
        <v>376</v>
      </c>
      <c r="AS776" s="2">
        <f t="shared" si="1748"/>
        <v>280</v>
      </c>
      <c r="AT776" s="87">
        <v>280</v>
      </c>
      <c r="AU776" s="88">
        <v>280</v>
      </c>
      <c r="AV776" s="88">
        <v>465.01</v>
      </c>
      <c r="AW776" s="88">
        <v>465.51400000000001</v>
      </c>
      <c r="AX776" s="2">
        <f t="shared" ref="AX776:AX778" si="1753">AY776</f>
        <v>466.017</v>
      </c>
      <c r="AY776" s="87">
        <v>466.017</v>
      </c>
      <c r="AZ776" s="88">
        <v>466.52100000000002</v>
      </c>
      <c r="BA776" s="88">
        <v>467.02499999999998</v>
      </c>
      <c r="BB776" s="88">
        <v>467.52800000000002</v>
      </c>
      <c r="BC776" s="2">
        <f t="shared" ref="BC776:BC778" si="1754">BD776</f>
        <v>468.03199999999998</v>
      </c>
      <c r="BD776" s="87">
        <v>468.03199999999998</v>
      </c>
      <c r="BE776" s="88">
        <v>468.536</v>
      </c>
      <c r="BF776" s="88">
        <v>469.04</v>
      </c>
      <c r="BG776" s="88">
        <v>469.54300000000001</v>
      </c>
      <c r="BH776" s="2">
        <f t="shared" ref="BH776:BH778" si="1755">BI776</f>
        <v>470.04700000000003</v>
      </c>
      <c r="BI776" s="89">
        <v>470.04700000000003</v>
      </c>
      <c r="BJ776" s="2">
        <f t="shared" ref="BJ776:BM776" si="1756">BJ522</f>
        <v>470.04700000000003</v>
      </c>
      <c r="BK776" s="2">
        <f t="shared" si="1756"/>
        <v>470.04700000000003</v>
      </c>
      <c r="BL776" s="2">
        <f t="shared" si="1756"/>
        <v>470.04700000000003</v>
      </c>
      <c r="BM776" s="2">
        <f t="shared" si="1756"/>
        <v>470.04700000000003</v>
      </c>
      <c r="BN776" s="86">
        <f>BM776</f>
        <v>470.04700000000003</v>
      </c>
      <c r="BO776" s="2">
        <f t="shared" ref="BO776:BR776" si="1757">BO522</f>
        <v>470.04700000000003</v>
      </c>
      <c r="BP776" s="2">
        <f t="shared" si="1757"/>
        <v>470.04700000000003</v>
      </c>
      <c r="BQ776" s="2">
        <f t="shared" si="1757"/>
        <v>470.04700000000003</v>
      </c>
      <c r="BR776" s="2">
        <f t="shared" si="1757"/>
        <v>470.04700000000003</v>
      </c>
      <c r="BS776" s="86">
        <f>BR776</f>
        <v>470.04700000000003</v>
      </c>
      <c r="BT776" s="86">
        <f t="shared" ref="BT776:BV776" si="1758">BT522</f>
        <v>470.04700000000003</v>
      </c>
      <c r="BU776" s="86">
        <f t="shared" si="1758"/>
        <v>470.04700000000003</v>
      </c>
      <c r="BV776" s="86">
        <f t="shared" si="1758"/>
        <v>470.04700000000003</v>
      </c>
      <c r="BW776" s="483"/>
    </row>
    <row r="777" spans="1:75" ht="15.75" customHeight="1" x14ac:dyDescent="0.2">
      <c r="A777" s="84" t="s">
        <v>394</v>
      </c>
      <c r="B777" s="85"/>
      <c r="C777" s="86"/>
      <c r="D777" s="86"/>
      <c r="E777" s="86"/>
      <c r="F777" s="86"/>
      <c r="G777" s="2"/>
      <c r="H777" s="2"/>
      <c r="I777" s="2"/>
      <c r="J777" s="2"/>
      <c r="K777" s="86"/>
      <c r="L777" s="2"/>
      <c r="M777" s="2"/>
      <c r="N777" s="2"/>
      <c r="O777" s="2"/>
      <c r="P777" s="86"/>
      <c r="Q777" s="2"/>
      <c r="R777" s="2"/>
      <c r="S777" s="2"/>
      <c r="T777" s="2"/>
      <c r="U777" s="86"/>
      <c r="V777" s="2"/>
      <c r="W777" s="2"/>
      <c r="X777" s="2"/>
      <c r="Y777" s="2"/>
      <c r="Z777" s="86"/>
      <c r="AA777" s="2"/>
      <c r="AB777" s="2"/>
      <c r="AC777" s="2"/>
      <c r="AD777" s="2"/>
      <c r="AE777" s="86"/>
      <c r="AF777" s="2"/>
      <c r="AG777" s="2"/>
      <c r="AH777" s="2"/>
      <c r="AI777" s="2"/>
      <c r="AJ777" s="86"/>
      <c r="AK777" s="88">
        <v>946.78599999999994</v>
      </c>
      <c r="AL777" s="88">
        <v>942.58600000000001</v>
      </c>
      <c r="AM777" s="88">
        <v>959.63199999999995</v>
      </c>
      <c r="AN777" s="2">
        <f t="shared" si="1747"/>
        <v>1189.8689999999999</v>
      </c>
      <c r="AO777" s="87">
        <v>1189.8689999999999</v>
      </c>
      <c r="AP777" s="88">
        <v>1217.5820000000001</v>
      </c>
      <c r="AQ777" s="88">
        <v>1242.0350000000001</v>
      </c>
      <c r="AR777" s="88">
        <v>1236.6120000000001</v>
      </c>
      <c r="AS777" s="2">
        <f t="shared" si="1748"/>
        <v>1224.3209999999999</v>
      </c>
      <c r="AT777" s="87">
        <v>1224.3209999999999</v>
      </c>
      <c r="AU777" s="88">
        <v>1216.473</v>
      </c>
      <c r="AV777" s="88">
        <v>1211.8779999999999</v>
      </c>
      <c r="AW777" s="88">
        <v>1227.7049999999999</v>
      </c>
      <c r="AX777" s="2">
        <f t="shared" si="1753"/>
        <v>1218.269</v>
      </c>
      <c r="AY777" s="87">
        <v>1218.269</v>
      </c>
      <c r="AZ777" s="88">
        <v>1201.55</v>
      </c>
      <c r="BA777" s="88">
        <v>1195.912</v>
      </c>
      <c r="BB777" s="88">
        <v>1215.009</v>
      </c>
      <c r="BC777" s="2">
        <f t="shared" si="1754"/>
        <v>1233.4970000000001</v>
      </c>
      <c r="BD777" s="87">
        <v>1233.4970000000001</v>
      </c>
      <c r="BE777" s="88">
        <v>1218.0239999999999</v>
      </c>
      <c r="BF777" s="88">
        <v>1228.664</v>
      </c>
      <c r="BG777" s="88">
        <v>1246.819</v>
      </c>
      <c r="BH777" s="2">
        <f t="shared" si="1755"/>
        <v>1254.9549999999999</v>
      </c>
      <c r="BI777" s="89">
        <v>1254.9549999999999</v>
      </c>
      <c r="BJ777" s="2">
        <f t="shared" ref="BJ777:BV777" si="1759">BI777</f>
        <v>1254.9549999999999</v>
      </c>
      <c r="BK777" s="2">
        <f t="shared" si="1759"/>
        <v>1254.9549999999999</v>
      </c>
      <c r="BL777" s="2">
        <f t="shared" si="1759"/>
        <v>1254.9549999999999</v>
      </c>
      <c r="BM777" s="2">
        <f t="shared" si="1759"/>
        <v>1254.9549999999999</v>
      </c>
      <c r="BN777" s="86">
        <f t="shared" si="1759"/>
        <v>1254.9549999999999</v>
      </c>
      <c r="BO777" s="2">
        <f t="shared" si="1759"/>
        <v>1254.9549999999999</v>
      </c>
      <c r="BP777" s="2">
        <f t="shared" si="1759"/>
        <v>1254.9549999999999</v>
      </c>
      <c r="BQ777" s="2">
        <f t="shared" si="1759"/>
        <v>1254.9549999999999</v>
      </c>
      <c r="BR777" s="2">
        <f t="shared" si="1759"/>
        <v>1254.9549999999999</v>
      </c>
      <c r="BS777" s="86">
        <f t="shared" si="1759"/>
        <v>1254.9549999999999</v>
      </c>
      <c r="BT777" s="86">
        <f t="shared" si="1759"/>
        <v>1254.9549999999999</v>
      </c>
      <c r="BU777" s="86">
        <f t="shared" si="1759"/>
        <v>1254.9549999999999</v>
      </c>
      <c r="BV777" s="86">
        <f t="shared" si="1759"/>
        <v>1254.9549999999999</v>
      </c>
      <c r="BW777" s="483"/>
    </row>
    <row r="778" spans="1:75" ht="15.75" customHeight="1" x14ac:dyDescent="0.2">
      <c r="A778" s="84" t="s">
        <v>402</v>
      </c>
      <c r="B778" s="85"/>
      <c r="C778" s="87">
        <v>27.117999999999999</v>
      </c>
      <c r="D778" s="87">
        <v>27.225000000000001</v>
      </c>
      <c r="E778" s="87">
        <v>27.821999999999999</v>
      </c>
      <c r="F778" s="87">
        <v>36.287999999999997</v>
      </c>
      <c r="G778" s="88">
        <v>38.744</v>
      </c>
      <c r="H778" s="88">
        <v>39.619</v>
      </c>
      <c r="I778" s="88">
        <v>42.094000000000001</v>
      </c>
      <c r="J778" s="88">
        <v>44.39</v>
      </c>
      <c r="K778" s="87">
        <v>44.39</v>
      </c>
      <c r="L778" s="88">
        <v>45.65</v>
      </c>
      <c r="M778" s="88">
        <v>47.871000000000002</v>
      </c>
      <c r="N778" s="88">
        <v>48.631</v>
      </c>
      <c r="O778" s="88">
        <v>50.4</v>
      </c>
      <c r="P778" s="87">
        <v>50.4</v>
      </c>
      <c r="Q778" s="88">
        <v>51.72</v>
      </c>
      <c r="R778" s="88">
        <v>52.453000000000003</v>
      </c>
      <c r="S778" s="88">
        <v>50.38</v>
      </c>
      <c r="T778" s="4">
        <f>U778</f>
        <v>51.305</v>
      </c>
      <c r="U778" s="87">
        <v>51.305</v>
      </c>
      <c r="V778" s="88">
        <v>53.433</v>
      </c>
      <c r="W778" s="88">
        <v>55.087000000000003</v>
      </c>
      <c r="X778" s="88">
        <v>57.347999999999999</v>
      </c>
      <c r="Y778" s="2">
        <f>Z778</f>
        <v>59.033999999999999</v>
      </c>
      <c r="Z778" s="87">
        <v>59.033999999999999</v>
      </c>
      <c r="AA778" s="88">
        <v>62.209000000000003</v>
      </c>
      <c r="AB778" s="88">
        <v>64.346999999999994</v>
      </c>
      <c r="AC778" s="88">
        <v>67.224000000000004</v>
      </c>
      <c r="AD778" s="4">
        <f>AE778</f>
        <v>70.974999999999994</v>
      </c>
      <c r="AE778" s="87">
        <v>70.974999999999994</v>
      </c>
      <c r="AF778" s="88">
        <v>75.161000000000001</v>
      </c>
      <c r="AG778" s="88">
        <v>76.212000000000003</v>
      </c>
      <c r="AH778" s="88">
        <v>78.241</v>
      </c>
      <c r="AI778" s="4">
        <f>AJ778</f>
        <v>71.659000000000006</v>
      </c>
      <c r="AJ778" s="87">
        <v>71.659000000000006</v>
      </c>
      <c r="AK778" s="88">
        <v>77.366</v>
      </c>
      <c r="AL778" s="88">
        <v>80.06</v>
      </c>
      <c r="AM778" s="88">
        <v>81.087000000000003</v>
      </c>
      <c r="AN778" s="2">
        <f t="shared" si="1747"/>
        <v>140.548</v>
      </c>
      <c r="AO778" s="87">
        <v>140.548</v>
      </c>
      <c r="AP778" s="88">
        <v>128.26500000000001</v>
      </c>
      <c r="AQ778" s="88">
        <v>137.08699999999999</v>
      </c>
      <c r="AR778" s="88">
        <v>142.87200000000001</v>
      </c>
      <c r="AS778" s="2">
        <f t="shared" si="1748"/>
        <v>149.72499999999999</v>
      </c>
      <c r="AT778" s="87">
        <v>149.72499999999999</v>
      </c>
      <c r="AU778" s="88">
        <v>151.01</v>
      </c>
      <c r="AV778" s="88">
        <v>163.642</v>
      </c>
      <c r="AW778" s="88">
        <v>145.44499999999999</v>
      </c>
      <c r="AX778" s="2">
        <f t="shared" si="1753"/>
        <v>147.4</v>
      </c>
      <c r="AY778" s="87">
        <v>147.4</v>
      </c>
      <c r="AZ778" s="88">
        <v>135.90799999999999</v>
      </c>
      <c r="BA778" s="88">
        <v>124.30800000000001</v>
      </c>
      <c r="BB778" s="88">
        <v>121.873</v>
      </c>
      <c r="BC778" s="2">
        <f t="shared" si="1754"/>
        <v>125.01</v>
      </c>
      <c r="BD778" s="87">
        <v>125.01</v>
      </c>
      <c r="BE778" s="88">
        <v>129.39400000000001</v>
      </c>
      <c r="BF778" s="88">
        <v>122.649</v>
      </c>
      <c r="BG778" s="88">
        <v>120.364</v>
      </c>
      <c r="BH778" s="2">
        <f t="shared" si="1755"/>
        <v>136.648</v>
      </c>
      <c r="BI778" s="89">
        <v>136.648</v>
      </c>
      <c r="BJ778" s="2">
        <f t="shared" ref="BJ778:BM778" si="1760">BI778+BJ673+BJ695</f>
        <v>136.648</v>
      </c>
      <c r="BK778" s="2">
        <f t="shared" si="1760"/>
        <v>136.648</v>
      </c>
      <c r="BL778" s="2">
        <f t="shared" si="1760"/>
        <v>136.648</v>
      </c>
      <c r="BM778" s="2">
        <f t="shared" si="1760"/>
        <v>136.648</v>
      </c>
      <c r="BN778" s="86">
        <f>BM778</f>
        <v>136.648</v>
      </c>
      <c r="BO778" s="2">
        <f t="shared" ref="BO778:BR778" si="1761">BN778+BO673+BO695</f>
        <v>136.648</v>
      </c>
      <c r="BP778" s="2">
        <f t="shared" si="1761"/>
        <v>136.648</v>
      </c>
      <c r="BQ778" s="2">
        <f t="shared" si="1761"/>
        <v>136.648</v>
      </c>
      <c r="BR778" s="2">
        <f t="shared" si="1761"/>
        <v>136.648</v>
      </c>
      <c r="BS778" s="86">
        <f>BR778</f>
        <v>136.648</v>
      </c>
      <c r="BT778" s="86">
        <f t="shared" ref="BT778:BV778" si="1762">BS778+BT673+BT695</f>
        <v>136.648</v>
      </c>
      <c r="BU778" s="86">
        <f t="shared" si="1762"/>
        <v>136.648</v>
      </c>
      <c r="BV778" s="86">
        <f t="shared" si="1762"/>
        <v>136.648</v>
      </c>
      <c r="BW778" s="483"/>
    </row>
    <row r="779" spans="1:75" ht="15.75" customHeight="1" x14ac:dyDescent="0.2">
      <c r="A779" s="84" t="s">
        <v>403</v>
      </c>
      <c r="B779" s="85"/>
      <c r="C779" s="86"/>
      <c r="D779" s="86"/>
      <c r="E779" s="86"/>
      <c r="F779" s="86"/>
      <c r="G779" s="2"/>
      <c r="H779" s="2"/>
      <c r="I779" s="2"/>
      <c r="J779" s="2"/>
      <c r="K779" s="86"/>
      <c r="L779" s="2"/>
      <c r="M779" s="2"/>
      <c r="N779" s="2"/>
      <c r="O779" s="2"/>
      <c r="P779" s="86"/>
      <c r="Q779" s="2"/>
      <c r="R779" s="2"/>
      <c r="S779" s="2"/>
      <c r="T779" s="2"/>
      <c r="U779" s="86"/>
      <c r="V779" s="2"/>
      <c r="W779" s="2"/>
      <c r="X779" s="2"/>
      <c r="Y779" s="2"/>
      <c r="Z779" s="86"/>
      <c r="AA779" s="2"/>
      <c r="AB779" s="2"/>
      <c r="AC779" s="2"/>
      <c r="AD779" s="2"/>
      <c r="AE779" s="86"/>
      <c r="AF779" s="2"/>
      <c r="AG779" s="2"/>
      <c r="AH779" s="2"/>
      <c r="AI779" s="2"/>
      <c r="AJ779" s="86"/>
      <c r="AK779" s="2"/>
      <c r="AL779" s="2"/>
      <c r="AM779" s="2"/>
      <c r="AN779" s="2"/>
      <c r="AO779" s="86"/>
      <c r="AP779" s="2"/>
      <c r="AQ779" s="88">
        <v>204.07900000000001</v>
      </c>
      <c r="AR779" s="88">
        <v>209.92599999999999</v>
      </c>
      <c r="AS779" s="2">
        <f t="shared" si="1748"/>
        <v>218.24799999999999</v>
      </c>
      <c r="AT779" s="87">
        <v>218.24799999999999</v>
      </c>
      <c r="AU779" s="88">
        <v>213.48500000000001</v>
      </c>
      <c r="AV779" s="2"/>
      <c r="AW779" s="2"/>
      <c r="AX779" s="2"/>
      <c r="AY779" s="86"/>
      <c r="AZ779" s="2"/>
      <c r="BA779" s="2"/>
      <c r="BB779" s="2"/>
      <c r="BC779" s="2"/>
      <c r="BD779" s="86">
        <f>BC779</f>
        <v>0</v>
      </c>
      <c r="BE779" s="2"/>
      <c r="BF779" s="2"/>
      <c r="BG779" s="2"/>
      <c r="BH779" s="2"/>
      <c r="BI779" s="90">
        <f t="shared" ref="BI779:BV779" si="1763">BH779</f>
        <v>0</v>
      </c>
      <c r="BJ779" s="2">
        <f t="shared" si="1763"/>
        <v>0</v>
      </c>
      <c r="BK779" s="2">
        <f t="shared" si="1763"/>
        <v>0</v>
      </c>
      <c r="BL779" s="2">
        <f t="shared" si="1763"/>
        <v>0</v>
      </c>
      <c r="BM779" s="2">
        <f t="shared" si="1763"/>
        <v>0</v>
      </c>
      <c r="BN779" s="86">
        <f t="shared" si="1763"/>
        <v>0</v>
      </c>
      <c r="BO779" s="2">
        <f t="shared" si="1763"/>
        <v>0</v>
      </c>
      <c r="BP779" s="2">
        <f t="shared" si="1763"/>
        <v>0</v>
      </c>
      <c r="BQ779" s="2">
        <f t="shared" si="1763"/>
        <v>0</v>
      </c>
      <c r="BR779" s="2">
        <f t="shared" si="1763"/>
        <v>0</v>
      </c>
      <c r="BS779" s="86">
        <f t="shared" si="1763"/>
        <v>0</v>
      </c>
      <c r="BT779" s="86">
        <f t="shared" si="1763"/>
        <v>0</v>
      </c>
      <c r="BU779" s="86">
        <f t="shared" si="1763"/>
        <v>0</v>
      </c>
      <c r="BV779" s="86">
        <f t="shared" si="1763"/>
        <v>0</v>
      </c>
      <c r="BW779" s="483"/>
    </row>
    <row r="780" spans="1:75" ht="15.75" customHeight="1" x14ac:dyDescent="0.2">
      <c r="A780" s="101" t="s">
        <v>404</v>
      </c>
      <c r="B780" s="102"/>
      <c r="C780" s="104">
        <f t="shared" ref="C780:BV780" si="1764">SUM(C772:C779)</f>
        <v>330.17699999999996</v>
      </c>
      <c r="D780" s="104">
        <f t="shared" si="1764"/>
        <v>242.26500000000001</v>
      </c>
      <c r="E780" s="104">
        <f t="shared" si="1764"/>
        <v>256.577</v>
      </c>
      <c r="F780" s="104">
        <f t="shared" si="1764"/>
        <v>260.62</v>
      </c>
      <c r="G780" s="105">
        <f t="shared" si="1764"/>
        <v>270.13200000000001</v>
      </c>
      <c r="H780" s="105">
        <f t="shared" si="1764"/>
        <v>272.23299999999995</v>
      </c>
      <c r="I780" s="105">
        <f t="shared" si="1764"/>
        <v>280.98200000000003</v>
      </c>
      <c r="J780" s="105">
        <f t="shared" si="1764"/>
        <v>282.51400000000001</v>
      </c>
      <c r="K780" s="104">
        <f t="shared" si="1764"/>
        <v>282.51400000000001</v>
      </c>
      <c r="L780" s="105">
        <f t="shared" si="1764"/>
        <v>312.78999999999996</v>
      </c>
      <c r="M780" s="105">
        <f t="shared" si="1764"/>
        <v>316.46999999999997</v>
      </c>
      <c r="N780" s="105">
        <f t="shared" si="1764"/>
        <v>320.30000000000007</v>
      </c>
      <c r="O780" s="105">
        <f t="shared" si="1764"/>
        <v>282.85500000000002</v>
      </c>
      <c r="P780" s="104">
        <f t="shared" si="1764"/>
        <v>282.85500000000002</v>
      </c>
      <c r="Q780" s="105">
        <f t="shared" si="1764"/>
        <v>324.447</v>
      </c>
      <c r="R780" s="105">
        <f t="shared" si="1764"/>
        <v>327.42999999999995</v>
      </c>
      <c r="S780" s="105">
        <f t="shared" si="1764"/>
        <v>305.68099999999998</v>
      </c>
      <c r="T780" s="105">
        <f t="shared" si="1764"/>
        <v>294.58100000000002</v>
      </c>
      <c r="U780" s="104">
        <f t="shared" si="1764"/>
        <v>294.58100000000002</v>
      </c>
      <c r="V780" s="105">
        <f t="shared" si="1764"/>
        <v>300.87099999999998</v>
      </c>
      <c r="W780" s="105">
        <f t="shared" si="1764"/>
        <v>303.05199999999996</v>
      </c>
      <c r="X780" s="105">
        <f t="shared" si="1764"/>
        <v>310.745</v>
      </c>
      <c r="Y780" s="106">
        <f t="shared" si="1764"/>
        <v>313.58600000000001</v>
      </c>
      <c r="Z780" s="103">
        <f t="shared" si="1764"/>
        <v>313.58600000000001</v>
      </c>
      <c r="AA780" s="105">
        <f t="shared" si="1764"/>
        <v>326.19400000000002</v>
      </c>
      <c r="AB780" s="105">
        <f t="shared" si="1764"/>
        <v>328.87899999999996</v>
      </c>
      <c r="AC780" s="105">
        <f t="shared" si="1764"/>
        <v>369.15500000000003</v>
      </c>
      <c r="AD780" s="105">
        <f t="shared" si="1764"/>
        <v>321.57899999999995</v>
      </c>
      <c r="AE780" s="103">
        <f t="shared" si="1764"/>
        <v>321.57899999999995</v>
      </c>
      <c r="AF780" s="105">
        <f t="shared" si="1764"/>
        <v>348.84399999999999</v>
      </c>
      <c r="AG780" s="105">
        <f t="shared" si="1764"/>
        <v>339.26900000000001</v>
      </c>
      <c r="AH780" s="105">
        <f t="shared" si="1764"/>
        <v>351.12299999999999</v>
      </c>
      <c r="AI780" s="105">
        <f t="shared" si="1764"/>
        <v>326.57400000000001</v>
      </c>
      <c r="AJ780" s="103">
        <f t="shared" si="1764"/>
        <v>326.57400000000001</v>
      </c>
      <c r="AK780" s="106">
        <f t="shared" si="1764"/>
        <v>1087.2</v>
      </c>
      <c r="AL780" s="106">
        <f t="shared" si="1764"/>
        <v>1096.548</v>
      </c>
      <c r="AM780" s="106">
        <f t="shared" si="1764"/>
        <v>1414.1679999999999</v>
      </c>
      <c r="AN780" s="106">
        <f t="shared" si="1764"/>
        <v>1654.2639999999999</v>
      </c>
      <c r="AO780" s="103">
        <f t="shared" si="1764"/>
        <v>1654.2639999999999</v>
      </c>
      <c r="AP780" s="106">
        <f t="shared" si="1764"/>
        <v>1749.6850000000002</v>
      </c>
      <c r="AQ780" s="106">
        <f t="shared" si="1764"/>
        <v>1982.68</v>
      </c>
      <c r="AR780" s="106">
        <f t="shared" si="1764"/>
        <v>1965.41</v>
      </c>
      <c r="AS780" s="106">
        <f t="shared" si="1764"/>
        <v>1872.2939999999999</v>
      </c>
      <c r="AT780" s="103">
        <f t="shared" si="1764"/>
        <v>1872.2939999999999</v>
      </c>
      <c r="AU780" s="106">
        <f t="shared" si="1764"/>
        <v>1860.9679999999998</v>
      </c>
      <c r="AV780" s="106">
        <f t="shared" si="1764"/>
        <v>1840.53</v>
      </c>
      <c r="AW780" s="106">
        <f t="shared" si="1764"/>
        <v>1838.664</v>
      </c>
      <c r="AX780" s="106">
        <f t="shared" si="1764"/>
        <v>1831.6860000000001</v>
      </c>
      <c r="AY780" s="103">
        <f t="shared" si="1764"/>
        <v>1831.6860000000001</v>
      </c>
      <c r="AZ780" s="106">
        <f t="shared" si="1764"/>
        <v>1803.9789999999998</v>
      </c>
      <c r="BA780" s="106">
        <f t="shared" si="1764"/>
        <v>1787.2449999999999</v>
      </c>
      <c r="BB780" s="106">
        <f t="shared" si="1764"/>
        <v>1804.41</v>
      </c>
      <c r="BC780" s="106">
        <f t="shared" si="1764"/>
        <v>1826.539</v>
      </c>
      <c r="BD780" s="103">
        <f t="shared" si="1764"/>
        <v>1826.539</v>
      </c>
      <c r="BE780" s="106">
        <f t="shared" si="1764"/>
        <v>1815.954</v>
      </c>
      <c r="BF780" s="106">
        <f t="shared" si="1764"/>
        <v>1820.3530000000001</v>
      </c>
      <c r="BG780" s="106">
        <f t="shared" si="1764"/>
        <v>1836.7260000000001</v>
      </c>
      <c r="BH780" s="106">
        <f t="shared" si="1764"/>
        <v>1861.6499999999999</v>
      </c>
      <c r="BI780" s="115">
        <f t="shared" si="1764"/>
        <v>1861.6499999999999</v>
      </c>
      <c r="BJ780" s="106">
        <f t="shared" si="1764"/>
        <v>1862.0006890253621</v>
      </c>
      <c r="BK780" s="106">
        <f t="shared" ca="1" si="1764"/>
        <v>1863.745346456735</v>
      </c>
      <c r="BL780" s="106">
        <f t="shared" ca="1" si="1764"/>
        <v>1864.2650973563007</v>
      </c>
      <c r="BM780" s="106">
        <f t="shared" ca="1" si="1764"/>
        <v>1865.8207921247795</v>
      </c>
      <c r="BN780" s="103">
        <f t="shared" ca="1" si="1764"/>
        <v>1865.8207921247795</v>
      </c>
      <c r="BO780" s="106">
        <f t="shared" ca="1" si="1764"/>
        <v>1866.1734661870616</v>
      </c>
      <c r="BP780" s="106">
        <f t="shared" ca="1" si="1764"/>
        <v>1867.961194018407</v>
      </c>
      <c r="BQ780" s="106">
        <f t="shared" ca="1" si="1764"/>
        <v>1868.564264202256</v>
      </c>
      <c r="BR780" s="106">
        <f t="shared" ca="1" si="1764"/>
        <v>1870.2908423067238</v>
      </c>
      <c r="BS780" s="103">
        <f t="shared" ca="1" si="1764"/>
        <v>1870.2908423067238</v>
      </c>
      <c r="BT780" s="103">
        <f t="shared" ca="1" si="1764"/>
        <v>1876.2693432261624</v>
      </c>
      <c r="BU780" s="103">
        <f t="shared" ca="1" si="1764"/>
        <v>1882.7961291928916</v>
      </c>
      <c r="BV780" s="103">
        <f t="shared" ca="1" si="1764"/>
        <v>1890.082724827291</v>
      </c>
      <c r="BW780" s="197"/>
    </row>
    <row r="781" spans="1:75" ht="15.75" customHeight="1" x14ac:dyDescent="0.2">
      <c r="A781" s="229" t="s">
        <v>405</v>
      </c>
      <c r="B781" s="108"/>
      <c r="C781" s="319">
        <f t="shared" ref="C781:BV781" si="1765">C769+C780</f>
        <v>530.63799999999992</v>
      </c>
      <c r="D781" s="319">
        <f t="shared" si="1765"/>
        <v>444.97</v>
      </c>
      <c r="E781" s="319">
        <f t="shared" si="1765"/>
        <v>479.81700000000001</v>
      </c>
      <c r="F781" s="319">
        <f t="shared" si="1765"/>
        <v>512.44100000000003</v>
      </c>
      <c r="G781" s="83">
        <f t="shared" si="1765"/>
        <v>489.26600000000002</v>
      </c>
      <c r="H781" s="83">
        <f t="shared" si="1765"/>
        <v>490.59099999999995</v>
      </c>
      <c r="I781" s="83">
        <f t="shared" si="1765"/>
        <v>517.96699999999998</v>
      </c>
      <c r="J781" s="83">
        <f t="shared" si="1765"/>
        <v>546.76099999999997</v>
      </c>
      <c r="K781" s="319">
        <f t="shared" si="1765"/>
        <v>546.76099999999997</v>
      </c>
      <c r="L781" s="83">
        <f t="shared" si="1765"/>
        <v>571.23799999999994</v>
      </c>
      <c r="M781" s="83">
        <f t="shared" si="1765"/>
        <v>571.38300000000004</v>
      </c>
      <c r="N781" s="83">
        <f t="shared" si="1765"/>
        <v>582.94000000000005</v>
      </c>
      <c r="O781" s="83">
        <f t="shared" si="1765"/>
        <v>604.86599999999999</v>
      </c>
      <c r="P781" s="319">
        <f t="shared" si="1765"/>
        <v>604.86599999999999</v>
      </c>
      <c r="Q781" s="83">
        <f t="shared" si="1765"/>
        <v>622.22199999999998</v>
      </c>
      <c r="R781" s="83">
        <f t="shared" si="1765"/>
        <v>625.67099999999994</v>
      </c>
      <c r="S781" s="83">
        <f t="shared" si="1765"/>
        <v>596.31700000000001</v>
      </c>
      <c r="T781" s="83">
        <f t="shared" si="1765"/>
        <v>644.80700000000002</v>
      </c>
      <c r="U781" s="319">
        <f t="shared" si="1765"/>
        <v>644.80700000000002</v>
      </c>
      <c r="V781" s="83">
        <f t="shared" si="1765"/>
        <v>607.09100000000001</v>
      </c>
      <c r="W781" s="83">
        <f t="shared" si="1765"/>
        <v>607.47599999999989</v>
      </c>
      <c r="X781" s="83">
        <f t="shared" si="1765"/>
        <v>614.84799999999996</v>
      </c>
      <c r="Y781" s="110">
        <f t="shared" si="1765"/>
        <v>690.11199999999997</v>
      </c>
      <c r="Z781" s="109">
        <f t="shared" si="1765"/>
        <v>690.11199999999997</v>
      </c>
      <c r="AA781" s="83">
        <f t="shared" si="1765"/>
        <v>649.29300000000001</v>
      </c>
      <c r="AB781" s="83">
        <f t="shared" si="1765"/>
        <v>658.78399999999988</v>
      </c>
      <c r="AC781" s="83">
        <f t="shared" si="1765"/>
        <v>691.96900000000005</v>
      </c>
      <c r="AD781" s="83">
        <f t="shared" si="1765"/>
        <v>719.53</v>
      </c>
      <c r="AE781" s="109">
        <f t="shared" si="1765"/>
        <v>719.53</v>
      </c>
      <c r="AF781" s="83">
        <f t="shared" si="1765"/>
        <v>693.15</v>
      </c>
      <c r="AG781" s="83">
        <f t="shared" si="1765"/>
        <v>693.85699999999997</v>
      </c>
      <c r="AH781" s="83">
        <f t="shared" si="1765"/>
        <v>694.65699999999993</v>
      </c>
      <c r="AI781" s="83">
        <f t="shared" si="1765"/>
        <v>743.07400000000007</v>
      </c>
      <c r="AJ781" s="109">
        <f t="shared" si="1765"/>
        <v>743.07400000000007</v>
      </c>
      <c r="AK781" s="110">
        <f t="shared" si="1765"/>
        <v>1533.836</v>
      </c>
      <c r="AL781" s="110">
        <f t="shared" si="1765"/>
        <v>1533.511</v>
      </c>
      <c r="AM781" s="110">
        <f t="shared" si="1765"/>
        <v>1847.954</v>
      </c>
      <c r="AN781" s="110">
        <f t="shared" si="1765"/>
        <v>2268.8509999999997</v>
      </c>
      <c r="AO781" s="109">
        <f t="shared" si="1765"/>
        <v>2268.8509999999997</v>
      </c>
      <c r="AP781" s="110">
        <f t="shared" si="1765"/>
        <v>2256.8110000000001</v>
      </c>
      <c r="AQ781" s="110">
        <f t="shared" si="1765"/>
        <v>2515.3519999999999</v>
      </c>
      <c r="AR781" s="110">
        <f t="shared" si="1765"/>
        <v>2505.7870000000003</v>
      </c>
      <c r="AS781" s="110">
        <f t="shared" si="1765"/>
        <v>2458.3609999999999</v>
      </c>
      <c r="AT781" s="109">
        <f t="shared" si="1765"/>
        <v>2458.3609999999999</v>
      </c>
      <c r="AU781" s="110">
        <f t="shared" si="1765"/>
        <v>2418.9249999999997</v>
      </c>
      <c r="AV781" s="110">
        <f t="shared" si="1765"/>
        <v>2437.6819999999998</v>
      </c>
      <c r="AW781" s="110">
        <f t="shared" si="1765"/>
        <v>2395.7719999999999</v>
      </c>
      <c r="AX781" s="110">
        <f t="shared" si="1765"/>
        <v>2467.9590000000003</v>
      </c>
      <c r="AY781" s="109">
        <f t="shared" si="1765"/>
        <v>2467.9590000000003</v>
      </c>
      <c r="AZ781" s="110">
        <f t="shared" si="1765"/>
        <v>2398.415</v>
      </c>
      <c r="BA781" s="110">
        <f t="shared" si="1765"/>
        <v>2410.7489999999998</v>
      </c>
      <c r="BB781" s="110">
        <f t="shared" si="1765"/>
        <v>2410.578</v>
      </c>
      <c r="BC781" s="110">
        <f t="shared" si="1765"/>
        <v>2483.2170000000001</v>
      </c>
      <c r="BD781" s="109">
        <f t="shared" si="1765"/>
        <v>2483.2170000000001</v>
      </c>
      <c r="BE781" s="110">
        <f t="shared" si="1765"/>
        <v>2442.6489999999999</v>
      </c>
      <c r="BF781" s="110">
        <f t="shared" si="1765"/>
        <v>2443.8050000000003</v>
      </c>
      <c r="BG781" s="110">
        <f t="shared" si="1765"/>
        <v>2455.2460000000001</v>
      </c>
      <c r="BH781" s="110">
        <f t="shared" si="1765"/>
        <v>2522.3209999999999</v>
      </c>
      <c r="BI781" s="107">
        <f t="shared" si="1765"/>
        <v>2522.3209999999999</v>
      </c>
      <c r="BJ781" s="110">
        <f t="shared" si="1765"/>
        <v>2498.1210814066626</v>
      </c>
      <c r="BK781" s="110">
        <f t="shared" ca="1" si="1765"/>
        <v>2498.1771317796029</v>
      </c>
      <c r="BL781" s="110">
        <f t="shared" ca="1" si="1765"/>
        <v>2492.7623806797651</v>
      </c>
      <c r="BM781" s="110">
        <f t="shared" ca="1" si="1765"/>
        <v>2560.0126464451519</v>
      </c>
      <c r="BN781" s="109">
        <f t="shared" ca="1" si="1765"/>
        <v>2560.0126464451519</v>
      </c>
      <c r="BO781" s="110">
        <f t="shared" ca="1" si="1765"/>
        <v>2534.6685018609687</v>
      </c>
      <c r="BP781" s="110">
        <f t="shared" ca="1" si="1765"/>
        <v>2532.078937296792</v>
      </c>
      <c r="BQ781" s="110">
        <f t="shared" ca="1" si="1765"/>
        <v>2524.0496685888329</v>
      </c>
      <c r="BR781" s="110">
        <f t="shared" ca="1" si="1765"/>
        <v>2592.6896352756412</v>
      </c>
      <c r="BS781" s="109">
        <f t="shared" ca="1" si="1765"/>
        <v>2592.6896352756412</v>
      </c>
      <c r="BT781" s="109">
        <f t="shared" ca="1" si="1765"/>
        <v>2624.535379351244</v>
      </c>
      <c r="BU781" s="109">
        <f t="shared" ca="1" si="1765"/>
        <v>2659.6960116149185</v>
      </c>
      <c r="BV781" s="109">
        <f t="shared" ca="1" si="1765"/>
        <v>2703.4767577996986</v>
      </c>
      <c r="BW781" s="197"/>
    </row>
    <row r="782" spans="1:75" ht="15.75" customHeight="1" x14ac:dyDescent="0.2">
      <c r="A782" s="108"/>
      <c r="B782" s="108"/>
      <c r="C782" s="109"/>
      <c r="D782" s="109"/>
      <c r="E782" s="109"/>
      <c r="F782" s="109"/>
      <c r="G782" s="110"/>
      <c r="H782" s="110"/>
      <c r="I782" s="110"/>
      <c r="J782" s="110"/>
      <c r="K782" s="109"/>
      <c r="L782" s="110"/>
      <c r="M782" s="110"/>
      <c r="N782" s="110"/>
      <c r="O782" s="110"/>
      <c r="P782" s="109"/>
      <c r="Q782" s="110"/>
      <c r="R782" s="110"/>
      <c r="S782" s="110"/>
      <c r="T782" s="110"/>
      <c r="U782" s="109"/>
      <c r="V782" s="110"/>
      <c r="W782" s="110"/>
      <c r="X782" s="110"/>
      <c r="Y782" s="110"/>
      <c r="Z782" s="109"/>
      <c r="AA782" s="110"/>
      <c r="AB782" s="110"/>
      <c r="AC782" s="110"/>
      <c r="AD782" s="110"/>
      <c r="AE782" s="109"/>
      <c r="AF782" s="110"/>
      <c r="AG782" s="110"/>
      <c r="AH782" s="110"/>
      <c r="AI782" s="110"/>
      <c r="AJ782" s="109"/>
      <c r="AK782" s="110"/>
      <c r="AL782" s="110"/>
      <c r="AM782" s="110"/>
      <c r="AN782" s="110"/>
      <c r="AO782" s="109"/>
      <c r="AP782" s="110"/>
      <c r="AQ782" s="110"/>
      <c r="AR782" s="110"/>
      <c r="AS782" s="110"/>
      <c r="AT782" s="109"/>
      <c r="AU782" s="110"/>
      <c r="AV782" s="110"/>
      <c r="AW782" s="110"/>
      <c r="AX782" s="110"/>
      <c r="AY782" s="109"/>
      <c r="AZ782" s="110"/>
      <c r="BA782" s="110"/>
      <c r="BB782" s="110"/>
      <c r="BC782" s="110"/>
      <c r="BD782" s="109"/>
      <c r="BE782" s="110"/>
      <c r="BF782" s="110"/>
      <c r="BG782" s="110"/>
      <c r="BH782" s="110"/>
      <c r="BI782" s="107"/>
      <c r="BJ782" s="110"/>
      <c r="BK782" s="110"/>
      <c r="BL782" s="110"/>
      <c r="BM782" s="110"/>
      <c r="BN782" s="109"/>
      <c r="BO782" s="110"/>
      <c r="BP782" s="110"/>
      <c r="BQ782" s="110"/>
      <c r="BR782" s="110"/>
      <c r="BS782" s="109"/>
      <c r="BT782" s="109"/>
      <c r="BU782" s="109"/>
      <c r="BV782" s="109"/>
      <c r="BW782" s="197"/>
    </row>
    <row r="783" spans="1:75" ht="15.75" customHeight="1" x14ac:dyDescent="0.2">
      <c r="A783" s="83" t="s">
        <v>406</v>
      </c>
      <c r="B783" s="108"/>
      <c r="C783" s="109"/>
      <c r="D783" s="109"/>
      <c r="E783" s="109"/>
      <c r="F783" s="109"/>
      <c r="G783" s="110"/>
      <c r="H783" s="110"/>
      <c r="I783" s="110"/>
      <c r="J783" s="110"/>
      <c r="K783" s="109"/>
      <c r="L783" s="110"/>
      <c r="M783" s="110"/>
      <c r="N783" s="110"/>
      <c r="O783" s="110"/>
      <c r="P783" s="109"/>
      <c r="Q783" s="110"/>
      <c r="R783" s="110"/>
      <c r="S783" s="110"/>
      <c r="T783" s="110"/>
      <c r="U783" s="109"/>
      <c r="V783" s="110"/>
      <c r="W783" s="110"/>
      <c r="X783" s="110"/>
      <c r="Y783" s="110"/>
      <c r="Z783" s="109"/>
      <c r="AA783" s="110"/>
      <c r="AB783" s="110"/>
      <c r="AC783" s="110"/>
      <c r="AD783" s="110"/>
      <c r="AE783" s="109"/>
      <c r="AF783" s="110"/>
      <c r="AG783" s="110"/>
      <c r="AH783" s="110"/>
      <c r="AI783" s="110"/>
      <c r="AJ783" s="109"/>
      <c r="AK783" s="110"/>
      <c r="AL783" s="110"/>
      <c r="AM783" s="110"/>
      <c r="AN783" s="110"/>
      <c r="AO783" s="109"/>
      <c r="AP783" s="110"/>
      <c r="AQ783" s="110"/>
      <c r="AR783" s="110"/>
      <c r="AS783" s="110"/>
      <c r="AT783" s="109"/>
      <c r="AU783" s="110"/>
      <c r="AV783" s="110"/>
      <c r="AW783" s="110"/>
      <c r="AX783" s="110"/>
      <c r="AY783" s="109"/>
      <c r="AZ783" s="110"/>
      <c r="BA783" s="110"/>
      <c r="BB783" s="110"/>
      <c r="BC783" s="110"/>
      <c r="BD783" s="109"/>
      <c r="BE783" s="110"/>
      <c r="BF783" s="110"/>
      <c r="BG783" s="110"/>
      <c r="BH783" s="110"/>
      <c r="BI783" s="107"/>
      <c r="BJ783" s="110"/>
      <c r="BK783" s="110"/>
      <c r="BL783" s="110"/>
      <c r="BM783" s="110"/>
      <c r="BN783" s="109"/>
      <c r="BO783" s="110"/>
      <c r="BP783" s="110"/>
      <c r="BQ783" s="110"/>
      <c r="BR783" s="110"/>
      <c r="BS783" s="109"/>
      <c r="BT783" s="109"/>
      <c r="BU783" s="109"/>
      <c r="BV783" s="109"/>
      <c r="BW783" s="197"/>
    </row>
    <row r="784" spans="1:75" ht="15.75" customHeight="1" x14ac:dyDescent="0.2">
      <c r="A784" s="84" t="s">
        <v>407</v>
      </c>
      <c r="B784" s="85"/>
      <c r="C784" s="87">
        <v>0.83399999999999996</v>
      </c>
      <c r="D784" s="87">
        <v>0.84899999999999998</v>
      </c>
      <c r="E784" s="87">
        <v>0.85899999999999999</v>
      </c>
      <c r="F784" s="87">
        <v>0.878</v>
      </c>
      <c r="G784" s="88">
        <v>0.88600000000000001</v>
      </c>
      <c r="H784" s="88">
        <v>0.89700000000000002</v>
      </c>
      <c r="I784" s="88">
        <v>0.90200000000000002</v>
      </c>
      <c r="J784" s="88">
        <v>0.90600000000000003</v>
      </c>
      <c r="K784" s="87">
        <v>0.90600000000000003</v>
      </c>
      <c r="L784" s="88">
        <v>0.91</v>
      </c>
      <c r="M784" s="88">
        <v>0.91100000000000003</v>
      </c>
      <c r="N784" s="88">
        <v>0.91300000000000003</v>
      </c>
      <c r="O784" s="88">
        <v>0.91800000000000004</v>
      </c>
      <c r="P784" s="87">
        <v>0.91800000000000004</v>
      </c>
      <c r="Q784" s="88">
        <v>0.92100000000000004</v>
      </c>
      <c r="R784" s="88">
        <v>0.92600000000000005</v>
      </c>
      <c r="S784" s="88">
        <v>0.93</v>
      </c>
      <c r="T784" s="4">
        <f t="shared" ref="T784:T788" si="1766">U784</f>
        <v>0.93100000000000005</v>
      </c>
      <c r="U784" s="87">
        <v>0.93100000000000005</v>
      </c>
      <c r="V784" s="88">
        <v>0.93799999999999994</v>
      </c>
      <c r="W784" s="88">
        <v>0.93899999999999995</v>
      </c>
      <c r="X784" s="88">
        <v>0.94199999999999995</v>
      </c>
      <c r="Y784" s="2">
        <f t="shared" ref="Y784:Y788" si="1767">Z784</f>
        <v>0.94699999999999995</v>
      </c>
      <c r="Z784" s="87">
        <v>0.94699999999999995</v>
      </c>
      <c r="AA784" s="88">
        <v>0.95099999999999996</v>
      </c>
      <c r="AB784" s="88">
        <v>0.95199999999999996</v>
      </c>
      <c r="AC784" s="88">
        <v>0.95299999999999996</v>
      </c>
      <c r="AD784" s="4">
        <f t="shared" ref="AD784:AD788" si="1768">AE784</f>
        <v>0.95399999999999996</v>
      </c>
      <c r="AE784" s="87">
        <v>0.95399999999999996</v>
      </c>
      <c r="AF784" s="88">
        <v>0.96</v>
      </c>
      <c r="AG784" s="88">
        <v>0.96199999999999997</v>
      </c>
      <c r="AH784" s="88">
        <v>0.96299999999999997</v>
      </c>
      <c r="AI784" s="4">
        <f t="shared" ref="AI784:AI788" si="1769">AJ784</f>
        <v>0.96699999999999997</v>
      </c>
      <c r="AJ784" s="87">
        <v>0.96699999999999997</v>
      </c>
      <c r="AK784" s="88">
        <v>0.97399999999999998</v>
      </c>
      <c r="AL784" s="88">
        <v>0.97499999999999998</v>
      </c>
      <c r="AM784" s="88">
        <v>0.97499999999999998</v>
      </c>
      <c r="AN784" s="2">
        <f t="shared" ref="AN784:AN788" si="1770">AO784</f>
        <v>0.97699999999999998</v>
      </c>
      <c r="AO784" s="87">
        <v>0.97699999999999998</v>
      </c>
      <c r="AP784" s="88">
        <v>0.98499999999999999</v>
      </c>
      <c r="AQ784" s="88">
        <v>0.98499999999999999</v>
      </c>
      <c r="AR784" s="88">
        <v>0.98399999999999999</v>
      </c>
      <c r="AS784" s="2">
        <f t="shared" ref="AS784:AS788" si="1771">AT784</f>
        <v>0.98599999999999999</v>
      </c>
      <c r="AT784" s="87">
        <v>0.98599999999999999</v>
      </c>
      <c r="AU784" s="88">
        <v>0.995</v>
      </c>
      <c r="AV784" s="88">
        <v>1.052</v>
      </c>
      <c r="AW784" s="88">
        <v>1.0529999999999999</v>
      </c>
      <c r="AX784" s="2">
        <f t="shared" ref="AX784:AX788" si="1772">AY784</f>
        <v>1.054</v>
      </c>
      <c r="AY784" s="87">
        <v>1.054</v>
      </c>
      <c r="AZ784" s="88">
        <v>1.06</v>
      </c>
      <c r="BA784" s="88">
        <v>1.06</v>
      </c>
      <c r="BB784" s="88">
        <v>1.0620000000000001</v>
      </c>
      <c r="BC784" s="2">
        <f t="shared" ref="BC784:BC788" si="1773">BD784</f>
        <v>1.0629999999999999</v>
      </c>
      <c r="BD784" s="87">
        <v>1.0629999999999999</v>
      </c>
      <c r="BE784" s="88">
        <v>1.069</v>
      </c>
      <c r="BF784" s="88">
        <v>1.07</v>
      </c>
      <c r="BG784" s="88">
        <v>1.071</v>
      </c>
      <c r="BH784" s="2">
        <f t="shared" ref="BH784:BH788" si="1774">BI784</f>
        <v>1.0720000000000001</v>
      </c>
      <c r="BI784" s="89">
        <v>1.0720000000000001</v>
      </c>
      <c r="BJ784" s="2">
        <f t="shared" ref="BJ784:BV786" si="1775">BI784</f>
        <v>1.0720000000000001</v>
      </c>
      <c r="BK784" s="2">
        <f t="shared" si="1775"/>
        <v>1.0720000000000001</v>
      </c>
      <c r="BL784" s="2">
        <f t="shared" si="1775"/>
        <v>1.0720000000000001</v>
      </c>
      <c r="BM784" s="2">
        <f t="shared" si="1775"/>
        <v>1.0720000000000001</v>
      </c>
      <c r="BN784" s="86">
        <f t="shared" si="1775"/>
        <v>1.0720000000000001</v>
      </c>
      <c r="BO784" s="2">
        <f t="shared" si="1775"/>
        <v>1.0720000000000001</v>
      </c>
      <c r="BP784" s="2">
        <f t="shared" si="1775"/>
        <v>1.0720000000000001</v>
      </c>
      <c r="BQ784" s="2">
        <f t="shared" si="1775"/>
        <v>1.0720000000000001</v>
      </c>
      <c r="BR784" s="2">
        <f t="shared" si="1775"/>
        <v>1.0720000000000001</v>
      </c>
      <c r="BS784" s="86">
        <f t="shared" si="1775"/>
        <v>1.0720000000000001</v>
      </c>
      <c r="BT784" s="86">
        <f t="shared" si="1775"/>
        <v>1.0720000000000001</v>
      </c>
      <c r="BU784" s="86">
        <f t="shared" si="1775"/>
        <v>1.0720000000000001</v>
      </c>
      <c r="BV784" s="86">
        <f t="shared" si="1775"/>
        <v>1.0720000000000001</v>
      </c>
      <c r="BW784" s="483"/>
    </row>
    <row r="785" spans="1:75" ht="15.75" customHeight="1" x14ac:dyDescent="0.2">
      <c r="A785" s="84" t="s">
        <v>408</v>
      </c>
      <c r="B785" s="85"/>
      <c r="C785" s="87">
        <v>386.56200000000001</v>
      </c>
      <c r="D785" s="87">
        <v>428.52699999999999</v>
      </c>
      <c r="E785" s="87">
        <v>455.339</v>
      </c>
      <c r="F785" s="87">
        <v>508.13</v>
      </c>
      <c r="G785" s="88">
        <v>533.24599999999998</v>
      </c>
      <c r="H785" s="88">
        <v>566.80499999999995</v>
      </c>
      <c r="I785" s="88">
        <v>585.87699999999995</v>
      </c>
      <c r="J785" s="88">
        <v>602.46900000000005</v>
      </c>
      <c r="K785" s="87">
        <v>602.46900000000005</v>
      </c>
      <c r="L785" s="88">
        <v>611.28899999999999</v>
      </c>
      <c r="M785" s="88">
        <v>619.04899999999998</v>
      </c>
      <c r="N785" s="88">
        <v>636.255</v>
      </c>
      <c r="O785" s="88">
        <v>654.03300000000002</v>
      </c>
      <c r="P785" s="87">
        <v>654.03300000000002</v>
      </c>
      <c r="Q785" s="88">
        <v>664.23599999999999</v>
      </c>
      <c r="R785" s="88">
        <v>683.976</v>
      </c>
      <c r="S785" s="88">
        <v>701.274</v>
      </c>
      <c r="T785" s="4">
        <f t="shared" si="1766"/>
        <v>710.24199999999996</v>
      </c>
      <c r="U785" s="87">
        <v>710.24199999999996</v>
      </c>
      <c r="V785" s="88">
        <v>733.07799999999997</v>
      </c>
      <c r="W785" s="88">
        <v>742.04100000000005</v>
      </c>
      <c r="X785" s="88">
        <v>754.03399999999999</v>
      </c>
      <c r="Y785" s="2">
        <f t="shared" si="1767"/>
        <v>774.13699999999994</v>
      </c>
      <c r="Z785" s="87">
        <v>774.13699999999994</v>
      </c>
      <c r="AA785" s="88">
        <v>784.17200000000003</v>
      </c>
      <c r="AB785" s="88">
        <v>791.77700000000004</v>
      </c>
      <c r="AC785" s="88">
        <v>797.505</v>
      </c>
      <c r="AD785" s="4">
        <f t="shared" si="1768"/>
        <v>799.86199999999997</v>
      </c>
      <c r="AE785" s="87">
        <v>799.86199999999997</v>
      </c>
      <c r="AF785" s="88">
        <v>806.47900000000004</v>
      </c>
      <c r="AG785" s="88">
        <v>817.38400000000001</v>
      </c>
      <c r="AH785" s="88">
        <v>823.20600000000002</v>
      </c>
      <c r="AI785" s="4">
        <f t="shared" si="1769"/>
        <v>828.67600000000004</v>
      </c>
      <c r="AJ785" s="87">
        <v>828.67600000000004</v>
      </c>
      <c r="AK785" s="88">
        <v>840.12</v>
      </c>
      <c r="AL785" s="88">
        <v>845.46100000000001</v>
      </c>
      <c r="AM785" s="88">
        <v>850.48500000000001</v>
      </c>
      <c r="AN785" s="2">
        <f t="shared" si="1770"/>
        <v>855.98900000000003</v>
      </c>
      <c r="AO785" s="87">
        <v>855.98900000000003</v>
      </c>
      <c r="AP785" s="88">
        <v>861.64099999999996</v>
      </c>
      <c r="AQ785" s="88">
        <v>866.803</v>
      </c>
      <c r="AR785" s="88">
        <v>871.77099999999996</v>
      </c>
      <c r="AS785" s="2">
        <f t="shared" si="1771"/>
        <v>878.14800000000002</v>
      </c>
      <c r="AT785" s="87">
        <v>878.14800000000002</v>
      </c>
      <c r="AU785" s="88">
        <v>904.04499999999996</v>
      </c>
      <c r="AV785" s="88">
        <v>850.601</v>
      </c>
      <c r="AW785" s="88">
        <v>856.04200000000003</v>
      </c>
      <c r="AX785" s="2">
        <f t="shared" si="1772"/>
        <v>862.75800000000004</v>
      </c>
      <c r="AY785" s="87">
        <v>862.75800000000004</v>
      </c>
      <c r="AZ785" s="88">
        <v>868.41</v>
      </c>
      <c r="BA785" s="88">
        <v>874.55100000000004</v>
      </c>
      <c r="BB785" s="88">
        <v>880.21500000000003</v>
      </c>
      <c r="BC785" s="2">
        <f t="shared" si="1773"/>
        <v>887.48500000000001</v>
      </c>
      <c r="BD785" s="87">
        <v>887.48500000000001</v>
      </c>
      <c r="BE785" s="88">
        <v>893.423</v>
      </c>
      <c r="BF785" s="88">
        <v>899.79200000000003</v>
      </c>
      <c r="BG785" s="88">
        <v>906.45799999999997</v>
      </c>
      <c r="BH785" s="2">
        <f t="shared" si="1774"/>
        <v>913.44200000000001</v>
      </c>
      <c r="BI785" s="89">
        <v>913.44200000000001</v>
      </c>
      <c r="BJ785" s="2">
        <f t="shared" ref="BJ785:BM785" si="1776">BI785+BJ639+BJ691</f>
        <v>919.44200000000001</v>
      </c>
      <c r="BK785" s="2">
        <f t="shared" si="1776"/>
        <v>925.44200000000001</v>
      </c>
      <c r="BL785" s="2">
        <f t="shared" si="1776"/>
        <v>931.44200000000001</v>
      </c>
      <c r="BM785" s="2">
        <f t="shared" si="1776"/>
        <v>937.44200000000001</v>
      </c>
      <c r="BN785" s="86">
        <f t="shared" si="1775"/>
        <v>937.44200000000001</v>
      </c>
      <c r="BO785" s="2">
        <f t="shared" ref="BO785:BR785" si="1777">BN785+BO639+BO691</f>
        <v>943.44200000000001</v>
      </c>
      <c r="BP785" s="2">
        <f t="shared" si="1777"/>
        <v>949.44200000000001</v>
      </c>
      <c r="BQ785" s="2">
        <f t="shared" si="1777"/>
        <v>955.44200000000001</v>
      </c>
      <c r="BR785" s="2">
        <f t="shared" si="1777"/>
        <v>961.44200000000001</v>
      </c>
      <c r="BS785" s="86">
        <f t="shared" si="1775"/>
        <v>961.44200000000001</v>
      </c>
      <c r="BT785" s="86">
        <f t="shared" ref="BT785:BV785" si="1778">BS785+BT639+BT691</f>
        <v>985.44200000000001</v>
      </c>
      <c r="BU785" s="86">
        <f t="shared" si="1778"/>
        <v>1009.442</v>
      </c>
      <c r="BV785" s="86">
        <f t="shared" si="1778"/>
        <v>1033.442</v>
      </c>
      <c r="BW785" s="483"/>
    </row>
    <row r="786" spans="1:75" ht="15.75" customHeight="1" x14ac:dyDescent="0.2">
      <c r="A786" s="84" t="s">
        <v>409</v>
      </c>
      <c r="B786" s="85"/>
      <c r="C786" s="87">
        <v>639.54399999999998</v>
      </c>
      <c r="D786" s="87">
        <v>721.25699999999995</v>
      </c>
      <c r="E786" s="87">
        <v>816.97699999999998</v>
      </c>
      <c r="F786" s="87">
        <v>902.53200000000004</v>
      </c>
      <c r="G786" s="88">
        <v>921.51800000000003</v>
      </c>
      <c r="H786" s="88">
        <v>943.69100000000003</v>
      </c>
      <c r="I786" s="88">
        <v>963.73800000000006</v>
      </c>
      <c r="J786" s="88">
        <v>989.45100000000002</v>
      </c>
      <c r="K786" s="87">
        <v>989.45100000000002</v>
      </c>
      <c r="L786" s="88">
        <v>1004.773</v>
      </c>
      <c r="M786" s="88">
        <v>1027.838</v>
      </c>
      <c r="N786" s="88">
        <v>1043.902</v>
      </c>
      <c r="O786" s="88">
        <v>1060.211</v>
      </c>
      <c r="P786" s="87">
        <v>1060.211</v>
      </c>
      <c r="Q786" s="88">
        <v>1080.3879999999999</v>
      </c>
      <c r="R786" s="88">
        <v>1107.066</v>
      </c>
      <c r="S786" s="88">
        <v>1123.4110000000001</v>
      </c>
      <c r="T786" s="4">
        <f t="shared" si="1766"/>
        <v>1140.788</v>
      </c>
      <c r="U786" s="87">
        <v>1140.788</v>
      </c>
      <c r="V786" s="88">
        <v>1165.0119999999999</v>
      </c>
      <c r="W786" s="88">
        <v>1193.914</v>
      </c>
      <c r="X786" s="88">
        <v>1216.9780000000001</v>
      </c>
      <c r="Y786" s="2">
        <f t="shared" si="1767"/>
        <v>1238.0119999999999</v>
      </c>
      <c r="Z786" s="87">
        <v>1238.0119999999999</v>
      </c>
      <c r="AA786" s="88">
        <v>1261.5920000000001</v>
      </c>
      <c r="AB786" s="88">
        <v>1288.2449999999999</v>
      </c>
      <c r="AC786" s="88">
        <v>1301.2090000000001</v>
      </c>
      <c r="AD786" s="4">
        <f t="shared" si="1768"/>
        <v>1345.6659999999999</v>
      </c>
      <c r="AE786" s="87">
        <v>1345.6659999999999</v>
      </c>
      <c r="AF786" s="88">
        <v>1354.855</v>
      </c>
      <c r="AG786" s="88">
        <v>1369.912</v>
      </c>
      <c r="AH786" s="88">
        <v>1383.3050000000001</v>
      </c>
      <c r="AI786" s="4">
        <f t="shared" si="1769"/>
        <v>1384.4939999999999</v>
      </c>
      <c r="AJ786" s="87">
        <v>1384.4939999999999</v>
      </c>
      <c r="AK786" s="88">
        <v>1355.06</v>
      </c>
      <c r="AL786" s="88">
        <v>1375.671</v>
      </c>
      <c r="AM786" s="88">
        <v>1375.69</v>
      </c>
      <c r="AN786" s="2">
        <f t="shared" si="1770"/>
        <v>1408.3330000000001</v>
      </c>
      <c r="AO786" s="87">
        <v>1408.3330000000001</v>
      </c>
      <c r="AP786" s="88">
        <v>1255.7940000000001</v>
      </c>
      <c r="AQ786" s="88">
        <v>1184.9190000000001</v>
      </c>
      <c r="AR786" s="88">
        <v>1150.7260000000001</v>
      </c>
      <c r="AS786" s="2">
        <f t="shared" si="1771"/>
        <v>1110.087</v>
      </c>
      <c r="AT786" s="87">
        <v>1110.087</v>
      </c>
      <c r="AU786" s="88">
        <v>1114.047</v>
      </c>
      <c r="AV786" s="88">
        <v>1134.1859999999999</v>
      </c>
      <c r="AW786" s="88">
        <v>1167.001</v>
      </c>
      <c r="AX786" s="2">
        <f t="shared" si="1772"/>
        <v>1169.1500000000001</v>
      </c>
      <c r="AY786" s="87">
        <v>1169.1500000000001</v>
      </c>
      <c r="AZ786" s="88">
        <v>1192.335</v>
      </c>
      <c r="BA786" s="88">
        <v>1203.731</v>
      </c>
      <c r="BB786" s="88">
        <v>1187.28</v>
      </c>
      <c r="BC786" s="2">
        <f t="shared" si="1773"/>
        <v>1170.078</v>
      </c>
      <c r="BD786" s="87">
        <v>1170.078</v>
      </c>
      <c r="BE786" s="88">
        <v>1184.1990000000001</v>
      </c>
      <c r="BF786" s="88">
        <v>1213.115</v>
      </c>
      <c r="BG786" s="88">
        <v>1217.271</v>
      </c>
      <c r="BH786" s="2">
        <f t="shared" si="1774"/>
        <v>1216.239</v>
      </c>
      <c r="BI786" s="89">
        <v>1216.239</v>
      </c>
      <c r="BJ786" s="2">
        <f t="shared" ref="BJ786:BM786" ca="1" si="1779">BI786+BJ635+BJ683-BJ407</f>
        <v>1232.7993784576847</v>
      </c>
      <c r="BK786" s="2">
        <f t="shared" ca="1" si="1779"/>
        <v>1267.5878921591652</v>
      </c>
      <c r="BL786" s="2">
        <f t="shared" ca="1" si="1779"/>
        <v>1276.2574751894972</v>
      </c>
      <c r="BM786" s="2">
        <f t="shared" ca="1" si="1779"/>
        <v>1305.8784295516703</v>
      </c>
      <c r="BN786" s="86">
        <f t="shared" ca="1" si="1775"/>
        <v>1305.8784295516703</v>
      </c>
      <c r="BO786" s="2">
        <f t="shared" ref="BO786:BR786" ca="1" si="1780">BN786+BO635+BO683-BO407</f>
        <v>1322.6003913368538</v>
      </c>
      <c r="BP786" s="2">
        <f t="shared" ca="1" si="1780"/>
        <v>1358.5610023478364</v>
      </c>
      <c r="BQ786" s="2">
        <f t="shared" ca="1" si="1780"/>
        <v>1370.6831748701436</v>
      </c>
      <c r="BR786" s="2">
        <f t="shared" ca="1" si="1780"/>
        <v>1404.9697790941591</v>
      </c>
      <c r="BS786" s="86">
        <f t="shared" ca="1" si="1775"/>
        <v>1404.9697790941591</v>
      </c>
      <c r="BT786" s="86">
        <f t="shared" ref="BT786:BV786" ca="1" si="1781">BS786+BT635+BT683-BT407</f>
        <v>1516.7431081152499</v>
      </c>
      <c r="BU786" s="86">
        <f t="shared" ca="1" si="1781"/>
        <v>1643.4822394838448</v>
      </c>
      <c r="BV786" s="86">
        <f t="shared" ca="1" si="1781"/>
        <v>1790.9688378947271</v>
      </c>
      <c r="BW786" s="483"/>
    </row>
    <row r="787" spans="1:75" ht="15.75" customHeight="1" x14ac:dyDescent="0.2">
      <c r="A787" s="84" t="s">
        <v>410</v>
      </c>
      <c r="B787" s="85"/>
      <c r="C787" s="87">
        <v>-4.6189999999999998</v>
      </c>
      <c r="D787" s="86"/>
      <c r="E787" s="86"/>
      <c r="F787" s="86"/>
      <c r="G787" s="2"/>
      <c r="H787" s="2"/>
      <c r="I787" s="2"/>
      <c r="J787" s="2"/>
      <c r="K787" s="86"/>
      <c r="L787" s="2"/>
      <c r="M787" s="2"/>
      <c r="N787" s="2"/>
      <c r="O787" s="2"/>
      <c r="P787" s="86"/>
      <c r="Q787" s="2"/>
      <c r="R787" s="2"/>
      <c r="S787" s="2"/>
      <c r="T787" s="4">
        <f t="shared" si="1766"/>
        <v>0</v>
      </c>
      <c r="U787" s="86"/>
      <c r="V787" s="2"/>
      <c r="W787" s="2"/>
      <c r="X787" s="2"/>
      <c r="Y787" s="2">
        <f t="shared" si="1767"/>
        <v>0</v>
      </c>
      <c r="Z787" s="86"/>
      <c r="AA787" s="2"/>
      <c r="AB787" s="88">
        <v>0</v>
      </c>
      <c r="AC787" s="88">
        <v>-3.9E-2</v>
      </c>
      <c r="AD787" s="4">
        <f t="shared" si="1768"/>
        <v>-8.7999999999999995E-2</v>
      </c>
      <c r="AE787" s="87">
        <v>-8.7999999999999995E-2</v>
      </c>
      <c r="AF787" s="88">
        <v>-0.33400000000000002</v>
      </c>
      <c r="AG787" s="88">
        <v>-0.58299999999999996</v>
      </c>
      <c r="AH787" s="88">
        <v>-0.311</v>
      </c>
      <c r="AI787" s="4">
        <f t="shared" si="1769"/>
        <v>-0.93799999999999994</v>
      </c>
      <c r="AJ787" s="87">
        <v>-0.93799999999999994</v>
      </c>
      <c r="AK787" s="88">
        <v>-0.69899999999999995</v>
      </c>
      <c r="AL787" s="88">
        <v>-0.52400000000000002</v>
      </c>
      <c r="AM787" s="88">
        <v>-0.63300000000000001</v>
      </c>
      <c r="AN787" s="2">
        <f t="shared" si="1770"/>
        <v>-0.435</v>
      </c>
      <c r="AO787" s="87">
        <v>-0.435</v>
      </c>
      <c r="AP787" s="88">
        <v>-3.7410000000000001</v>
      </c>
      <c r="AQ787" s="88">
        <v>-4.8040000000000003</v>
      </c>
      <c r="AR787" s="88">
        <v>-4.8410000000000002</v>
      </c>
      <c r="AS787" s="2">
        <f t="shared" si="1771"/>
        <v>-3.7850000000000001</v>
      </c>
      <c r="AT787" s="87">
        <v>-3.7850000000000001</v>
      </c>
      <c r="AU787" s="88">
        <v>-1.873</v>
      </c>
      <c r="AV787" s="88">
        <v>7.1999999999999995E-2</v>
      </c>
      <c r="AW787" s="88">
        <v>-0.16600000000000001</v>
      </c>
      <c r="AX787" s="2">
        <f t="shared" si="1772"/>
        <v>-0.28699999999999998</v>
      </c>
      <c r="AY787" s="87">
        <v>-0.28699999999999998</v>
      </c>
      <c r="AZ787" s="88">
        <v>-3.2000000000000001E-2</v>
      </c>
      <c r="BA787" s="88">
        <v>-0.33200000000000002</v>
      </c>
      <c r="BB787" s="88">
        <v>-1.056</v>
      </c>
      <c r="BC787" s="2">
        <f t="shared" si="1773"/>
        <v>-0.98199999999999998</v>
      </c>
      <c r="BD787" s="87">
        <v>-0.98199999999999998</v>
      </c>
      <c r="BE787" s="88">
        <v>-0.83499999999999996</v>
      </c>
      <c r="BF787" s="88">
        <v>-0.65500000000000003</v>
      </c>
      <c r="BG787" s="88">
        <v>-1.0660000000000001</v>
      </c>
      <c r="BH787" s="2">
        <f t="shared" si="1774"/>
        <v>-0.69399999999999995</v>
      </c>
      <c r="BI787" s="89">
        <v>-0.69399999999999995</v>
      </c>
      <c r="BJ787" s="2">
        <f t="shared" ref="BJ787:BV788" si="1782">BI787</f>
        <v>-0.69399999999999995</v>
      </c>
      <c r="BK787" s="2">
        <f t="shared" si="1782"/>
        <v>-0.69399999999999995</v>
      </c>
      <c r="BL787" s="2">
        <f t="shared" si="1782"/>
        <v>-0.69399999999999995</v>
      </c>
      <c r="BM787" s="2">
        <f t="shared" si="1782"/>
        <v>-0.69399999999999995</v>
      </c>
      <c r="BN787" s="86">
        <f t="shared" si="1782"/>
        <v>-0.69399999999999995</v>
      </c>
      <c r="BO787" s="2">
        <f t="shared" si="1782"/>
        <v>-0.69399999999999995</v>
      </c>
      <c r="BP787" s="2">
        <f t="shared" si="1782"/>
        <v>-0.69399999999999995</v>
      </c>
      <c r="BQ787" s="2">
        <f t="shared" si="1782"/>
        <v>-0.69399999999999995</v>
      </c>
      <c r="BR787" s="2">
        <f t="shared" si="1782"/>
        <v>-0.69399999999999995</v>
      </c>
      <c r="BS787" s="86">
        <f t="shared" si="1782"/>
        <v>-0.69399999999999995</v>
      </c>
      <c r="BT787" s="86">
        <f t="shared" si="1782"/>
        <v>-0.69399999999999995</v>
      </c>
      <c r="BU787" s="86">
        <f t="shared" si="1782"/>
        <v>-0.69399999999999995</v>
      </c>
      <c r="BV787" s="86">
        <f t="shared" si="1782"/>
        <v>-0.69399999999999995</v>
      </c>
      <c r="BW787" s="483"/>
    </row>
    <row r="788" spans="1:75" ht="15.75" customHeight="1" x14ac:dyDescent="0.2">
      <c r="A788" s="91" t="s">
        <v>411</v>
      </c>
      <c r="B788" s="92"/>
      <c r="C788" s="98">
        <v>-506.20800000000003</v>
      </c>
      <c r="D788" s="98">
        <v>-558.29600000000005</v>
      </c>
      <c r="E788" s="98">
        <v>-730.42200000000003</v>
      </c>
      <c r="F788" s="98">
        <v>-831.81399999999996</v>
      </c>
      <c r="G788" s="99">
        <v>-873.80799999999999</v>
      </c>
      <c r="H788" s="99">
        <v>-877.09699999999998</v>
      </c>
      <c r="I788" s="99">
        <v>-967.346</v>
      </c>
      <c r="J788" s="99">
        <v>-1015.473</v>
      </c>
      <c r="K788" s="98">
        <v>-1015.473</v>
      </c>
      <c r="L788" s="99">
        <v>-1114.454</v>
      </c>
      <c r="M788" s="99">
        <v>-1138.6600000000001</v>
      </c>
      <c r="N788" s="99">
        <v>-1158.4960000000001</v>
      </c>
      <c r="O788" s="99">
        <v>-1158.652</v>
      </c>
      <c r="P788" s="98">
        <v>-1158.652</v>
      </c>
      <c r="Q788" s="99">
        <v>-1239.0409999999999</v>
      </c>
      <c r="R788" s="99">
        <v>-1242.8489999999999</v>
      </c>
      <c r="S788" s="99">
        <v>-1246.076</v>
      </c>
      <c r="T788" s="95">
        <f t="shared" si="1766"/>
        <v>-1263.422</v>
      </c>
      <c r="U788" s="98">
        <v>-1263.422</v>
      </c>
      <c r="V788" s="99">
        <v>-1313.4680000000001</v>
      </c>
      <c r="W788" s="99">
        <v>-1340.0519999999999</v>
      </c>
      <c r="X788" s="99">
        <v>-1382.423</v>
      </c>
      <c r="Y788" s="94">
        <f t="shared" si="1767"/>
        <v>-1409.8889999999999</v>
      </c>
      <c r="Z788" s="98">
        <v>-1409.8889999999999</v>
      </c>
      <c r="AA788" s="99">
        <v>-1419.18</v>
      </c>
      <c r="AB788" s="99">
        <v>-1440.443</v>
      </c>
      <c r="AC788" s="99">
        <v>-1516.269</v>
      </c>
      <c r="AD788" s="95">
        <f t="shared" si="1768"/>
        <v>-1532.864</v>
      </c>
      <c r="AE788" s="98">
        <v>-1532.864</v>
      </c>
      <c r="AF788" s="99">
        <v>-1567.7670000000001</v>
      </c>
      <c r="AG788" s="99">
        <v>-1574.893</v>
      </c>
      <c r="AH788" s="99">
        <v>-1593.7570000000001</v>
      </c>
      <c r="AI788" s="95">
        <f t="shared" si="1769"/>
        <v>-1642.14</v>
      </c>
      <c r="AJ788" s="98">
        <v>-1642.14</v>
      </c>
      <c r="AK788" s="99">
        <v>-1653.211</v>
      </c>
      <c r="AL788" s="99">
        <v>-1681.3040000000001</v>
      </c>
      <c r="AM788" s="99">
        <v>-1692.701</v>
      </c>
      <c r="AN788" s="94">
        <f t="shared" si="1770"/>
        <v>-1693.1220000000001</v>
      </c>
      <c r="AO788" s="98">
        <v>-1693.1220000000001</v>
      </c>
      <c r="AP788" s="99">
        <v>-1695.7080000000001</v>
      </c>
      <c r="AQ788" s="99">
        <v>-1695.9739999999999</v>
      </c>
      <c r="AR788" s="99">
        <v>-1696.364</v>
      </c>
      <c r="AS788" s="94">
        <f t="shared" si="1771"/>
        <v>-1696.7429999999999</v>
      </c>
      <c r="AT788" s="98">
        <v>-1696.7429999999999</v>
      </c>
      <c r="AU788" s="99">
        <v>-1700.7</v>
      </c>
      <c r="AV788" s="99">
        <v>-1701.3030000000001</v>
      </c>
      <c r="AW788" s="99">
        <v>-1701.9839999999999</v>
      </c>
      <c r="AX788" s="2">
        <f t="shared" si="1772"/>
        <v>-1702.509</v>
      </c>
      <c r="AY788" s="98">
        <v>-1702.509</v>
      </c>
      <c r="AZ788" s="99">
        <v>-1706.4469999999999</v>
      </c>
      <c r="BA788" s="99">
        <v>-1717.326</v>
      </c>
      <c r="BB788" s="99">
        <v>-1744.0050000000001</v>
      </c>
      <c r="BC788" s="94">
        <f t="shared" si="1773"/>
        <v>-1765.6410000000001</v>
      </c>
      <c r="BD788" s="98">
        <v>-1765.6410000000001</v>
      </c>
      <c r="BE788" s="99">
        <v>-1778.0170000000001</v>
      </c>
      <c r="BF788" s="99">
        <v>-1787.4190000000001</v>
      </c>
      <c r="BG788" s="99">
        <v>-1802.09</v>
      </c>
      <c r="BH788" s="94">
        <f t="shared" si="1774"/>
        <v>-1811.9970000000001</v>
      </c>
      <c r="BI788" s="100">
        <v>-1811.9970000000001</v>
      </c>
      <c r="BJ788" s="94">
        <f t="shared" si="1782"/>
        <v>-1811.9970000000001</v>
      </c>
      <c r="BK788" s="94">
        <f t="shared" si="1782"/>
        <v>-1811.9970000000001</v>
      </c>
      <c r="BL788" s="94">
        <f t="shared" si="1782"/>
        <v>-1811.9970000000001</v>
      </c>
      <c r="BM788" s="94">
        <f t="shared" si="1782"/>
        <v>-1811.9970000000001</v>
      </c>
      <c r="BN788" s="93">
        <f t="shared" si="1782"/>
        <v>-1811.9970000000001</v>
      </c>
      <c r="BO788" s="94">
        <f t="shared" si="1782"/>
        <v>-1811.9970000000001</v>
      </c>
      <c r="BP788" s="94">
        <f t="shared" si="1782"/>
        <v>-1811.9970000000001</v>
      </c>
      <c r="BQ788" s="94">
        <f t="shared" si="1782"/>
        <v>-1811.9970000000001</v>
      </c>
      <c r="BR788" s="94">
        <f t="shared" si="1782"/>
        <v>-1811.9970000000001</v>
      </c>
      <c r="BS788" s="93">
        <f t="shared" si="1782"/>
        <v>-1811.9970000000001</v>
      </c>
      <c r="BT788" s="93">
        <f t="shared" si="1782"/>
        <v>-1811.9970000000001</v>
      </c>
      <c r="BU788" s="93">
        <f t="shared" si="1782"/>
        <v>-1811.9970000000001</v>
      </c>
      <c r="BV788" s="93">
        <f t="shared" si="1782"/>
        <v>-1811.9970000000001</v>
      </c>
      <c r="BW788" s="483"/>
    </row>
    <row r="789" spans="1:75" ht="15.75" customHeight="1" x14ac:dyDescent="0.2">
      <c r="A789" s="101" t="s">
        <v>412</v>
      </c>
      <c r="B789" s="102"/>
      <c r="C789" s="104">
        <f t="shared" ref="C789:BV789" si="1783">SUM(C784:C788)</f>
        <v>516.11300000000006</v>
      </c>
      <c r="D789" s="104">
        <f t="shared" si="1783"/>
        <v>592.33699999999976</v>
      </c>
      <c r="E789" s="104">
        <f t="shared" si="1783"/>
        <v>542.75299999999993</v>
      </c>
      <c r="F789" s="104">
        <f t="shared" si="1783"/>
        <v>579.726</v>
      </c>
      <c r="G789" s="105">
        <f t="shared" si="1783"/>
        <v>581.8420000000001</v>
      </c>
      <c r="H789" s="105">
        <f t="shared" si="1783"/>
        <v>634.29600000000005</v>
      </c>
      <c r="I789" s="105">
        <f t="shared" si="1783"/>
        <v>583.17100000000005</v>
      </c>
      <c r="J789" s="105">
        <f t="shared" si="1783"/>
        <v>577.35300000000007</v>
      </c>
      <c r="K789" s="104">
        <f t="shared" si="1783"/>
        <v>577.35300000000007</v>
      </c>
      <c r="L789" s="105">
        <f t="shared" si="1783"/>
        <v>502.51800000000003</v>
      </c>
      <c r="M789" s="105">
        <f t="shared" si="1783"/>
        <v>509.13799999999969</v>
      </c>
      <c r="N789" s="105">
        <f t="shared" si="1783"/>
        <v>522.57400000000007</v>
      </c>
      <c r="O789" s="105">
        <f t="shared" si="1783"/>
        <v>556.51</v>
      </c>
      <c r="P789" s="104">
        <f t="shared" si="1783"/>
        <v>556.51</v>
      </c>
      <c r="Q789" s="105">
        <f t="shared" si="1783"/>
        <v>506.50400000000013</v>
      </c>
      <c r="R789" s="105">
        <f t="shared" si="1783"/>
        <v>549.11900000000014</v>
      </c>
      <c r="S789" s="105">
        <f t="shared" si="1783"/>
        <v>579.53899999999999</v>
      </c>
      <c r="T789" s="105">
        <f t="shared" si="1783"/>
        <v>588.53899999999999</v>
      </c>
      <c r="U789" s="104">
        <f t="shared" si="1783"/>
        <v>588.53899999999999</v>
      </c>
      <c r="V789" s="105">
        <f t="shared" si="1783"/>
        <v>585.55999999999972</v>
      </c>
      <c r="W789" s="105">
        <f t="shared" si="1783"/>
        <v>596.8420000000001</v>
      </c>
      <c r="X789" s="105">
        <f t="shared" si="1783"/>
        <v>589.53100000000018</v>
      </c>
      <c r="Y789" s="106">
        <f t="shared" si="1783"/>
        <v>603.20700000000011</v>
      </c>
      <c r="Z789" s="103">
        <f t="shared" si="1783"/>
        <v>603.20700000000011</v>
      </c>
      <c r="AA789" s="105">
        <f t="shared" si="1783"/>
        <v>627.53500000000008</v>
      </c>
      <c r="AB789" s="105">
        <f t="shared" si="1783"/>
        <v>640.53100000000018</v>
      </c>
      <c r="AC789" s="105">
        <f t="shared" si="1783"/>
        <v>583.3589999999997</v>
      </c>
      <c r="AD789" s="106">
        <f t="shared" si="1783"/>
        <v>613.52999999999975</v>
      </c>
      <c r="AE789" s="103">
        <f t="shared" si="1783"/>
        <v>613.52999999999975</v>
      </c>
      <c r="AF789" s="105">
        <f t="shared" si="1783"/>
        <v>594.19299999999998</v>
      </c>
      <c r="AG789" s="105">
        <f t="shared" si="1783"/>
        <v>612.7819999999997</v>
      </c>
      <c r="AH789" s="105">
        <f t="shared" si="1783"/>
        <v>613.40599999999995</v>
      </c>
      <c r="AI789" s="106">
        <f t="shared" si="1783"/>
        <v>571.05899999999951</v>
      </c>
      <c r="AJ789" s="103">
        <f t="shared" si="1783"/>
        <v>571.05899999999951</v>
      </c>
      <c r="AK789" s="106">
        <f t="shared" si="1783"/>
        <v>542.24399999999991</v>
      </c>
      <c r="AL789" s="106">
        <f t="shared" si="1783"/>
        <v>540.279</v>
      </c>
      <c r="AM789" s="106">
        <f t="shared" si="1783"/>
        <v>533.81600000000026</v>
      </c>
      <c r="AN789" s="106">
        <f t="shared" si="1783"/>
        <v>571.74199999999996</v>
      </c>
      <c r="AO789" s="103">
        <f t="shared" si="1783"/>
        <v>571.74199999999996</v>
      </c>
      <c r="AP789" s="106">
        <f t="shared" si="1783"/>
        <v>418.971</v>
      </c>
      <c r="AQ789" s="106">
        <f t="shared" si="1783"/>
        <v>351.92900000000031</v>
      </c>
      <c r="AR789" s="106">
        <f t="shared" si="1783"/>
        <v>322.27600000000029</v>
      </c>
      <c r="AS789" s="106">
        <f t="shared" si="1783"/>
        <v>288.69299999999998</v>
      </c>
      <c r="AT789" s="103">
        <f t="shared" si="1783"/>
        <v>288.69299999999998</v>
      </c>
      <c r="AU789" s="106">
        <f t="shared" si="1783"/>
        <v>316.5139999999999</v>
      </c>
      <c r="AV789" s="106">
        <f t="shared" si="1783"/>
        <v>284.60799999999972</v>
      </c>
      <c r="AW789" s="106">
        <f t="shared" si="1783"/>
        <v>321.94600000000014</v>
      </c>
      <c r="AX789" s="106">
        <f t="shared" si="1783"/>
        <v>330.16599999999994</v>
      </c>
      <c r="AY789" s="103">
        <f t="shared" si="1783"/>
        <v>330.16599999999994</v>
      </c>
      <c r="AZ789" s="106">
        <f t="shared" si="1783"/>
        <v>355.32599999999979</v>
      </c>
      <c r="BA789" s="106">
        <f t="shared" si="1783"/>
        <v>361.6840000000002</v>
      </c>
      <c r="BB789" s="106">
        <f t="shared" si="1783"/>
        <v>323.49599999999964</v>
      </c>
      <c r="BC789" s="106">
        <f t="shared" si="1783"/>
        <v>292.00300000000016</v>
      </c>
      <c r="BD789" s="103">
        <f t="shared" si="1783"/>
        <v>292.00300000000016</v>
      </c>
      <c r="BE789" s="106">
        <f t="shared" si="1783"/>
        <v>299.83899999999971</v>
      </c>
      <c r="BF789" s="106">
        <f t="shared" si="1783"/>
        <v>325.90299999999957</v>
      </c>
      <c r="BG789" s="106">
        <f t="shared" si="1783"/>
        <v>321.64400000000046</v>
      </c>
      <c r="BH789" s="106">
        <f t="shared" si="1783"/>
        <v>318.06200000000013</v>
      </c>
      <c r="BI789" s="115">
        <f t="shared" si="1783"/>
        <v>318.06200000000013</v>
      </c>
      <c r="BJ789" s="106">
        <f t="shared" ca="1" si="1783"/>
        <v>340.62237845768482</v>
      </c>
      <c r="BK789" s="106">
        <f t="shared" ca="1" si="1783"/>
        <v>381.41089215916531</v>
      </c>
      <c r="BL789" s="106">
        <f t="shared" ca="1" si="1783"/>
        <v>396.08047518949729</v>
      </c>
      <c r="BM789" s="106">
        <f t="shared" ca="1" si="1783"/>
        <v>431.70142955167034</v>
      </c>
      <c r="BN789" s="103">
        <f t="shared" ca="1" si="1783"/>
        <v>431.70142955167034</v>
      </c>
      <c r="BO789" s="106">
        <f t="shared" ca="1" si="1783"/>
        <v>454.42339133685368</v>
      </c>
      <c r="BP789" s="106">
        <f t="shared" ca="1" si="1783"/>
        <v>496.38400234783626</v>
      </c>
      <c r="BQ789" s="106">
        <f t="shared" ca="1" si="1783"/>
        <v>514.50617487014347</v>
      </c>
      <c r="BR789" s="106">
        <f t="shared" ca="1" si="1783"/>
        <v>554.79277909415919</v>
      </c>
      <c r="BS789" s="103">
        <f t="shared" ca="1" si="1783"/>
        <v>554.79277909415919</v>
      </c>
      <c r="BT789" s="103">
        <f t="shared" ca="1" si="1783"/>
        <v>690.56610811525002</v>
      </c>
      <c r="BU789" s="103">
        <f t="shared" ca="1" si="1783"/>
        <v>841.30523948384484</v>
      </c>
      <c r="BV789" s="103">
        <f t="shared" ca="1" si="1783"/>
        <v>1012.7918378947268</v>
      </c>
      <c r="BW789" s="197"/>
    </row>
    <row r="790" spans="1:75" ht="15.75" customHeight="1" x14ac:dyDescent="0.2">
      <c r="A790" s="84" t="s">
        <v>866</v>
      </c>
      <c r="B790" s="85"/>
      <c r="C790" s="86"/>
      <c r="D790" s="86"/>
      <c r="E790" s="86"/>
      <c r="F790" s="86"/>
      <c r="G790" s="2"/>
      <c r="H790" s="2"/>
      <c r="I790" s="2"/>
      <c r="J790" s="2"/>
      <c r="K790" s="86"/>
      <c r="L790" s="2"/>
      <c r="M790" s="2"/>
      <c r="N790" s="2"/>
      <c r="O790" s="2"/>
      <c r="P790" s="86"/>
      <c r="Q790" s="2"/>
      <c r="R790" s="2"/>
      <c r="S790" s="2"/>
      <c r="T790" s="2"/>
      <c r="U790" s="86"/>
      <c r="V790" s="2"/>
      <c r="W790" s="2"/>
      <c r="X790" s="2"/>
      <c r="Y790" s="2"/>
      <c r="Z790" s="86"/>
      <c r="AA790" s="2"/>
      <c r="AB790" s="2"/>
      <c r="AC790" s="2"/>
      <c r="AD790" s="2"/>
      <c r="AE790" s="86"/>
      <c r="AF790" s="2"/>
      <c r="AG790" s="2"/>
      <c r="AH790" s="2"/>
      <c r="AI790" s="2"/>
      <c r="AJ790" s="86"/>
      <c r="AK790" s="2"/>
      <c r="AL790" s="2"/>
      <c r="AM790" s="2"/>
      <c r="AN790" s="2"/>
      <c r="AO790" s="86"/>
      <c r="AP790" s="2"/>
      <c r="AQ790" s="2"/>
      <c r="AR790" s="2"/>
      <c r="AS790" s="2"/>
      <c r="AT790" s="86"/>
      <c r="AU790" s="2"/>
      <c r="AV790" s="2"/>
      <c r="AW790" s="2"/>
      <c r="AX790" s="2"/>
      <c r="AY790" s="86"/>
      <c r="AZ790" s="2"/>
      <c r="BA790" s="2"/>
      <c r="BB790" s="2"/>
      <c r="BC790" s="2"/>
      <c r="BD790" s="86"/>
      <c r="BE790" s="2"/>
      <c r="BF790" s="2"/>
      <c r="BG790" s="2"/>
      <c r="BH790" s="2"/>
      <c r="BI790" s="90"/>
      <c r="BJ790" s="2">
        <f t="shared" ref="BJ790:BM790" si="1784">BI790+BJ407</f>
        <v>0</v>
      </c>
      <c r="BK790" s="2">
        <f t="shared" si="1784"/>
        <v>0</v>
      </c>
      <c r="BL790" s="2">
        <f t="shared" si="1784"/>
        <v>0</v>
      </c>
      <c r="BM790" s="2">
        <f t="shared" si="1784"/>
        <v>0</v>
      </c>
      <c r="BN790" s="86">
        <f>BM790</f>
        <v>0</v>
      </c>
      <c r="BO790" s="2">
        <f t="shared" ref="BO790:BR790" si="1785">BN790+BO407</f>
        <v>0</v>
      </c>
      <c r="BP790" s="2">
        <f t="shared" si="1785"/>
        <v>0</v>
      </c>
      <c r="BQ790" s="2">
        <f t="shared" si="1785"/>
        <v>0</v>
      </c>
      <c r="BR790" s="2">
        <f t="shared" si="1785"/>
        <v>0</v>
      </c>
      <c r="BS790" s="86">
        <f>BR790</f>
        <v>0</v>
      </c>
      <c r="BT790" s="86">
        <f t="shared" ref="BT790:BV790" si="1786">BS790+BT407</f>
        <v>0</v>
      </c>
      <c r="BU790" s="86">
        <f t="shared" si="1786"/>
        <v>0</v>
      </c>
      <c r="BV790" s="86">
        <f t="shared" si="1786"/>
        <v>0</v>
      </c>
      <c r="BW790" s="483"/>
    </row>
    <row r="791" spans="1:75" ht="15.75" customHeight="1" x14ac:dyDescent="0.2">
      <c r="A791" s="229" t="s">
        <v>413</v>
      </c>
      <c r="B791" s="108"/>
      <c r="C791" s="319">
        <f t="shared" ref="C791:BV791" si="1787">C789+C781+C790</f>
        <v>1046.751</v>
      </c>
      <c r="D791" s="319">
        <f t="shared" si="1787"/>
        <v>1037.3069999999998</v>
      </c>
      <c r="E791" s="319">
        <f t="shared" si="1787"/>
        <v>1022.5699999999999</v>
      </c>
      <c r="F791" s="319">
        <f t="shared" si="1787"/>
        <v>1092.1669999999999</v>
      </c>
      <c r="G791" s="83">
        <f t="shared" si="1787"/>
        <v>1071.1080000000002</v>
      </c>
      <c r="H791" s="83">
        <f t="shared" si="1787"/>
        <v>1124.8869999999999</v>
      </c>
      <c r="I791" s="83">
        <f t="shared" si="1787"/>
        <v>1101.1379999999999</v>
      </c>
      <c r="J791" s="83">
        <f t="shared" si="1787"/>
        <v>1124.114</v>
      </c>
      <c r="K791" s="319">
        <f t="shared" si="1787"/>
        <v>1124.114</v>
      </c>
      <c r="L791" s="83">
        <f t="shared" si="1787"/>
        <v>1073.7559999999999</v>
      </c>
      <c r="M791" s="83">
        <f t="shared" si="1787"/>
        <v>1080.5209999999997</v>
      </c>
      <c r="N791" s="83">
        <f t="shared" si="1787"/>
        <v>1105.5140000000001</v>
      </c>
      <c r="O791" s="83">
        <f t="shared" si="1787"/>
        <v>1161.376</v>
      </c>
      <c r="P791" s="319">
        <f t="shared" si="1787"/>
        <v>1161.376</v>
      </c>
      <c r="Q791" s="83">
        <f t="shared" si="1787"/>
        <v>1128.7260000000001</v>
      </c>
      <c r="R791" s="83">
        <f t="shared" si="1787"/>
        <v>1174.79</v>
      </c>
      <c r="S791" s="83">
        <f t="shared" si="1787"/>
        <v>1175.856</v>
      </c>
      <c r="T791" s="83">
        <f t="shared" si="1787"/>
        <v>1233.346</v>
      </c>
      <c r="U791" s="319">
        <f t="shared" si="1787"/>
        <v>1233.346</v>
      </c>
      <c r="V791" s="83">
        <f t="shared" si="1787"/>
        <v>1192.6509999999998</v>
      </c>
      <c r="W791" s="83">
        <f t="shared" si="1787"/>
        <v>1204.318</v>
      </c>
      <c r="X791" s="83">
        <f t="shared" si="1787"/>
        <v>1204.3790000000001</v>
      </c>
      <c r="Y791" s="110">
        <f t="shared" si="1787"/>
        <v>1293.319</v>
      </c>
      <c r="Z791" s="109">
        <f t="shared" si="1787"/>
        <v>1293.319</v>
      </c>
      <c r="AA791" s="83">
        <f t="shared" si="1787"/>
        <v>1276.828</v>
      </c>
      <c r="AB791" s="83">
        <f t="shared" si="1787"/>
        <v>1299.3150000000001</v>
      </c>
      <c r="AC791" s="83">
        <f t="shared" si="1787"/>
        <v>1275.3279999999997</v>
      </c>
      <c r="AD791" s="110">
        <f t="shared" si="1787"/>
        <v>1333.0599999999997</v>
      </c>
      <c r="AE791" s="109">
        <f t="shared" si="1787"/>
        <v>1333.0599999999997</v>
      </c>
      <c r="AF791" s="83">
        <f t="shared" si="1787"/>
        <v>1287.3429999999998</v>
      </c>
      <c r="AG791" s="83">
        <f t="shared" si="1787"/>
        <v>1306.6389999999997</v>
      </c>
      <c r="AH791" s="83">
        <f t="shared" si="1787"/>
        <v>1308.0629999999999</v>
      </c>
      <c r="AI791" s="110">
        <f t="shared" si="1787"/>
        <v>1314.1329999999996</v>
      </c>
      <c r="AJ791" s="109">
        <f t="shared" si="1787"/>
        <v>1314.1329999999996</v>
      </c>
      <c r="AK791" s="110">
        <f t="shared" si="1787"/>
        <v>2076.08</v>
      </c>
      <c r="AL791" s="110">
        <f t="shared" si="1787"/>
        <v>2073.79</v>
      </c>
      <c r="AM791" s="110">
        <f t="shared" si="1787"/>
        <v>2381.7700000000004</v>
      </c>
      <c r="AN791" s="110">
        <f t="shared" si="1787"/>
        <v>2840.5929999999998</v>
      </c>
      <c r="AO791" s="109">
        <f t="shared" si="1787"/>
        <v>2840.5929999999998</v>
      </c>
      <c r="AP791" s="110">
        <f t="shared" si="1787"/>
        <v>2675.7820000000002</v>
      </c>
      <c r="AQ791" s="110">
        <f t="shared" si="1787"/>
        <v>2867.2809999999999</v>
      </c>
      <c r="AR791" s="110">
        <f t="shared" si="1787"/>
        <v>2828.0630000000006</v>
      </c>
      <c r="AS791" s="110">
        <f t="shared" si="1787"/>
        <v>2747.0540000000001</v>
      </c>
      <c r="AT791" s="109">
        <f t="shared" si="1787"/>
        <v>2747.0540000000001</v>
      </c>
      <c r="AU791" s="110">
        <f t="shared" si="1787"/>
        <v>2735.4389999999994</v>
      </c>
      <c r="AV791" s="110">
        <f t="shared" si="1787"/>
        <v>2722.2899999999995</v>
      </c>
      <c r="AW791" s="110">
        <f t="shared" si="1787"/>
        <v>2717.7179999999998</v>
      </c>
      <c r="AX791" s="110">
        <f t="shared" si="1787"/>
        <v>2798.125</v>
      </c>
      <c r="AY791" s="109">
        <f t="shared" si="1787"/>
        <v>2798.125</v>
      </c>
      <c r="AZ791" s="110">
        <f t="shared" si="1787"/>
        <v>2753.741</v>
      </c>
      <c r="BA791" s="110">
        <f t="shared" si="1787"/>
        <v>2772.433</v>
      </c>
      <c r="BB791" s="110">
        <f t="shared" si="1787"/>
        <v>2734.0739999999996</v>
      </c>
      <c r="BC791" s="110">
        <f t="shared" si="1787"/>
        <v>2775.2200000000003</v>
      </c>
      <c r="BD791" s="109">
        <f t="shared" si="1787"/>
        <v>2775.2200000000003</v>
      </c>
      <c r="BE791" s="110">
        <f t="shared" si="1787"/>
        <v>2742.4879999999994</v>
      </c>
      <c r="BF791" s="110">
        <f t="shared" si="1787"/>
        <v>2769.7079999999996</v>
      </c>
      <c r="BG791" s="110">
        <f t="shared" si="1787"/>
        <v>2776.8900000000003</v>
      </c>
      <c r="BH791" s="110">
        <f t="shared" si="1787"/>
        <v>2840.3829999999998</v>
      </c>
      <c r="BI791" s="107">
        <f t="shared" si="1787"/>
        <v>2840.3829999999998</v>
      </c>
      <c r="BJ791" s="110">
        <f t="shared" ca="1" si="1787"/>
        <v>2838.7434598643476</v>
      </c>
      <c r="BK791" s="110">
        <f t="shared" ca="1" si="1787"/>
        <v>2879.5880239387679</v>
      </c>
      <c r="BL791" s="110">
        <f t="shared" ca="1" si="1787"/>
        <v>2888.8428558692622</v>
      </c>
      <c r="BM791" s="110">
        <f t="shared" ca="1" si="1787"/>
        <v>2991.7140759968224</v>
      </c>
      <c r="BN791" s="109">
        <f t="shared" ca="1" si="1787"/>
        <v>2991.7140759968224</v>
      </c>
      <c r="BO791" s="110">
        <f t="shared" ca="1" si="1787"/>
        <v>2989.0918931978222</v>
      </c>
      <c r="BP791" s="110">
        <f t="shared" ca="1" si="1787"/>
        <v>3028.462939644628</v>
      </c>
      <c r="BQ791" s="110">
        <f t="shared" ca="1" si="1787"/>
        <v>3038.5558434589766</v>
      </c>
      <c r="BR791" s="110">
        <f t="shared" ca="1" si="1787"/>
        <v>3147.4824143698006</v>
      </c>
      <c r="BS791" s="109">
        <f t="shared" ca="1" si="1787"/>
        <v>3147.4824143698006</v>
      </c>
      <c r="BT791" s="109">
        <f t="shared" ca="1" si="1787"/>
        <v>3315.1014874664943</v>
      </c>
      <c r="BU791" s="109">
        <f t="shared" ca="1" si="1787"/>
        <v>3501.0012510987635</v>
      </c>
      <c r="BV791" s="109">
        <f t="shared" ca="1" si="1787"/>
        <v>3716.2685956944251</v>
      </c>
      <c r="BW791" s="197"/>
    </row>
    <row r="792" spans="1:75"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3"/>
      <c r="BJ792" s="2"/>
      <c r="BK792" s="2"/>
      <c r="BL792" s="2"/>
      <c r="BM792" s="2"/>
      <c r="BN792" s="2"/>
      <c r="BO792" s="2"/>
      <c r="BP792" s="2"/>
      <c r="BQ792" s="2"/>
      <c r="BR792" s="2"/>
      <c r="BS792" s="2"/>
      <c r="BT792" s="2"/>
      <c r="BU792" s="2"/>
      <c r="BV792" s="2"/>
      <c r="BW792" s="4"/>
    </row>
    <row r="793" spans="1:75" ht="15.75" customHeight="1" x14ac:dyDescent="0.2">
      <c r="A793" s="327" t="s">
        <v>867</v>
      </c>
      <c r="B793" s="327"/>
      <c r="C793" s="500">
        <f t="shared" ref="C793:BV793" si="1788">ROUND(C761-C791,6)</f>
        <v>0</v>
      </c>
      <c r="D793" s="500">
        <f t="shared" si="1788"/>
        <v>0</v>
      </c>
      <c r="E793" s="500">
        <f t="shared" si="1788"/>
        <v>0</v>
      </c>
      <c r="F793" s="500">
        <f t="shared" si="1788"/>
        <v>0</v>
      </c>
      <c r="G793" s="500">
        <f t="shared" si="1788"/>
        <v>0</v>
      </c>
      <c r="H793" s="500">
        <f t="shared" si="1788"/>
        <v>0</v>
      </c>
      <c r="I793" s="500">
        <f t="shared" si="1788"/>
        <v>0</v>
      </c>
      <c r="J793" s="500">
        <f t="shared" si="1788"/>
        <v>0</v>
      </c>
      <c r="K793" s="500">
        <f t="shared" si="1788"/>
        <v>0</v>
      </c>
      <c r="L793" s="500">
        <f t="shared" si="1788"/>
        <v>0</v>
      </c>
      <c r="M793" s="500">
        <f t="shared" si="1788"/>
        <v>0</v>
      </c>
      <c r="N793" s="500">
        <f t="shared" si="1788"/>
        <v>0</v>
      </c>
      <c r="O793" s="500">
        <f t="shared" si="1788"/>
        <v>0</v>
      </c>
      <c r="P793" s="500">
        <f t="shared" si="1788"/>
        <v>0</v>
      </c>
      <c r="Q793" s="500">
        <f t="shared" si="1788"/>
        <v>0</v>
      </c>
      <c r="R793" s="500">
        <f t="shared" si="1788"/>
        <v>0</v>
      </c>
      <c r="S793" s="500">
        <f t="shared" si="1788"/>
        <v>0</v>
      </c>
      <c r="T793" s="500">
        <f t="shared" si="1788"/>
        <v>0</v>
      </c>
      <c r="U793" s="500">
        <f t="shared" si="1788"/>
        <v>0</v>
      </c>
      <c r="V793" s="500">
        <f t="shared" si="1788"/>
        <v>0</v>
      </c>
      <c r="W793" s="500">
        <f t="shared" si="1788"/>
        <v>0</v>
      </c>
      <c r="X793" s="500">
        <f t="shared" si="1788"/>
        <v>0</v>
      </c>
      <c r="Y793" s="500">
        <f t="shared" si="1788"/>
        <v>0</v>
      </c>
      <c r="Z793" s="500">
        <f t="shared" si="1788"/>
        <v>0</v>
      </c>
      <c r="AA793" s="500">
        <f t="shared" si="1788"/>
        <v>0</v>
      </c>
      <c r="AB793" s="500">
        <f t="shared" si="1788"/>
        <v>0</v>
      </c>
      <c r="AC793" s="500">
        <f t="shared" si="1788"/>
        <v>0</v>
      </c>
      <c r="AD793" s="500">
        <f t="shared" si="1788"/>
        <v>0</v>
      </c>
      <c r="AE793" s="500">
        <f t="shared" si="1788"/>
        <v>0</v>
      </c>
      <c r="AF793" s="500">
        <f t="shared" si="1788"/>
        <v>0</v>
      </c>
      <c r="AG793" s="500">
        <f t="shared" si="1788"/>
        <v>0</v>
      </c>
      <c r="AH793" s="500">
        <f t="shared" si="1788"/>
        <v>0</v>
      </c>
      <c r="AI793" s="500">
        <f t="shared" si="1788"/>
        <v>0</v>
      </c>
      <c r="AJ793" s="500">
        <f t="shared" si="1788"/>
        <v>0</v>
      </c>
      <c r="AK793" s="500">
        <f t="shared" si="1788"/>
        <v>0</v>
      </c>
      <c r="AL793" s="500">
        <f t="shared" si="1788"/>
        <v>0</v>
      </c>
      <c r="AM793" s="500">
        <f t="shared" si="1788"/>
        <v>0</v>
      </c>
      <c r="AN793" s="500">
        <f t="shared" si="1788"/>
        <v>0</v>
      </c>
      <c r="AO793" s="500">
        <f t="shared" si="1788"/>
        <v>0</v>
      </c>
      <c r="AP793" s="500">
        <f t="shared" si="1788"/>
        <v>0</v>
      </c>
      <c r="AQ793" s="500">
        <f t="shared" si="1788"/>
        <v>0</v>
      </c>
      <c r="AR793" s="500">
        <f t="shared" si="1788"/>
        <v>0</v>
      </c>
      <c r="AS793" s="500">
        <f t="shared" si="1788"/>
        <v>0</v>
      </c>
      <c r="AT793" s="500">
        <f t="shared" si="1788"/>
        <v>0</v>
      </c>
      <c r="AU793" s="500">
        <f t="shared" si="1788"/>
        <v>0</v>
      </c>
      <c r="AV793" s="500">
        <f t="shared" si="1788"/>
        <v>0</v>
      </c>
      <c r="AW793" s="500">
        <f t="shared" si="1788"/>
        <v>0</v>
      </c>
      <c r="AX793" s="500">
        <f t="shared" si="1788"/>
        <v>0</v>
      </c>
      <c r="AY793" s="500">
        <f t="shared" si="1788"/>
        <v>0</v>
      </c>
      <c r="AZ793" s="500">
        <f t="shared" si="1788"/>
        <v>0</v>
      </c>
      <c r="BA793" s="500">
        <f t="shared" si="1788"/>
        <v>0</v>
      </c>
      <c r="BB793" s="500">
        <f t="shared" si="1788"/>
        <v>0</v>
      </c>
      <c r="BC793" s="500">
        <f t="shared" si="1788"/>
        <v>0</v>
      </c>
      <c r="BD793" s="500">
        <f t="shared" si="1788"/>
        <v>0</v>
      </c>
      <c r="BE793" s="500">
        <f t="shared" si="1788"/>
        <v>0</v>
      </c>
      <c r="BF793" s="500">
        <f t="shared" si="1788"/>
        <v>0</v>
      </c>
      <c r="BG793" s="500">
        <f t="shared" si="1788"/>
        <v>0</v>
      </c>
      <c r="BH793" s="500">
        <f t="shared" si="1788"/>
        <v>0</v>
      </c>
      <c r="BI793" s="501">
        <f t="shared" si="1788"/>
        <v>0</v>
      </c>
      <c r="BJ793" s="500">
        <f t="shared" ca="1" si="1788"/>
        <v>0</v>
      </c>
      <c r="BK793" s="500">
        <f t="shared" ca="1" si="1788"/>
        <v>0</v>
      </c>
      <c r="BL793" s="500">
        <f t="shared" ca="1" si="1788"/>
        <v>0</v>
      </c>
      <c r="BM793" s="500">
        <f t="shared" ca="1" si="1788"/>
        <v>0</v>
      </c>
      <c r="BN793" s="500">
        <f t="shared" ca="1" si="1788"/>
        <v>0</v>
      </c>
      <c r="BO793" s="500">
        <f t="shared" ca="1" si="1788"/>
        <v>0</v>
      </c>
      <c r="BP793" s="500">
        <f t="shared" ca="1" si="1788"/>
        <v>0</v>
      </c>
      <c r="BQ793" s="500">
        <f t="shared" ca="1" si="1788"/>
        <v>0</v>
      </c>
      <c r="BR793" s="500">
        <f t="shared" ca="1" si="1788"/>
        <v>0</v>
      </c>
      <c r="BS793" s="500">
        <f t="shared" ca="1" si="1788"/>
        <v>0</v>
      </c>
      <c r="BT793" s="500">
        <f t="shared" ca="1" si="1788"/>
        <v>0</v>
      </c>
      <c r="BU793" s="500">
        <f t="shared" ca="1" si="1788"/>
        <v>0</v>
      </c>
      <c r="BV793" s="500">
        <f t="shared" ca="1" si="1788"/>
        <v>0</v>
      </c>
      <c r="BW793" s="4"/>
    </row>
    <row r="794" spans="1:75"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3"/>
      <c r="BJ794" s="2"/>
      <c r="BK794" s="2"/>
      <c r="BL794" s="2"/>
      <c r="BM794" s="2"/>
      <c r="BN794" s="2"/>
      <c r="BO794" s="2"/>
      <c r="BP794" s="2"/>
      <c r="BQ794" s="2"/>
      <c r="BR794" s="2"/>
      <c r="BS794" s="2"/>
      <c r="BT794" s="2"/>
      <c r="BU794" s="2"/>
      <c r="BV794" s="2"/>
      <c r="BW794" s="4"/>
    </row>
    <row r="795" spans="1:75" ht="15.75" customHeight="1" x14ac:dyDescent="0.2">
      <c r="A795" s="81" t="s">
        <v>868</v>
      </c>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c r="AI795" s="81"/>
      <c r="AJ795" s="81"/>
      <c r="AK795" s="81"/>
      <c r="AL795" s="81"/>
      <c r="AM795" s="81"/>
      <c r="AN795" s="81"/>
      <c r="AO795" s="81"/>
      <c r="AP795" s="81"/>
      <c r="AQ795" s="81"/>
      <c r="AR795" s="81"/>
      <c r="AS795" s="81"/>
      <c r="AT795" s="81"/>
      <c r="AU795" s="81"/>
      <c r="AV795" s="81"/>
      <c r="AW795" s="81"/>
      <c r="AX795" s="81"/>
      <c r="AY795" s="81"/>
      <c r="AZ795" s="81"/>
      <c r="BA795" s="81"/>
      <c r="BB795" s="81"/>
      <c r="BC795" s="81"/>
      <c r="BD795" s="81"/>
      <c r="BE795" s="81"/>
      <c r="BF795" s="81"/>
      <c r="BG795" s="81"/>
      <c r="BH795" s="81"/>
      <c r="BI795" s="82"/>
      <c r="BJ795" s="81"/>
      <c r="BK795" s="81"/>
      <c r="BL795" s="81"/>
      <c r="BM795" s="81"/>
      <c r="BN795" s="81"/>
      <c r="BO795" s="81"/>
      <c r="BP795" s="81"/>
      <c r="BQ795" s="81"/>
      <c r="BR795" s="81"/>
      <c r="BS795" s="81"/>
      <c r="BT795" s="81"/>
      <c r="BU795" s="81"/>
      <c r="BV795" s="81"/>
      <c r="BW795" s="83"/>
    </row>
    <row r="796" spans="1:75" ht="15.75" customHeight="1" x14ac:dyDescent="0.2">
      <c r="A796" s="4" t="s">
        <v>869</v>
      </c>
      <c r="B796" s="239"/>
      <c r="C796" s="328">
        <f t="array" ref="C796">IF(ISBLANK(INDEX(MO_IS_FirstRow,0,COLUMN())),0,ROUND(C635-C405,6))</f>
        <v>0</v>
      </c>
      <c r="D796" s="328">
        <f t="array" ref="D796">IF(ISBLANK(INDEX(MO_IS_FirstRow,0,COLUMN())),0,ROUND(D635-D405,6))</f>
        <v>0</v>
      </c>
      <c r="E796" s="328">
        <f t="array" ref="E796">IF(ISBLANK(INDEX(MO_IS_FirstRow,0,COLUMN())),0,ROUND(E635-E405,6))</f>
        <v>0</v>
      </c>
      <c r="F796" s="328">
        <f t="array" ref="F796">IF(ISBLANK(INDEX(MO_IS_FirstRow,0,COLUMN())),0,ROUND(F635-F405,6))</f>
        <v>0</v>
      </c>
      <c r="G796" s="328">
        <f t="array" ref="G796">IF(ISBLANK(INDEX(MO_IS_FirstRow,0,COLUMN())),0,ROUND(G635-G405,6))</f>
        <v>0</v>
      </c>
      <c r="H796" s="328">
        <f t="array" ref="H796">IF(ISBLANK(INDEX(MO_IS_FirstRow,0,COLUMN())),0,ROUND(H635-H405,6))</f>
        <v>0</v>
      </c>
      <c r="I796" s="328">
        <f t="array" ref="I796">IF(ISBLANK(INDEX(MO_IS_FirstRow,0,COLUMN())),0,ROUND(I635-I405,6))</f>
        <v>0</v>
      </c>
      <c r="J796" s="328">
        <f t="array" ref="J796">IF(ISBLANK(INDEX(MO_IS_FirstRow,0,COLUMN())),0,ROUND(J635-J405,6))</f>
        <v>0</v>
      </c>
      <c r="K796" s="328">
        <f t="array" ref="K796">IF(ISBLANK(INDEX(MO_IS_FirstRow,0,COLUMN())),0,ROUND(K635-K405,6))</f>
        <v>0</v>
      </c>
      <c r="L796" s="328">
        <f t="array" ref="L796">IF(ISBLANK(INDEX(MO_IS_FirstRow,0,COLUMN())),0,ROUND(L635-L405,6))</f>
        <v>0</v>
      </c>
      <c r="M796" s="328">
        <f t="array" ref="M796">IF(ISBLANK(INDEX(MO_IS_FirstRow,0,COLUMN())),0,ROUND(M635-M405,6))</f>
        <v>0</v>
      </c>
      <c r="N796" s="328">
        <f t="array" ref="N796">IF(ISBLANK(INDEX(MO_IS_FirstRow,0,COLUMN())),0,ROUND(N635-N405,6))</f>
        <v>0</v>
      </c>
      <c r="O796" s="328">
        <f t="array" ref="O796">IF(ISBLANK(INDEX(MO_IS_FirstRow,0,COLUMN())),0,ROUND(O635-O405,6))</f>
        <v>0</v>
      </c>
      <c r="P796" s="328">
        <f t="array" ref="P796">IF(ISBLANK(INDEX(MO_IS_FirstRow,0,COLUMN())),0,ROUND(P635-P405,6))</f>
        <v>0</v>
      </c>
      <c r="Q796" s="328">
        <f t="array" ref="Q796">IF(ISBLANK(INDEX(MO_IS_FirstRow,0,COLUMN())),0,ROUND(Q635-Q405,6))</f>
        <v>0</v>
      </c>
      <c r="R796" s="328">
        <f t="array" ref="R796">IF(ISBLANK(INDEX(MO_IS_FirstRow,0,COLUMN())),0,ROUND(R635-R405,6))</f>
        <v>0</v>
      </c>
      <c r="S796" s="328">
        <f t="array" ref="S796">IF(ISBLANK(INDEX(MO_IS_FirstRow,0,COLUMN())),0,ROUND(S635-S405,6))</f>
        <v>0</v>
      </c>
      <c r="T796" s="328">
        <f t="array" ref="T796">IF(ISBLANK(INDEX(MO_IS_FirstRow,0,COLUMN())),0,ROUND(T635-T405,6))</f>
        <v>0</v>
      </c>
      <c r="U796" s="328">
        <f t="array" ref="U796">IF(ISBLANK(INDEX(MO_IS_FirstRow,0,COLUMN())),0,ROUND(U635-U405,6))</f>
        <v>0</v>
      </c>
      <c r="V796" s="328">
        <f t="array" ref="V796">IF(ISBLANK(INDEX(MO_IS_FirstRow,0,COLUMN())),0,ROUND(V635-V405,6))</f>
        <v>0</v>
      </c>
      <c r="W796" s="328">
        <f t="array" ref="W796">IF(ISBLANK(INDEX(MO_IS_FirstRow,0,COLUMN())),0,ROUND(W635-W405,6))</f>
        <v>0</v>
      </c>
      <c r="X796" s="328">
        <f t="array" ref="X796">IF(ISBLANK(INDEX(MO_IS_FirstRow,0,COLUMN())),0,ROUND(X635-X405,6))</f>
        <v>0</v>
      </c>
      <c r="Y796" s="328">
        <f t="array" ref="Y796">IF(ISBLANK(INDEX(MO_IS_FirstRow,0,COLUMN())),0,ROUND(Y635-Y405,6))</f>
        <v>0</v>
      </c>
      <c r="Z796" s="328">
        <f t="array" ref="Z796">IF(ISBLANK(INDEX(MO_IS_FirstRow,0,COLUMN())),0,ROUND(Z635-Z405,6))</f>
        <v>0</v>
      </c>
      <c r="AA796" s="328">
        <f t="array" ref="AA796">IF(ISBLANK(INDEX(MO_IS_FirstRow,0,COLUMN())),0,ROUND(AA635-AA405,6))</f>
        <v>0</v>
      </c>
      <c r="AB796" s="328">
        <f t="array" ref="AB796">IF(ISBLANK(INDEX(MO_IS_FirstRow,0,COLUMN())),0,ROUND(AB635-AB405,6))</f>
        <v>0</v>
      </c>
      <c r="AC796" s="328">
        <f t="array" ref="AC796">IF(ISBLANK(INDEX(MO_IS_FirstRow,0,COLUMN())),0,ROUND(AC635-AC405,6))</f>
        <v>0</v>
      </c>
      <c r="AD796" s="328">
        <f t="array" ref="AD796">IF(ISBLANK(INDEX(MO_IS_FirstRow,0,COLUMN())),0,ROUND(AD635-AD405,6))</f>
        <v>0</v>
      </c>
      <c r="AE796" s="328">
        <f t="array" ref="AE796">IF(ISBLANK(INDEX(MO_IS_FirstRow,0,COLUMN())),0,ROUND(AE635-AE405,6))</f>
        <v>0</v>
      </c>
      <c r="AF796" s="328">
        <f t="array" ref="AF796">IF(ISBLANK(INDEX(MO_IS_FirstRow,0,COLUMN())),0,ROUND(AF635-AF405,6))</f>
        <v>0</v>
      </c>
      <c r="AG796" s="328">
        <f t="array" ref="AG796">IF(ISBLANK(INDEX(MO_IS_FirstRow,0,COLUMN())),0,ROUND(AG635-AG405,6))</f>
        <v>0</v>
      </c>
      <c r="AH796" s="328">
        <f t="array" ref="AH796">IF(ISBLANK(INDEX(MO_IS_FirstRow,0,COLUMN())),0,ROUND(AH635-AH405,6))</f>
        <v>0</v>
      </c>
      <c r="AI796" s="328">
        <f t="array" ref="AI796">IF(ISBLANK(INDEX(MO_IS_FirstRow,0,COLUMN())),0,ROUND(AI635-AI405,6))</f>
        <v>0</v>
      </c>
      <c r="AJ796" s="328">
        <f t="array" ref="AJ796">IF(ISBLANK(INDEX(MO_IS_FirstRow,0,COLUMN())),0,ROUND(AJ635-AJ405,6))</f>
        <v>0</v>
      </c>
      <c r="AK796" s="328">
        <f t="array" ref="AK796">IF(ISBLANK(INDEX(MO_IS_FirstRow,0,COLUMN())),0,ROUND(AK635-AK405,6))</f>
        <v>0</v>
      </c>
      <c r="AL796" s="328">
        <f t="array" ref="AL796">IF(ISBLANK(INDEX(MO_IS_FirstRow,0,COLUMN())),0,ROUND(AL635-AL405,6))</f>
        <v>0</v>
      </c>
      <c r="AM796" s="328">
        <f t="array" ref="AM796">IF(ISBLANK(INDEX(MO_IS_FirstRow,0,COLUMN())),0,ROUND(AM635-AM405,6))</f>
        <v>0</v>
      </c>
      <c r="AN796" s="328">
        <f t="array" ref="AN796">IF(ISBLANK(INDEX(MO_IS_FirstRow,0,COLUMN())),0,ROUND(AN635-AN405,6))</f>
        <v>0</v>
      </c>
      <c r="AO796" s="328">
        <f t="array" ref="AO796">IF(ISBLANK(INDEX(MO_IS_FirstRow,0,COLUMN())),0,ROUND(AO635-AO405,6))</f>
        <v>0</v>
      </c>
      <c r="AP796" s="328">
        <f t="array" ref="AP796">IF(ISBLANK(INDEX(MO_IS_FirstRow,0,COLUMN())),0,ROUND(AP635-AP405,6))</f>
        <v>0</v>
      </c>
      <c r="AQ796" s="328">
        <f t="array" ref="AQ796">IF(ISBLANK(INDEX(MO_IS_FirstRow,0,COLUMN())),0,ROUND(AQ635-AQ405,6))</f>
        <v>0</v>
      </c>
      <c r="AR796" s="328">
        <f t="array" ref="AR796">IF(ISBLANK(INDEX(MO_IS_FirstRow,0,COLUMN())),0,ROUND(AR635-AR405,6))</f>
        <v>0</v>
      </c>
      <c r="AS796" s="328">
        <f t="array" ref="AS796">IF(ISBLANK(INDEX(MO_IS_FirstRow,0,COLUMN())),0,ROUND(AS635-AS405,6))</f>
        <v>0</v>
      </c>
      <c r="AT796" s="328">
        <f t="array" ref="AT796">IF(ISBLANK(INDEX(MO_IS_FirstRow,0,COLUMN())),0,ROUND(AT635-AT405,6))</f>
        <v>0</v>
      </c>
      <c r="AU796" s="328">
        <f t="array" ref="AU796">IF(ISBLANK(INDEX(MO_IS_FirstRow,0,COLUMN())),0,ROUND(AU635-AU405,6))</f>
        <v>0</v>
      </c>
      <c r="AV796" s="328">
        <f t="array" ref="AV796">IF(ISBLANK(INDEX(MO_IS_FirstRow,0,COLUMN())),0,ROUND(AV635-AV405,6))</f>
        <v>0</v>
      </c>
      <c r="AW796" s="328">
        <f t="array" ref="AW796">IF(ISBLANK(INDEX(MO_IS_FirstRow,0,COLUMN())),0,ROUND(AW635-AW405,6))</f>
        <v>0</v>
      </c>
      <c r="AX796" s="328">
        <f t="array" ref="AX796">IF(ISBLANK(INDEX(MO_IS_FirstRow,0,COLUMN())),0,ROUND(AX635-AX405,6))</f>
        <v>0</v>
      </c>
      <c r="AY796" s="328">
        <f t="array" ref="AY796">IF(ISBLANK(INDEX(MO_IS_FirstRow,0,COLUMN())),0,ROUND(AY635-AY405,6))</f>
        <v>0</v>
      </c>
      <c r="AZ796" s="328">
        <f t="array" ref="AZ796">IF(ISBLANK(INDEX(MO_IS_FirstRow,0,COLUMN())),0,ROUND(AZ635-AZ405,6))</f>
        <v>0</v>
      </c>
      <c r="BA796" s="328">
        <f t="array" ref="BA796">IF(ISBLANK(INDEX(MO_IS_FirstRow,0,COLUMN())),0,ROUND(BA635-BA405,6))</f>
        <v>0</v>
      </c>
      <c r="BB796" s="328">
        <f t="array" ref="BB796">IF(ISBLANK(INDEX(MO_IS_FirstRow,0,COLUMN())),0,ROUND(BB635-BB405,6))</f>
        <v>0</v>
      </c>
      <c r="BC796" s="328">
        <f t="array" ref="BC796">IF(ISBLANK(INDEX(MO_IS_FirstRow,0,COLUMN())),0,ROUND(BC635-BC405,6))</f>
        <v>0</v>
      </c>
      <c r="BD796" s="328">
        <f t="array" ref="BD796">IF(ISBLANK(INDEX(MO_IS_FirstRow,0,COLUMN())),0,ROUND(BD635-BD405,6))</f>
        <v>0</v>
      </c>
      <c r="BE796" s="328">
        <f t="array" ref="BE796">IF(ISBLANK(INDEX(MO_IS_FirstRow,0,COLUMN())),0,ROUND(BE635-BE405,6))</f>
        <v>0</v>
      </c>
      <c r="BF796" s="328">
        <f t="array" ref="BF796">IF(ISBLANK(INDEX(MO_IS_FirstRow,0,COLUMN())),0,ROUND(BF635-BF405,6))</f>
        <v>0</v>
      </c>
      <c r="BG796" s="328">
        <f t="array" ref="BG796">IF(ISBLANK(INDEX(MO_IS_FirstRow,0,COLUMN())),0,ROUND(BG635-BG405,6))</f>
        <v>0</v>
      </c>
      <c r="BH796" s="328">
        <f t="array" ref="BH796">IF(ISBLANK(INDEX(MO_IS_FirstRow,0,COLUMN())),0,ROUND(BH635-BH405,6))</f>
        <v>0</v>
      </c>
      <c r="BI796" s="329">
        <f t="array" ref="BI796">IF(ISBLANK(INDEX(MO_IS_FirstRow,0,COLUMN())),0,ROUND(BI635-BI405,6))</f>
        <v>0</v>
      </c>
      <c r="BJ796" s="328">
        <f t="array" ref="BJ796">IF(ISBLANK(INDEX(MO_IS_FirstRow,0,COLUMN())),0,ROUND(BJ635-BJ405,6))</f>
        <v>0</v>
      </c>
      <c r="BK796" s="328">
        <f t="array" ref="BK796">IF(ISBLANK(INDEX(MO_IS_FirstRow,0,COLUMN())),0,ROUND(BK635-BK405,6))</f>
        <v>0</v>
      </c>
      <c r="BL796" s="328">
        <f t="array" ref="BL796">IF(ISBLANK(INDEX(MO_IS_FirstRow,0,COLUMN())),0,ROUND(BL635-BL405,6))</f>
        <v>0</v>
      </c>
      <c r="BM796" s="328">
        <f t="array" ref="BM796">IF(ISBLANK(INDEX(MO_IS_FirstRow,0,COLUMN())),0,ROUND(BM635-BM405,6))</f>
        <v>0</v>
      </c>
      <c r="BN796" s="328">
        <f t="array" ref="BN796">IF(ISBLANK(INDEX(MO_IS_FirstRow,0,COLUMN())),0,ROUND(BN635-BN405,6))</f>
        <v>0</v>
      </c>
      <c r="BO796" s="328">
        <f t="array" ref="BO796">IF(ISBLANK(INDEX(MO_IS_FirstRow,0,COLUMN())),0,ROUND(BO635-BO405,6))</f>
        <v>0</v>
      </c>
      <c r="BP796" s="328">
        <f t="array" ref="BP796">IF(ISBLANK(INDEX(MO_IS_FirstRow,0,COLUMN())),0,ROUND(BP635-BP405,6))</f>
        <v>0</v>
      </c>
      <c r="BQ796" s="328">
        <f t="array" ref="BQ796">IF(ISBLANK(INDEX(MO_IS_FirstRow,0,COLUMN())),0,ROUND(BQ635-BQ405,6))</f>
        <v>0</v>
      </c>
      <c r="BR796" s="328">
        <f t="array" ref="BR796">IF(ISBLANK(INDEX(MO_IS_FirstRow,0,COLUMN())),0,ROUND(BR635-BR405,6))</f>
        <v>0</v>
      </c>
      <c r="BS796" s="328">
        <f t="array" ref="BS796">IF(ISBLANK(INDEX(MO_IS_FirstRow,0,COLUMN())),0,ROUND(BS635-BS405,6))</f>
        <v>0</v>
      </c>
      <c r="BT796" s="328">
        <f t="array" ref="BT796">IF(ISBLANK(INDEX(MO_IS_FirstRow,0,COLUMN())),0,ROUND(BT635-BT405,6))</f>
        <v>0</v>
      </c>
      <c r="BU796" s="328">
        <f t="array" ref="BU796">IF(ISBLANK(INDEX(MO_IS_FirstRow,0,COLUMN())),0,ROUND(BU635-BU405,6))</f>
        <v>0</v>
      </c>
      <c r="BV796" s="328">
        <f t="array" ref="BV796">IF(ISBLANK(INDEX(MO_IS_FirstRow,0,COLUMN())),0,ROUND(BV635-BV405,6))</f>
        <v>0</v>
      </c>
      <c r="BW796" s="4"/>
    </row>
    <row r="797" spans="1:75" ht="15.75" customHeight="1" x14ac:dyDescent="0.2">
      <c r="A797" s="4" t="s">
        <v>870</v>
      </c>
      <c r="B797" s="239"/>
      <c r="C797" s="328">
        <f t="array" ref="C797">IF(ISBLANK(INDEX(MO_IS_FirstRow,0,COLUMN())),0,ROUND(C352-C405,6))</f>
        <v>0</v>
      </c>
      <c r="D797" s="328">
        <f t="array" ref="D797">IF(ISBLANK(INDEX(MO_IS_FirstRow,0,COLUMN())),0,ROUND(D352-D405,6))</f>
        <v>0</v>
      </c>
      <c r="E797" s="328">
        <f t="array" ref="E797">IF(ISBLANK(INDEX(MO_IS_FirstRow,0,COLUMN())),0,ROUND(E352-E405,6))</f>
        <v>0</v>
      </c>
      <c r="F797" s="328">
        <f t="array" ref="F797">IF(ISBLANK(INDEX(MO_IS_FirstRow,0,COLUMN())),0,ROUND(F352-F405,6))</f>
        <v>0</v>
      </c>
      <c r="G797" s="328">
        <f t="array" ref="G797">IF(ISBLANK(INDEX(MO_IS_FirstRow,0,COLUMN())),0,ROUND(G352-G405,6))</f>
        <v>0</v>
      </c>
      <c r="H797" s="328">
        <f t="array" ref="H797">IF(ISBLANK(INDEX(MO_IS_FirstRow,0,COLUMN())),0,ROUND(H352-H405,6))</f>
        <v>0</v>
      </c>
      <c r="I797" s="328">
        <f t="array" ref="I797">IF(ISBLANK(INDEX(MO_IS_FirstRow,0,COLUMN())),0,ROUND(I352-I405,6))</f>
        <v>0</v>
      </c>
      <c r="J797" s="328">
        <f t="array" ref="J797">IF(ISBLANK(INDEX(MO_IS_FirstRow,0,COLUMN())),0,ROUND(J352-J405,6))</f>
        <v>0</v>
      </c>
      <c r="K797" s="328">
        <f t="array" ref="K797">IF(ISBLANK(INDEX(MO_IS_FirstRow,0,COLUMN())),0,ROUND(K352-K405,6))</f>
        <v>0</v>
      </c>
      <c r="L797" s="328">
        <f t="array" ref="L797">IF(ISBLANK(INDEX(MO_IS_FirstRow,0,COLUMN())),0,ROUND(L352-L405,6))</f>
        <v>0</v>
      </c>
      <c r="M797" s="328">
        <f t="array" ref="M797">IF(ISBLANK(INDEX(MO_IS_FirstRow,0,COLUMN())),0,ROUND(M352-M405,6))</f>
        <v>0</v>
      </c>
      <c r="N797" s="328">
        <f t="array" ref="N797">IF(ISBLANK(INDEX(MO_IS_FirstRow,0,COLUMN())),0,ROUND(N352-N405,6))</f>
        <v>0</v>
      </c>
      <c r="O797" s="328">
        <f t="array" ref="O797">IF(ISBLANK(INDEX(MO_IS_FirstRow,0,COLUMN())),0,ROUND(O352-O405,6))</f>
        <v>0</v>
      </c>
      <c r="P797" s="328">
        <f t="array" ref="P797">IF(ISBLANK(INDEX(MO_IS_FirstRow,0,COLUMN())),0,ROUND(P352-P405,6))</f>
        <v>0</v>
      </c>
      <c r="Q797" s="328">
        <f t="array" ref="Q797">IF(ISBLANK(INDEX(MO_IS_FirstRow,0,COLUMN())),0,ROUND(Q352-Q405,6))</f>
        <v>0</v>
      </c>
      <c r="R797" s="328">
        <f t="array" ref="R797">IF(ISBLANK(INDEX(MO_IS_FirstRow,0,COLUMN())),0,ROUND(R352-R405,6))</f>
        <v>0</v>
      </c>
      <c r="S797" s="328">
        <f t="array" ref="S797">IF(ISBLANK(INDEX(MO_IS_FirstRow,0,COLUMN())),0,ROUND(S352-S405,6))</f>
        <v>0</v>
      </c>
      <c r="T797" s="328">
        <f t="array" ref="T797">IF(ISBLANK(INDEX(MO_IS_FirstRow,0,COLUMN())),0,ROUND(T352-T405,6))</f>
        <v>0</v>
      </c>
      <c r="U797" s="328">
        <f t="array" ref="U797">IF(ISBLANK(INDEX(MO_IS_FirstRow,0,COLUMN())),0,ROUND(U352-U405,6))</f>
        <v>0</v>
      </c>
      <c r="V797" s="328">
        <f t="array" ref="V797">IF(ISBLANK(INDEX(MO_IS_FirstRow,0,COLUMN())),0,ROUND(V352-V405,6))</f>
        <v>0</v>
      </c>
      <c r="W797" s="328">
        <f t="array" ref="W797">IF(ISBLANK(INDEX(MO_IS_FirstRow,0,COLUMN())),0,ROUND(W352-W405,6))</f>
        <v>0</v>
      </c>
      <c r="X797" s="328">
        <f t="array" ref="X797">IF(ISBLANK(INDEX(MO_IS_FirstRow,0,COLUMN())),0,ROUND(X352-X405,6))</f>
        <v>0</v>
      </c>
      <c r="Y797" s="328">
        <f t="array" ref="Y797">IF(ISBLANK(INDEX(MO_IS_FirstRow,0,COLUMN())),0,ROUND(Y352-Y405,6))</f>
        <v>0</v>
      </c>
      <c r="Z797" s="328">
        <f t="array" ref="Z797">IF(ISBLANK(INDEX(MO_IS_FirstRow,0,COLUMN())),0,ROUND(Z352-Z405,6))</f>
        <v>0</v>
      </c>
      <c r="AA797" s="328">
        <f t="array" ref="AA797">IF(ISBLANK(INDEX(MO_IS_FirstRow,0,COLUMN())),0,ROUND(AA352-AA405,6))</f>
        <v>0</v>
      </c>
      <c r="AB797" s="328">
        <f t="array" ref="AB797">IF(ISBLANK(INDEX(MO_IS_FirstRow,0,COLUMN())),0,ROUND(AB352-AB405,6))</f>
        <v>0</v>
      </c>
      <c r="AC797" s="328">
        <f t="array" ref="AC797">IF(ISBLANK(INDEX(MO_IS_FirstRow,0,COLUMN())),0,ROUND(AC352-AC405,6))</f>
        <v>0</v>
      </c>
      <c r="AD797" s="328">
        <f t="array" ref="AD797">IF(ISBLANK(INDEX(MO_IS_FirstRow,0,COLUMN())),0,ROUND(AD352-AD405,6))</f>
        <v>0</v>
      </c>
      <c r="AE797" s="328">
        <f t="array" ref="AE797">IF(ISBLANK(INDEX(MO_IS_FirstRow,0,COLUMN())),0,ROUND(AE352-AE405,6))</f>
        <v>0</v>
      </c>
      <c r="AF797" s="328">
        <f t="array" ref="AF797">IF(ISBLANK(INDEX(MO_IS_FirstRow,0,COLUMN())),0,ROUND(AF352-AF405,6))</f>
        <v>0</v>
      </c>
      <c r="AG797" s="328">
        <f t="array" ref="AG797">IF(ISBLANK(INDEX(MO_IS_FirstRow,0,COLUMN())),0,ROUND(AG352-AG405,6))</f>
        <v>0</v>
      </c>
      <c r="AH797" s="328">
        <f t="array" ref="AH797">IF(ISBLANK(INDEX(MO_IS_FirstRow,0,COLUMN())),0,ROUND(AH352-AH405,6))</f>
        <v>0</v>
      </c>
      <c r="AI797" s="328">
        <f t="array" ref="AI797">IF(ISBLANK(INDEX(MO_IS_FirstRow,0,COLUMN())),0,ROUND(AI352-AI405,6))</f>
        <v>0</v>
      </c>
      <c r="AJ797" s="328">
        <f t="array" ref="AJ797">IF(ISBLANK(INDEX(MO_IS_FirstRow,0,COLUMN())),0,ROUND(AJ352-AJ405,6))</f>
        <v>0</v>
      </c>
      <c r="AK797" s="328">
        <f t="array" ref="AK797">IF(ISBLANK(INDEX(MO_IS_FirstRow,0,COLUMN())),0,ROUND(AK352-AK405,6))</f>
        <v>0</v>
      </c>
      <c r="AL797" s="328">
        <f t="array" ref="AL797">IF(ISBLANK(INDEX(MO_IS_FirstRow,0,COLUMN())),0,ROUND(AL352-AL405,6))</f>
        <v>0</v>
      </c>
      <c r="AM797" s="328">
        <f t="array" ref="AM797">IF(ISBLANK(INDEX(MO_IS_FirstRow,0,COLUMN())),0,ROUND(AM352-AM405,6))</f>
        <v>0</v>
      </c>
      <c r="AN797" s="328">
        <f t="array" ref="AN797">IF(ISBLANK(INDEX(MO_IS_FirstRow,0,COLUMN())),0,ROUND(AN352-AN405,6))</f>
        <v>0</v>
      </c>
      <c r="AO797" s="328">
        <f t="array" ref="AO797">IF(ISBLANK(INDEX(MO_IS_FirstRow,0,COLUMN())),0,ROUND(AO352-AO405,6))</f>
        <v>0</v>
      </c>
      <c r="AP797" s="328">
        <f t="array" ref="AP797">IF(ISBLANK(INDEX(MO_IS_FirstRow,0,COLUMN())),0,ROUND(AP352-AP405,6))</f>
        <v>0</v>
      </c>
      <c r="AQ797" s="328">
        <f t="array" ref="AQ797">IF(ISBLANK(INDEX(MO_IS_FirstRow,0,COLUMN())),0,ROUND(AQ352-AQ405,6))</f>
        <v>0</v>
      </c>
      <c r="AR797" s="328">
        <f t="array" ref="AR797">IF(ISBLANK(INDEX(MO_IS_FirstRow,0,COLUMN())),0,ROUND(AR352-AR405,6))</f>
        <v>0</v>
      </c>
      <c r="AS797" s="328">
        <f t="array" ref="AS797">IF(ISBLANK(INDEX(MO_IS_FirstRow,0,COLUMN())),0,ROUND(AS352-AS405,6))</f>
        <v>0</v>
      </c>
      <c r="AT797" s="328">
        <f t="array" ref="AT797">IF(ISBLANK(INDEX(MO_IS_FirstRow,0,COLUMN())),0,ROUND(AT352-AT405,6))</f>
        <v>0</v>
      </c>
      <c r="AU797" s="328">
        <f t="array" ref="AU797">IF(ISBLANK(INDEX(MO_IS_FirstRow,0,COLUMN())),0,ROUND(AU352-AU405,6))</f>
        <v>0</v>
      </c>
      <c r="AV797" s="328">
        <f t="array" ref="AV797">IF(ISBLANK(INDEX(MO_IS_FirstRow,0,COLUMN())),0,ROUND(AV352-AV405,6))</f>
        <v>0</v>
      </c>
      <c r="AW797" s="328">
        <f t="array" ref="AW797">IF(ISBLANK(INDEX(MO_IS_FirstRow,0,COLUMN())),0,ROUND(AW352-AW405,6))</f>
        <v>0</v>
      </c>
      <c r="AX797" s="328">
        <f t="array" ref="AX797">IF(ISBLANK(INDEX(MO_IS_FirstRow,0,COLUMN())),0,ROUND(AX352-AX405,6))</f>
        <v>0</v>
      </c>
      <c r="AY797" s="328">
        <f t="array" ref="AY797">IF(ISBLANK(INDEX(MO_IS_FirstRow,0,COLUMN())),0,ROUND(AY352-AY405,6))</f>
        <v>0</v>
      </c>
      <c r="AZ797" s="328">
        <f t="array" ref="AZ797">IF(ISBLANK(INDEX(MO_IS_FirstRow,0,COLUMN())),0,ROUND(AZ352-AZ405,6))</f>
        <v>0</v>
      </c>
      <c r="BA797" s="328">
        <f t="array" ref="BA797">IF(ISBLANK(INDEX(MO_IS_FirstRow,0,COLUMN())),0,ROUND(BA352-BA405,6))</f>
        <v>0</v>
      </c>
      <c r="BB797" s="328">
        <f t="array" ref="BB797">IF(ISBLANK(INDEX(MO_IS_FirstRow,0,COLUMN())),0,ROUND(BB352-BB405,6))</f>
        <v>0</v>
      </c>
      <c r="BC797" s="328">
        <f t="array" ref="BC797">IF(ISBLANK(INDEX(MO_IS_FirstRow,0,COLUMN())),0,ROUND(BC352-BC405,6))</f>
        <v>0</v>
      </c>
      <c r="BD797" s="328">
        <f t="array" ref="BD797">IF(ISBLANK(INDEX(MO_IS_FirstRow,0,COLUMN())),0,ROUND(BD352-BD405,6))</f>
        <v>0</v>
      </c>
      <c r="BE797" s="328">
        <f t="array" ref="BE797">IF(ISBLANK(INDEX(MO_IS_FirstRow,0,COLUMN())),0,ROUND(BE352-BE405,6))</f>
        <v>0</v>
      </c>
      <c r="BF797" s="328">
        <f t="array" ref="BF797">IF(ISBLANK(INDEX(MO_IS_FirstRow,0,COLUMN())),0,ROUND(BF352-BF405,6))</f>
        <v>0</v>
      </c>
      <c r="BG797" s="328">
        <f t="array" ref="BG797">IF(ISBLANK(INDEX(MO_IS_FirstRow,0,COLUMN())),0,ROUND(BG352-BG405,6))</f>
        <v>0</v>
      </c>
      <c r="BH797" s="328">
        <f t="array" ref="BH797">IF(ISBLANK(INDEX(MO_IS_FirstRow,0,COLUMN())),0,ROUND(BH352-BH405,6))</f>
        <v>0</v>
      </c>
      <c r="BI797" s="329">
        <f t="array" ref="BI797">IF(ISBLANK(INDEX(MO_IS_FirstRow,0,COLUMN())),0,ROUND(BI352-BI405,6))</f>
        <v>0</v>
      </c>
      <c r="BJ797" s="328">
        <f t="array" ref="BJ797">IF(ISBLANK(INDEX(MO_IS_FirstRow,0,COLUMN())),0,ROUND(BJ352-BJ405,6))</f>
        <v>0</v>
      </c>
      <c r="BK797" s="328">
        <f t="array" ref="BK797">IF(ISBLANK(INDEX(MO_IS_FirstRow,0,COLUMN())),0,ROUND(BK352-BK405,6))</f>
        <v>0</v>
      </c>
      <c r="BL797" s="328">
        <f t="array" ref="BL797">IF(ISBLANK(INDEX(MO_IS_FirstRow,0,COLUMN())),0,ROUND(BL352-BL405,6))</f>
        <v>0</v>
      </c>
      <c r="BM797" s="328">
        <f t="array" ref="BM797">IF(ISBLANK(INDEX(MO_IS_FirstRow,0,COLUMN())),0,ROUND(BM352-BM405,6))</f>
        <v>0</v>
      </c>
      <c r="BN797" s="328">
        <f t="array" ref="BN797">IF(ISBLANK(INDEX(MO_IS_FirstRow,0,COLUMN())),0,ROUND(BN352-BN405,6))</f>
        <v>0</v>
      </c>
      <c r="BO797" s="328">
        <f t="array" ref="BO797">IF(ISBLANK(INDEX(MO_IS_FirstRow,0,COLUMN())),0,ROUND(BO352-BO405,6))</f>
        <v>0</v>
      </c>
      <c r="BP797" s="328">
        <f t="array" ref="BP797">IF(ISBLANK(INDEX(MO_IS_FirstRow,0,COLUMN())),0,ROUND(BP352-BP405,6))</f>
        <v>0</v>
      </c>
      <c r="BQ797" s="328">
        <f t="array" ref="BQ797">IF(ISBLANK(INDEX(MO_IS_FirstRow,0,COLUMN())),0,ROUND(BQ352-BQ405,6))</f>
        <v>0</v>
      </c>
      <c r="BR797" s="328">
        <f t="array" ref="BR797">IF(ISBLANK(INDEX(MO_IS_FirstRow,0,COLUMN())),0,ROUND(BR352-BR405,6))</f>
        <v>0</v>
      </c>
      <c r="BS797" s="328">
        <f t="array" ref="BS797">IF(ISBLANK(INDEX(MO_IS_FirstRow,0,COLUMN())),0,ROUND(BS352-BS405,6))</f>
        <v>0</v>
      </c>
      <c r="BT797" s="328">
        <f t="array" ref="BT797">IF(ISBLANK(INDEX(MO_IS_FirstRow,0,COLUMN())),0,ROUND(BT352-BT405,6))</f>
        <v>0</v>
      </c>
      <c r="BU797" s="328">
        <f t="array" ref="BU797">IF(ISBLANK(INDEX(MO_IS_FirstRow,0,COLUMN())),0,ROUND(BU352-BU405,6))</f>
        <v>0</v>
      </c>
      <c r="BV797" s="328">
        <f t="array" ref="BV797">IF(ISBLANK(INDEX(MO_IS_FirstRow,0,COLUMN())),0,ROUND(BV352-BV405,6))</f>
        <v>0</v>
      </c>
      <c r="BW797" s="4"/>
    </row>
    <row r="798" spans="1:75" ht="15.75" customHeight="1" x14ac:dyDescent="0.2">
      <c r="A798" s="4" t="s">
        <v>871</v>
      </c>
      <c r="B798" s="239"/>
      <c r="C798" s="328">
        <f t="shared" ref="C798:BV798" si="1789">IF(C520&lt;0,C520,0)</f>
        <v>0</v>
      </c>
      <c r="D798" s="328">
        <f t="shared" si="1789"/>
        <v>0</v>
      </c>
      <c r="E798" s="328">
        <f t="shared" si="1789"/>
        <v>0</v>
      </c>
      <c r="F798" s="328">
        <f t="shared" si="1789"/>
        <v>0</v>
      </c>
      <c r="G798" s="328">
        <f t="shared" si="1789"/>
        <v>0</v>
      </c>
      <c r="H798" s="328">
        <f t="shared" si="1789"/>
        <v>0</v>
      </c>
      <c r="I798" s="328">
        <f t="shared" si="1789"/>
        <v>0</v>
      </c>
      <c r="J798" s="328">
        <f t="shared" si="1789"/>
        <v>0</v>
      </c>
      <c r="K798" s="328">
        <f t="shared" si="1789"/>
        <v>0</v>
      </c>
      <c r="L798" s="328">
        <f t="shared" si="1789"/>
        <v>0</v>
      </c>
      <c r="M798" s="328">
        <f t="shared" si="1789"/>
        <v>0</v>
      </c>
      <c r="N798" s="328">
        <f t="shared" si="1789"/>
        <v>0</v>
      </c>
      <c r="O798" s="328">
        <f t="shared" si="1789"/>
        <v>0</v>
      </c>
      <c r="P798" s="328">
        <f t="shared" si="1789"/>
        <v>0</v>
      </c>
      <c r="Q798" s="328">
        <f t="shared" si="1789"/>
        <v>0</v>
      </c>
      <c r="R798" s="328">
        <f t="shared" si="1789"/>
        <v>0</v>
      </c>
      <c r="S798" s="328">
        <f t="shared" si="1789"/>
        <v>0</v>
      </c>
      <c r="T798" s="328">
        <f t="shared" si="1789"/>
        <v>0</v>
      </c>
      <c r="U798" s="328">
        <f t="shared" si="1789"/>
        <v>0</v>
      </c>
      <c r="V798" s="328">
        <f t="shared" si="1789"/>
        <v>0</v>
      </c>
      <c r="W798" s="328">
        <f t="shared" si="1789"/>
        <v>0</v>
      </c>
      <c r="X798" s="328">
        <f t="shared" si="1789"/>
        <v>0</v>
      </c>
      <c r="Y798" s="328">
        <f t="shared" si="1789"/>
        <v>0</v>
      </c>
      <c r="Z798" s="328">
        <f t="shared" si="1789"/>
        <v>0</v>
      </c>
      <c r="AA798" s="328">
        <f t="shared" si="1789"/>
        <v>0</v>
      </c>
      <c r="AB798" s="328">
        <f t="shared" si="1789"/>
        <v>0</v>
      </c>
      <c r="AC798" s="328">
        <f t="shared" si="1789"/>
        <v>0</v>
      </c>
      <c r="AD798" s="328">
        <f t="shared" si="1789"/>
        <v>0</v>
      </c>
      <c r="AE798" s="328">
        <f t="shared" si="1789"/>
        <v>0</v>
      </c>
      <c r="AF798" s="328">
        <f t="shared" si="1789"/>
        <v>0</v>
      </c>
      <c r="AG798" s="328">
        <f t="shared" si="1789"/>
        <v>0</v>
      </c>
      <c r="AH798" s="328">
        <f t="shared" si="1789"/>
        <v>0</v>
      </c>
      <c r="AI798" s="328">
        <f t="shared" si="1789"/>
        <v>0</v>
      </c>
      <c r="AJ798" s="328">
        <f t="shared" si="1789"/>
        <v>0</v>
      </c>
      <c r="AK798" s="328">
        <f t="shared" si="1789"/>
        <v>0</v>
      </c>
      <c r="AL798" s="328">
        <f t="shared" si="1789"/>
        <v>0</v>
      </c>
      <c r="AM798" s="328">
        <f t="shared" si="1789"/>
        <v>0</v>
      </c>
      <c r="AN798" s="328">
        <f t="shared" si="1789"/>
        <v>0</v>
      </c>
      <c r="AO798" s="328">
        <f t="shared" si="1789"/>
        <v>0</v>
      </c>
      <c r="AP798" s="328">
        <f t="shared" si="1789"/>
        <v>0</v>
      </c>
      <c r="AQ798" s="328">
        <f t="shared" si="1789"/>
        <v>0</v>
      </c>
      <c r="AR798" s="328">
        <f t="shared" si="1789"/>
        <v>0</v>
      </c>
      <c r="AS798" s="328">
        <f t="shared" si="1789"/>
        <v>0</v>
      </c>
      <c r="AT798" s="328">
        <f t="shared" si="1789"/>
        <v>0</v>
      </c>
      <c r="AU798" s="328">
        <f t="shared" si="1789"/>
        <v>0</v>
      </c>
      <c r="AV798" s="328">
        <f t="shared" si="1789"/>
        <v>0</v>
      </c>
      <c r="AW798" s="328">
        <f t="shared" si="1789"/>
        <v>0</v>
      </c>
      <c r="AX798" s="328">
        <f t="shared" si="1789"/>
        <v>0</v>
      </c>
      <c r="AY798" s="328">
        <f t="shared" si="1789"/>
        <v>0</v>
      </c>
      <c r="AZ798" s="328">
        <f t="shared" si="1789"/>
        <v>0</v>
      </c>
      <c r="BA798" s="328">
        <f t="shared" si="1789"/>
        <v>0</v>
      </c>
      <c r="BB798" s="328">
        <f t="shared" si="1789"/>
        <v>0</v>
      </c>
      <c r="BC798" s="328">
        <f t="shared" si="1789"/>
        <v>0</v>
      </c>
      <c r="BD798" s="328">
        <f t="shared" si="1789"/>
        <v>0</v>
      </c>
      <c r="BE798" s="328">
        <f t="shared" si="1789"/>
        <v>0</v>
      </c>
      <c r="BF798" s="328">
        <f t="shared" si="1789"/>
        <v>0</v>
      </c>
      <c r="BG798" s="328">
        <f t="shared" si="1789"/>
        <v>0</v>
      </c>
      <c r="BH798" s="328">
        <f t="shared" si="1789"/>
        <v>0</v>
      </c>
      <c r="BI798" s="329">
        <f t="shared" si="1789"/>
        <v>0</v>
      </c>
      <c r="BJ798" s="328">
        <f t="shared" ca="1" si="1789"/>
        <v>0</v>
      </c>
      <c r="BK798" s="328">
        <f t="shared" ca="1" si="1789"/>
        <v>0</v>
      </c>
      <c r="BL798" s="328">
        <f t="shared" ca="1" si="1789"/>
        <v>0</v>
      </c>
      <c r="BM798" s="328">
        <f t="shared" ca="1" si="1789"/>
        <v>0</v>
      </c>
      <c r="BN798" s="328">
        <f t="shared" ca="1" si="1789"/>
        <v>0</v>
      </c>
      <c r="BO798" s="328">
        <f t="shared" ca="1" si="1789"/>
        <v>0</v>
      </c>
      <c r="BP798" s="328">
        <f t="shared" ca="1" si="1789"/>
        <v>0</v>
      </c>
      <c r="BQ798" s="328">
        <f t="shared" ca="1" si="1789"/>
        <v>0</v>
      </c>
      <c r="BR798" s="328">
        <f t="shared" ca="1" si="1789"/>
        <v>0</v>
      </c>
      <c r="BS798" s="328">
        <f t="shared" ca="1" si="1789"/>
        <v>0</v>
      </c>
      <c r="BT798" s="328">
        <f t="shared" ca="1" si="1789"/>
        <v>0</v>
      </c>
      <c r="BU798" s="328">
        <f t="shared" ca="1" si="1789"/>
        <v>0</v>
      </c>
      <c r="BV798" s="328">
        <f t="shared" ca="1" si="1789"/>
        <v>0</v>
      </c>
      <c r="BW798" s="4"/>
    </row>
    <row r="799" spans="1:75" ht="15.75" customHeight="1" x14ac:dyDescent="0.2">
      <c r="A799" s="4" t="s">
        <v>872</v>
      </c>
      <c r="B799" s="239"/>
      <c r="C799" s="328">
        <f t="shared" ref="C799:BV799" si="1790">IF(C523&lt;0,C523,0)</f>
        <v>0</v>
      </c>
      <c r="D799" s="328">
        <f t="shared" si="1790"/>
        <v>0</v>
      </c>
      <c r="E799" s="328">
        <f t="shared" si="1790"/>
        <v>0</v>
      </c>
      <c r="F799" s="328">
        <f t="shared" si="1790"/>
        <v>0</v>
      </c>
      <c r="G799" s="328">
        <f t="shared" si="1790"/>
        <v>0</v>
      </c>
      <c r="H799" s="328">
        <f t="shared" si="1790"/>
        <v>0</v>
      </c>
      <c r="I799" s="328">
        <f t="shared" si="1790"/>
        <v>0</v>
      </c>
      <c r="J799" s="328">
        <f t="shared" si="1790"/>
        <v>0</v>
      </c>
      <c r="K799" s="328">
        <f t="shared" si="1790"/>
        <v>0</v>
      </c>
      <c r="L799" s="328">
        <f t="shared" si="1790"/>
        <v>0</v>
      </c>
      <c r="M799" s="328">
        <f t="shared" si="1790"/>
        <v>0</v>
      </c>
      <c r="N799" s="328">
        <f t="shared" si="1790"/>
        <v>0</v>
      </c>
      <c r="O799" s="328">
        <f t="shared" si="1790"/>
        <v>0</v>
      </c>
      <c r="P799" s="328">
        <f t="shared" si="1790"/>
        <v>0</v>
      </c>
      <c r="Q799" s="328">
        <f t="shared" si="1790"/>
        <v>0</v>
      </c>
      <c r="R799" s="328">
        <f t="shared" si="1790"/>
        <v>0</v>
      </c>
      <c r="S799" s="328">
        <f t="shared" si="1790"/>
        <v>0</v>
      </c>
      <c r="T799" s="328">
        <f t="shared" si="1790"/>
        <v>0</v>
      </c>
      <c r="U799" s="328">
        <f t="shared" si="1790"/>
        <v>0</v>
      </c>
      <c r="V799" s="328">
        <f t="shared" si="1790"/>
        <v>0</v>
      </c>
      <c r="W799" s="328">
        <f t="shared" si="1790"/>
        <v>0</v>
      </c>
      <c r="X799" s="328">
        <f t="shared" si="1790"/>
        <v>0</v>
      </c>
      <c r="Y799" s="328">
        <f t="shared" si="1790"/>
        <v>0</v>
      </c>
      <c r="Z799" s="328">
        <f t="shared" si="1790"/>
        <v>0</v>
      </c>
      <c r="AA799" s="328">
        <f t="shared" si="1790"/>
        <v>0</v>
      </c>
      <c r="AB799" s="328">
        <f t="shared" si="1790"/>
        <v>0</v>
      </c>
      <c r="AC799" s="328">
        <f t="shared" si="1790"/>
        <v>0</v>
      </c>
      <c r="AD799" s="328">
        <f t="shared" si="1790"/>
        <v>0</v>
      </c>
      <c r="AE799" s="328">
        <f t="shared" si="1790"/>
        <v>0</v>
      </c>
      <c r="AF799" s="328">
        <f t="shared" si="1790"/>
        <v>0</v>
      </c>
      <c r="AG799" s="328">
        <f t="shared" si="1790"/>
        <v>0</v>
      </c>
      <c r="AH799" s="328">
        <f t="shared" si="1790"/>
        <v>0</v>
      </c>
      <c r="AI799" s="328">
        <f t="shared" si="1790"/>
        <v>0</v>
      </c>
      <c r="AJ799" s="328">
        <f t="shared" si="1790"/>
        <v>0</v>
      </c>
      <c r="AK799" s="328">
        <f t="shared" si="1790"/>
        <v>0</v>
      </c>
      <c r="AL799" s="328">
        <f t="shared" si="1790"/>
        <v>0</v>
      </c>
      <c r="AM799" s="328">
        <f t="shared" si="1790"/>
        <v>0</v>
      </c>
      <c r="AN799" s="328">
        <f t="shared" si="1790"/>
        <v>0</v>
      </c>
      <c r="AO799" s="328">
        <f t="shared" si="1790"/>
        <v>0</v>
      </c>
      <c r="AP799" s="328">
        <f t="shared" si="1790"/>
        <v>0</v>
      </c>
      <c r="AQ799" s="328">
        <f t="shared" si="1790"/>
        <v>0</v>
      </c>
      <c r="AR799" s="328">
        <f t="shared" si="1790"/>
        <v>0</v>
      </c>
      <c r="AS799" s="328">
        <f t="shared" si="1790"/>
        <v>0</v>
      </c>
      <c r="AT799" s="328">
        <f t="shared" si="1790"/>
        <v>0</v>
      </c>
      <c r="AU799" s="328">
        <f t="shared" si="1790"/>
        <v>0</v>
      </c>
      <c r="AV799" s="328">
        <f t="shared" si="1790"/>
        <v>0</v>
      </c>
      <c r="AW799" s="328">
        <f t="shared" si="1790"/>
        <v>0</v>
      </c>
      <c r="AX799" s="328">
        <f t="shared" si="1790"/>
        <v>0</v>
      </c>
      <c r="AY799" s="328">
        <f t="shared" si="1790"/>
        <v>0</v>
      </c>
      <c r="AZ799" s="328">
        <f t="shared" si="1790"/>
        <v>0</v>
      </c>
      <c r="BA799" s="328">
        <f t="shared" si="1790"/>
        <v>0</v>
      </c>
      <c r="BB799" s="328">
        <f t="shared" si="1790"/>
        <v>0</v>
      </c>
      <c r="BC799" s="328">
        <f t="shared" si="1790"/>
        <v>0</v>
      </c>
      <c r="BD799" s="328">
        <f t="shared" si="1790"/>
        <v>0</v>
      </c>
      <c r="BE799" s="328">
        <f t="shared" si="1790"/>
        <v>0</v>
      </c>
      <c r="BF799" s="328">
        <f t="shared" si="1790"/>
        <v>0</v>
      </c>
      <c r="BG799" s="328">
        <f t="shared" si="1790"/>
        <v>0</v>
      </c>
      <c r="BH799" s="328">
        <f t="shared" si="1790"/>
        <v>0</v>
      </c>
      <c r="BI799" s="329">
        <f t="shared" si="1790"/>
        <v>0</v>
      </c>
      <c r="BJ799" s="328">
        <f t="shared" si="1790"/>
        <v>0</v>
      </c>
      <c r="BK799" s="328">
        <f t="shared" si="1790"/>
        <v>0</v>
      </c>
      <c r="BL799" s="328">
        <f t="shared" si="1790"/>
        <v>0</v>
      </c>
      <c r="BM799" s="328">
        <f t="shared" si="1790"/>
        <v>0</v>
      </c>
      <c r="BN799" s="328">
        <f t="shared" si="1790"/>
        <v>0</v>
      </c>
      <c r="BO799" s="328">
        <f t="shared" si="1790"/>
        <v>0</v>
      </c>
      <c r="BP799" s="328">
        <f t="shared" si="1790"/>
        <v>0</v>
      </c>
      <c r="BQ799" s="328">
        <f t="shared" si="1790"/>
        <v>0</v>
      </c>
      <c r="BR799" s="328">
        <f t="shared" si="1790"/>
        <v>0</v>
      </c>
      <c r="BS799" s="328">
        <f t="shared" si="1790"/>
        <v>0</v>
      </c>
      <c r="BT799" s="328">
        <f t="shared" si="1790"/>
        <v>0</v>
      </c>
      <c r="BU799" s="328">
        <f t="shared" si="1790"/>
        <v>0</v>
      </c>
      <c r="BV799" s="328">
        <f t="shared" si="1790"/>
        <v>0</v>
      </c>
      <c r="BW799" s="4"/>
    </row>
    <row r="800" spans="1:75" ht="15.75" customHeight="1" x14ac:dyDescent="0.2">
      <c r="A800" s="4" t="s">
        <v>873</v>
      </c>
      <c r="B800" s="239"/>
      <c r="C800" s="328">
        <f t="shared" ref="C800:BV800" si="1791">IF(AND(ISBLANK(C26),ISBLANK(C27),ISBLANK(C28),ISBLANK(C32)),0,ROUND(C382-C26-C27-C28-C32,6))</f>
        <v>0</v>
      </c>
      <c r="D800" s="328">
        <f t="shared" si="1791"/>
        <v>0</v>
      </c>
      <c r="E800" s="328">
        <f t="shared" si="1791"/>
        <v>0</v>
      </c>
      <c r="F800" s="328">
        <f t="shared" si="1791"/>
        <v>0</v>
      </c>
      <c r="G800" s="328">
        <f t="shared" si="1791"/>
        <v>0</v>
      </c>
      <c r="H800" s="328">
        <f t="shared" si="1791"/>
        <v>0</v>
      </c>
      <c r="I800" s="328">
        <f t="shared" si="1791"/>
        <v>0</v>
      </c>
      <c r="J800" s="328">
        <f t="shared" si="1791"/>
        <v>0</v>
      </c>
      <c r="K800" s="328">
        <f t="shared" si="1791"/>
        <v>0</v>
      </c>
      <c r="L800" s="328">
        <f t="shared" si="1791"/>
        <v>0</v>
      </c>
      <c r="M800" s="328">
        <f t="shared" si="1791"/>
        <v>0</v>
      </c>
      <c r="N800" s="328">
        <f t="shared" si="1791"/>
        <v>0</v>
      </c>
      <c r="O800" s="328">
        <f t="shared" si="1791"/>
        <v>0</v>
      </c>
      <c r="P800" s="328">
        <f t="shared" si="1791"/>
        <v>0</v>
      </c>
      <c r="Q800" s="328">
        <f t="shared" si="1791"/>
        <v>0</v>
      </c>
      <c r="R800" s="328">
        <f t="shared" si="1791"/>
        <v>0</v>
      </c>
      <c r="S800" s="328">
        <f t="shared" si="1791"/>
        <v>0</v>
      </c>
      <c r="T800" s="328">
        <f t="shared" si="1791"/>
        <v>0</v>
      </c>
      <c r="U800" s="328">
        <f t="shared" si="1791"/>
        <v>0</v>
      </c>
      <c r="V800" s="328">
        <f t="shared" si="1791"/>
        <v>0</v>
      </c>
      <c r="W800" s="328">
        <f t="shared" si="1791"/>
        <v>0</v>
      </c>
      <c r="X800" s="328">
        <f t="shared" si="1791"/>
        <v>0</v>
      </c>
      <c r="Y800" s="328">
        <f t="shared" si="1791"/>
        <v>0</v>
      </c>
      <c r="Z800" s="328">
        <f t="shared" si="1791"/>
        <v>0</v>
      </c>
      <c r="AA800" s="328">
        <f t="shared" si="1791"/>
        <v>0</v>
      </c>
      <c r="AB800" s="328">
        <f t="shared" si="1791"/>
        <v>0</v>
      </c>
      <c r="AC800" s="328">
        <f t="shared" si="1791"/>
        <v>0</v>
      </c>
      <c r="AD800" s="328">
        <f t="shared" si="1791"/>
        <v>0</v>
      </c>
      <c r="AE800" s="328">
        <f t="shared" si="1791"/>
        <v>0</v>
      </c>
      <c r="AF800" s="328">
        <f t="shared" si="1791"/>
        <v>0</v>
      </c>
      <c r="AG800" s="328">
        <f t="shared" si="1791"/>
        <v>0</v>
      </c>
      <c r="AH800" s="328">
        <f t="shared" si="1791"/>
        <v>0</v>
      </c>
      <c r="AI800" s="328">
        <f t="shared" si="1791"/>
        <v>0</v>
      </c>
      <c r="AJ800" s="328">
        <f t="shared" si="1791"/>
        <v>0</v>
      </c>
      <c r="AK800" s="328">
        <f t="shared" si="1791"/>
        <v>0</v>
      </c>
      <c r="AL800" s="328">
        <f t="shared" si="1791"/>
        <v>0</v>
      </c>
      <c r="AM800" s="328">
        <f t="shared" si="1791"/>
        <v>0</v>
      </c>
      <c r="AN800" s="328">
        <f t="shared" si="1791"/>
        <v>0</v>
      </c>
      <c r="AO800" s="328">
        <f t="shared" si="1791"/>
        <v>0</v>
      </c>
      <c r="AP800" s="328">
        <f t="shared" si="1791"/>
        <v>0</v>
      </c>
      <c r="AQ800" s="328">
        <f t="shared" si="1791"/>
        <v>0</v>
      </c>
      <c r="AR800" s="328">
        <f t="shared" si="1791"/>
        <v>0</v>
      </c>
      <c r="AS800" s="328">
        <f t="shared" si="1791"/>
        <v>0</v>
      </c>
      <c r="AT800" s="328">
        <f t="shared" si="1791"/>
        <v>0</v>
      </c>
      <c r="AU800" s="328">
        <f t="shared" si="1791"/>
        <v>0</v>
      </c>
      <c r="AV800" s="328">
        <f t="shared" si="1791"/>
        <v>0</v>
      </c>
      <c r="AW800" s="328">
        <f t="shared" si="1791"/>
        <v>0</v>
      </c>
      <c r="AX800" s="328">
        <f t="shared" si="1791"/>
        <v>0</v>
      </c>
      <c r="AY800" s="328">
        <f t="shared" si="1791"/>
        <v>0</v>
      </c>
      <c r="AZ800" s="328">
        <f t="shared" si="1791"/>
        <v>0</v>
      </c>
      <c r="BA800" s="328">
        <f t="shared" si="1791"/>
        <v>0</v>
      </c>
      <c r="BB800" s="328">
        <f t="shared" si="1791"/>
        <v>0</v>
      </c>
      <c r="BC800" s="328">
        <f t="shared" si="1791"/>
        <v>0</v>
      </c>
      <c r="BD800" s="328">
        <f t="shared" si="1791"/>
        <v>0</v>
      </c>
      <c r="BE800" s="328">
        <f t="shared" si="1791"/>
        <v>0</v>
      </c>
      <c r="BF800" s="328">
        <f t="shared" si="1791"/>
        <v>0</v>
      </c>
      <c r="BG800" s="328">
        <f t="shared" si="1791"/>
        <v>0</v>
      </c>
      <c r="BH800" s="328">
        <f t="shared" si="1791"/>
        <v>0</v>
      </c>
      <c r="BI800" s="329">
        <f t="shared" si="1791"/>
        <v>0</v>
      </c>
      <c r="BJ800" s="328">
        <f t="shared" si="1791"/>
        <v>0</v>
      </c>
      <c r="BK800" s="328">
        <f t="shared" si="1791"/>
        <v>0</v>
      </c>
      <c r="BL800" s="328">
        <f t="shared" si="1791"/>
        <v>0</v>
      </c>
      <c r="BM800" s="328">
        <f t="shared" si="1791"/>
        <v>0</v>
      </c>
      <c r="BN800" s="328">
        <f t="shared" si="1791"/>
        <v>0</v>
      </c>
      <c r="BO800" s="328">
        <f t="shared" si="1791"/>
        <v>0</v>
      </c>
      <c r="BP800" s="328">
        <f t="shared" si="1791"/>
        <v>0</v>
      </c>
      <c r="BQ800" s="328">
        <f t="shared" si="1791"/>
        <v>0</v>
      </c>
      <c r="BR800" s="328">
        <f t="shared" si="1791"/>
        <v>0</v>
      </c>
      <c r="BS800" s="328">
        <f t="shared" si="1791"/>
        <v>0</v>
      </c>
      <c r="BT800" s="328">
        <f t="shared" si="1791"/>
        <v>0</v>
      </c>
      <c r="BU800" s="328">
        <f t="shared" si="1791"/>
        <v>0</v>
      </c>
      <c r="BV800" s="328">
        <f t="shared" si="1791"/>
        <v>0</v>
      </c>
      <c r="BW800" s="4"/>
    </row>
    <row r="801" spans="1:75" ht="15.75" customHeight="1" x14ac:dyDescent="0.2">
      <c r="A801" s="4" t="s">
        <v>874</v>
      </c>
      <c r="B801" s="239"/>
      <c r="C801" s="328">
        <f t="array" ref="C801">IF(ISBLANK(INDEX(MO_IS_FirstRow,0,COLUMN())),0,IF(OR(C696=B696,C696=D696),"CHECK",0))</f>
        <v>0</v>
      </c>
      <c r="D801" s="328">
        <f t="array" ref="D801">IF(ISBLANK(INDEX(MO_IS_FirstRow,0,COLUMN())),0,IF(OR(D696=C696,D696=E696),"CHECK",0))</f>
        <v>0</v>
      </c>
      <c r="E801" s="328">
        <f t="array" ref="E801">IF(ISBLANK(INDEX(MO_IS_FirstRow,0,COLUMN())),0,IF(OR(E696=D696,E696=F696),"CHECK",0))</f>
        <v>0</v>
      </c>
      <c r="F801" s="328">
        <f t="array" ref="F801">IF(ISBLANK(INDEX(MO_IS_FirstRow,0,COLUMN())),0,IF(OR(F696=E696,F696=K696),"CHECK",0))</f>
        <v>0</v>
      </c>
      <c r="G801" s="328">
        <f t="array" ref="G801">IF(ISBLANK(INDEX(MO_IS_FirstRow,0,COLUMN())),0,IF(OR(G696=B696,G696=H696,G696=E696),"CHECK",0))</f>
        <v>0</v>
      </c>
      <c r="H801" s="328">
        <f t="array" ref="H801">IF(ISBLANK(INDEX(MO_IS_FirstRow,0,COLUMN())),0,IF(OR(H696=C696,H696=I696,H696=G696),"CHECK",0))</f>
        <v>0</v>
      </c>
      <c r="I801" s="328">
        <f t="array" ref="I801">IF(ISBLANK(INDEX(MO_IS_FirstRow,0,COLUMN())),0,IF(OR(I696=D696,I696=J696,I696=H696),"CHECK",0))</f>
        <v>0</v>
      </c>
      <c r="J801" s="328">
        <f t="array" ref="J801">IF(ISBLANK(INDEX(MO_IS_FirstRow,0,COLUMN())),0,IF(OR(J696=E696,J696=K696,J696=I696),"CHECK",0))</f>
        <v>0</v>
      </c>
      <c r="K801" s="328">
        <f t="array" ref="K801">IF(ISBLANK(INDEX(MO_IS_FirstRow,0,COLUMN())),0,IF(K696=F696,"CHECK",0))</f>
        <v>0</v>
      </c>
      <c r="L801" s="328">
        <f t="array" ref="L801">IF(ISBLANK(INDEX(MO_IS_FirstRow,0,COLUMN())),0,IF(OR(L696=G696,L696=M696,L696=J696),"CHECK",0))</f>
        <v>0</v>
      </c>
      <c r="M801" s="328">
        <f t="array" ref="M801">IF(ISBLANK(INDEX(MO_IS_FirstRow,0,COLUMN())),0,IF(OR(M696=H696,M696=N696,M696=L696),"CHECK",0))</f>
        <v>0</v>
      </c>
      <c r="N801" s="328">
        <f t="array" ref="N801">IF(ISBLANK(INDEX(MO_IS_FirstRow,0,COLUMN())),0,IF(OR(N696=I696,N696=O696,N696=M696),"CHECK",0))</f>
        <v>0</v>
      </c>
      <c r="O801" s="328">
        <f t="array" ref="O801">IF(ISBLANK(INDEX(MO_IS_FirstRow,0,COLUMN())),0,IF(OR(O696=J696,O696=P696,O696=N696),"CHECK",0))</f>
        <v>0</v>
      </c>
      <c r="P801" s="328">
        <f t="array" ref="P801">IF(ISBLANK(INDEX(MO_IS_FirstRow,0,COLUMN())),0,IF(P696=K696,"CHECK",0))</f>
        <v>0</v>
      </c>
      <c r="Q801" s="328">
        <f t="array" ref="Q801">IF(ISBLANK(INDEX(MO_IS_FirstRow,0,COLUMN())),0,IF(OR(Q696=L696,Q696=R696,Q696=O696),"CHECK",0))</f>
        <v>0</v>
      </c>
      <c r="R801" s="328">
        <f t="array" ref="R801">IF(ISBLANK(INDEX(MO_IS_FirstRow,0,COLUMN())),0,IF(OR(R696=M696,R696=S696,R696=Q696),"CHECK",0))</f>
        <v>0</v>
      </c>
      <c r="S801" s="328">
        <f t="array" ref="S801">IF(ISBLANK(INDEX(MO_IS_FirstRow,0,COLUMN())),0,IF(OR(S696=N696,S696=T696,S696=R696),"CHECK",0))</f>
        <v>0</v>
      </c>
      <c r="T801" s="328">
        <f t="array" ref="T801">IF(ISBLANK(INDEX(MO_IS_FirstRow,0,COLUMN())),0,IF(OR(T696=O696,T696=U696,T696=S696),"CHECK",0))</f>
        <v>0</v>
      </c>
      <c r="U801" s="328">
        <f t="array" ref="U801">IF(ISBLANK(INDEX(MO_IS_FirstRow,0,COLUMN())),0,IF(U696=P696,"CHECK",0))</f>
        <v>0</v>
      </c>
      <c r="V801" s="328">
        <f t="array" ref="V801">IF(ISBLANK(INDEX(MO_IS_FirstRow,0,COLUMN())),0,IF(OR(V696=Q696,V696=W696,V696=T696),"CHECK",0))</f>
        <v>0</v>
      </c>
      <c r="W801" s="328">
        <f t="array" ref="W801">IF(ISBLANK(INDEX(MO_IS_FirstRow,0,COLUMN())),0,IF(OR(W696=R696,W696=X696,W696=V696),"CHECK",0))</f>
        <v>0</v>
      </c>
      <c r="X801" s="328">
        <f t="array" ref="X801">IF(ISBLANK(INDEX(MO_IS_FirstRow,0,COLUMN())),0,IF(OR(X696=S696,X696=Y696,X696=W696),"CHECK",0))</f>
        <v>0</v>
      </c>
      <c r="Y801" s="328">
        <f t="array" ref="Y801">IF(ISBLANK(INDEX(MO_IS_FirstRow,0,COLUMN())),0,IF(OR(Y696=T696,Y696=Z696,Y696=X696),"CHECK",0))</f>
        <v>0</v>
      </c>
      <c r="Z801" s="328">
        <f t="array" ref="Z801">IF(ISBLANK(INDEX(MO_IS_FirstRow,0,COLUMN())),0,IF(Z696=U696,"CHECK",0))</f>
        <v>0</v>
      </c>
      <c r="AA801" s="328">
        <f t="array" ref="AA801">IF(ISBLANK(INDEX(MO_IS_FirstRow,0,COLUMN())),0,IF(OR(AA696=V696,AA696=AB696,AA696=Y696),"CHECK",0))</f>
        <v>0</v>
      </c>
      <c r="AB801" s="328">
        <f t="array" ref="AB801">IF(ISBLANK(INDEX(MO_IS_FirstRow,0,COLUMN())),0,IF(OR(AB696=W696,AB696=AC696,AB696=AA696),"CHECK",0))</f>
        <v>0</v>
      </c>
      <c r="AC801" s="328">
        <f t="array" ref="AC801">IF(ISBLANK(INDEX(MO_IS_FirstRow,0,COLUMN())),0,IF(OR(AC696=X696,AC696=AD696,AC696=AB696),"CHECK",0))</f>
        <v>0</v>
      </c>
      <c r="AD801" s="328">
        <f t="array" ref="AD801">IF(ISBLANK(INDEX(MO_IS_FirstRow,0,COLUMN())),0,IF(OR(AD696=Y696,AD696=AE696,AD696=AC696),"CHECK",0))</f>
        <v>0</v>
      </c>
      <c r="AE801" s="328">
        <f t="array" ref="AE801">IF(ISBLANK(INDEX(MO_IS_FirstRow,0,COLUMN())),0,IF(AE696=Z696,"CHECK",0))</f>
        <v>0</v>
      </c>
      <c r="AF801" s="328">
        <f t="array" ref="AF801">IF(ISBLANK(INDEX(MO_IS_FirstRow,0,COLUMN())),0,IF(OR(AF696=AA696,AF696=AG696,AF696=AD696),"CHECK",0))</f>
        <v>0</v>
      </c>
      <c r="AG801" s="328">
        <f t="array" ref="AG801">IF(ISBLANK(INDEX(MO_IS_FirstRow,0,COLUMN())),0,IF(OR(AG696=AB696,AG696=AH696,AG696=AF696),"CHECK",0))</f>
        <v>0</v>
      </c>
      <c r="AH801" s="328">
        <f t="array" ref="AH801">IF(ISBLANK(INDEX(MO_IS_FirstRow,0,COLUMN())),0,IF(OR(AH696=AC696,AH696=AI696,AH696=AG696),"CHECK",0))</f>
        <v>0</v>
      </c>
      <c r="AI801" s="328">
        <f t="array" ref="AI801">IF(ISBLANK(INDEX(MO_IS_FirstRow,0,COLUMN())),0,IF(OR(AI696=AD696,AI696=AJ696,AI696=AH696),"CHECK",0))</f>
        <v>0</v>
      </c>
      <c r="AJ801" s="328">
        <f t="array" ref="AJ801">IF(ISBLANK(INDEX(MO_IS_FirstRow,0,COLUMN())),0,IF(AJ696=AE696,"CHECK",0))</f>
        <v>0</v>
      </c>
      <c r="AK801" s="328">
        <f t="array" ref="AK801">IF(ISBLANK(INDEX(MO_IS_FirstRow,0,COLUMN())),0,IF(OR(AK696=AF696,AK696=AL696,AK696=AI696),"CHECK",0))</f>
        <v>0</v>
      </c>
      <c r="AL801" s="328">
        <f t="array" ref="AL801">IF(ISBLANK(INDEX(MO_IS_FirstRow,0,COLUMN())),0,IF(OR(AL696=AG696,AL696=AM696,AL696=AK696),"CHECK",0))</f>
        <v>0</v>
      </c>
      <c r="AM801" s="328">
        <f t="array" ref="AM801">IF(ISBLANK(INDEX(MO_IS_FirstRow,0,COLUMN())),0,IF(OR(AM696=AH696,AM696=AN696,AM696=AL696),"CHECK",0))</f>
        <v>0</v>
      </c>
      <c r="AN801" s="328">
        <f t="array" ref="AN801">IF(ISBLANK(INDEX(MO_IS_FirstRow,0,COLUMN())),0,IF(OR(AN696=AI696,AN696=AO696,AN696=AM696),"CHECK",0))</f>
        <v>0</v>
      </c>
      <c r="AO801" s="328">
        <f t="array" ref="AO801">IF(ISBLANK(INDEX(MO_IS_FirstRow,0,COLUMN())),0,IF(AO696=AJ696,"CHECK",0))</f>
        <v>0</v>
      </c>
      <c r="AP801" s="328">
        <f t="array" ref="AP801">IF(ISBLANK(INDEX(MO_IS_FirstRow,0,COLUMN())),0,IF(OR(AP696=AK696,AP696=AQ696,AP696=AN696),"CHECK",0))</f>
        <v>0</v>
      </c>
      <c r="AQ801" s="328">
        <f t="array" ref="AQ801">IF(ISBLANK(INDEX(MO_IS_FirstRow,0,COLUMN())),0,IF(OR(AQ696=AL696,AQ696=AR696,AQ696=AP696),"CHECK",0))</f>
        <v>0</v>
      </c>
      <c r="AR801" s="328">
        <f t="array" ref="AR801">IF(ISBLANK(INDEX(MO_IS_FirstRow,0,COLUMN())),0,IF(OR(AR696=AM696,AR696=AS696,AR696=AQ696),"CHECK",0))</f>
        <v>0</v>
      </c>
      <c r="AS801" s="328">
        <f t="array" ref="AS801">IF(ISBLANK(INDEX(MO_IS_FirstRow,0,COLUMN())),0,IF(OR(AS696=AN696,AS696=AT696,AS696=AR696),"CHECK",0))</f>
        <v>0</v>
      </c>
      <c r="AT801" s="328">
        <f t="array" ref="AT801">IF(ISBLANK(INDEX(MO_IS_FirstRow,0,COLUMN())),0,IF(AT696=AO696,"CHECK",0))</f>
        <v>0</v>
      </c>
      <c r="AU801" s="328">
        <f t="array" ref="AU801">IF(ISBLANK(INDEX(MO_IS_FirstRow,0,COLUMN())),0,IF(OR(AU696=AP696,AU696=AV696,AU696=AS696),"CHECK",0))</f>
        <v>0</v>
      </c>
      <c r="AV801" s="328">
        <f t="array" ref="AV801">IF(ISBLANK(INDEX(MO_IS_FirstRow,0,COLUMN())),0,IF(OR(AV696=AQ696,AV696=AW696,AV696=AU696),"CHECK",0))</f>
        <v>0</v>
      </c>
      <c r="AW801" s="328">
        <f t="array" ref="AW801">IF(ISBLANK(INDEX(MO_IS_FirstRow,0,COLUMN())),0,IF(OR(AW696=AR696,AW696=AX696,AW696=AV696),"CHECK",0))</f>
        <v>0</v>
      </c>
      <c r="AX801" s="328">
        <f t="array" ref="AX801">IF(ISBLANK(INDEX(MO_IS_FirstRow,0,COLUMN())),0,IF(OR(AX696=AS696,AX696=AY696,AX696=AW696),"CHECK",0))</f>
        <v>0</v>
      </c>
      <c r="AY801" s="328">
        <f t="array" ref="AY801">IF(ISBLANK(INDEX(MO_IS_FirstRow,0,COLUMN())),0,IF(AY696=AT696,"CHECK",0))</f>
        <v>0</v>
      </c>
      <c r="AZ801" s="328">
        <f t="array" ref="AZ801">IF(ISBLANK(INDEX(MO_IS_FirstRow,0,COLUMN())),0,IF(OR(AZ696=AU696,AZ696=BA696,AZ696=AX696),"CHECK",0))</f>
        <v>0</v>
      </c>
      <c r="BA801" s="328">
        <f t="array" ref="BA801">IF(ISBLANK(INDEX(MO_IS_FirstRow,0,COLUMN())),0,IF(OR(BA696=AV696,BA696=BB696,BA696=AZ696),"CHECK",0))</f>
        <v>0</v>
      </c>
      <c r="BB801" s="328">
        <f t="array" ref="BB801">IF(ISBLANK(INDEX(MO_IS_FirstRow,0,COLUMN())),0,IF(OR(BB696=AW696,BB696=BC696,BB696=BA696),"CHECK",0))</f>
        <v>0</v>
      </c>
      <c r="BC801" s="328">
        <f t="array" ref="BC801">IF(ISBLANK(INDEX(MO_IS_FirstRow,0,COLUMN())),0,IF(OR(BC696=AX696,BC696=BD696,BC696=BB696),"CHECK",0))</f>
        <v>0</v>
      </c>
      <c r="BD801" s="328">
        <f t="array" ref="BD801">IF(ISBLANK(INDEX(MO_IS_FirstRow,0,COLUMN())),0,IF(BD696=AY696,"CHECK",0))</f>
        <v>0</v>
      </c>
      <c r="BE801" s="328">
        <f t="array" ref="BE801">IF(ISBLANK(INDEX(MO_IS_FirstRow,0,COLUMN())),0,IF(OR(BE696=AZ696,BE696=BF696,BE696=BC696),"CHECK",0))</f>
        <v>0</v>
      </c>
      <c r="BF801" s="328">
        <f t="array" ref="BF801">IF(ISBLANK(INDEX(MO_IS_FirstRow,0,COLUMN())),0,IF(OR(BF696=BA696,BF696=BG696,BF696=BE696),"CHECK",0))</f>
        <v>0</v>
      </c>
      <c r="BG801" s="328">
        <f t="array" ref="BG801">IF(ISBLANK(INDEX(MO_IS_FirstRow,0,COLUMN())),0,IF(OR(BG696=BB696,BG696=BH696,BG696=BF696),"CHECK",0))</f>
        <v>0</v>
      </c>
      <c r="BH801" s="328">
        <f t="array" ref="BH801">IF(ISBLANK(INDEX(MO_IS_FirstRow,0,COLUMN())),0,IF(OR(BH696=BC696,BH696=BI696,BH696=BG696),"CHECK",0))</f>
        <v>0</v>
      </c>
      <c r="BI801" s="329">
        <f t="array" ref="BI801">IF(ISBLANK(INDEX(MO_IS_FirstRow,0,COLUMN())),0,IF(BI696=BD696,"CHECK",0))</f>
        <v>0</v>
      </c>
      <c r="BJ801" s="328"/>
      <c r="BK801" s="328"/>
      <c r="BL801" s="328"/>
      <c r="BM801" s="328"/>
      <c r="BN801" s="328"/>
      <c r="BO801" s="328"/>
      <c r="BP801" s="328"/>
      <c r="BQ801" s="328"/>
      <c r="BR801" s="328"/>
      <c r="BS801" s="328"/>
      <c r="BT801" s="328"/>
      <c r="BU801" s="328"/>
      <c r="BV801" s="328"/>
      <c r="BW801" s="4"/>
    </row>
    <row r="802" spans="1:75" ht="15.75" customHeight="1" x14ac:dyDescent="0.2">
      <c r="A802" s="4" t="s">
        <v>875</v>
      </c>
      <c r="B802" s="239"/>
      <c r="C802" s="328"/>
      <c r="D802" s="328"/>
      <c r="E802" s="328" t="str">
        <f t="array" ref="E802">IF(ISBLANK(INDEX(MO_IS_FirstRow,0,COLUMN())),0,IF(D20=E20,"CHECK",0))</f>
        <v>CHECK</v>
      </c>
      <c r="F802" s="328">
        <f t="array" ref="F802">IF(ISBLANK(INDEX(MO_IS_FirstRow,0,COLUMN())),0,IF(E20=F20,"CHECK",0))</f>
        <v>0</v>
      </c>
      <c r="G802" s="328"/>
      <c r="H802" s="328"/>
      <c r="I802" s="328"/>
      <c r="J802" s="328"/>
      <c r="K802" s="328">
        <f t="array" ref="K802">IF(ISBLANK(INDEX(MO_IS_FirstRow,0,COLUMN())),0,IF(F20=K20,"CHECK",0))</f>
        <v>0</v>
      </c>
      <c r="L802" s="328">
        <f t="array" ref="L802">IF(ISBLANK(INDEX(MO_IS_FirstRow,0,COLUMN())),0,IF(G20=L20,"CHECK",0))</f>
        <v>0</v>
      </c>
      <c r="M802" s="328">
        <f t="array" ref="M802">IF(ISBLANK(INDEX(MO_IS_FirstRow,0,COLUMN())),0,IF(H20=M20,"CHECK",0))</f>
        <v>0</v>
      </c>
      <c r="N802" s="328">
        <f t="array" ref="N802">IF(ISBLANK(INDEX(MO_IS_FirstRow,0,COLUMN())),0,IF(I20=N20,"CHECK",0))</f>
        <v>0</v>
      </c>
      <c r="O802" s="328">
        <f t="array" ref="O802">IF(ISBLANK(INDEX(MO_IS_FirstRow,0,COLUMN())),0,IF(J20=O20,"CHECK",0))</f>
        <v>0</v>
      </c>
      <c r="P802" s="328">
        <f t="array" ref="P802">IF(ISBLANK(INDEX(MO_IS_FirstRow,0,COLUMN())),0,IF(K20=P20,"CHECK",0))</f>
        <v>0</v>
      </c>
      <c r="Q802" s="328">
        <f t="array" ref="Q802">IF(ISBLANK(INDEX(MO_IS_FirstRow,0,COLUMN())),0,IF(L20=Q20,"CHECK",0))</f>
        <v>0</v>
      </c>
      <c r="R802" s="328">
        <f t="array" ref="R802">IF(ISBLANK(INDEX(MO_IS_FirstRow,0,COLUMN())),0,IF(M20=R20,"CHECK",0))</f>
        <v>0</v>
      </c>
      <c r="S802" s="328">
        <f t="array" ref="S802">IF(ISBLANK(INDEX(MO_IS_FirstRow,0,COLUMN())),0,IF(N20=S20,"CHECK",0))</f>
        <v>0</v>
      </c>
      <c r="T802" s="328">
        <f t="array" ref="T802">IF(ISBLANK(INDEX(MO_IS_FirstRow,0,COLUMN())),0,IF(O20=T20,"CHECK",0))</f>
        <v>0</v>
      </c>
      <c r="U802" s="328">
        <f t="array" ref="U802">IF(ISBLANK(INDEX(MO_IS_FirstRow,0,COLUMN())),0,IF(P20=U20,"CHECK",0))</f>
        <v>0</v>
      </c>
      <c r="V802" s="328">
        <f t="array" ref="V802">IF(ISBLANK(INDEX(MO_IS_FirstRow,0,COLUMN())),0,IF(Q20=V20,"CHECK",0))</f>
        <v>0</v>
      </c>
      <c r="W802" s="328">
        <f t="array" ref="W802">IF(ISBLANK(INDEX(MO_IS_FirstRow,0,COLUMN())),0,IF(R20=W20,"CHECK",0))</f>
        <v>0</v>
      </c>
      <c r="X802" s="328">
        <f t="array" ref="X802">IF(ISBLANK(INDEX(MO_IS_FirstRow,0,COLUMN())),0,IF(S20=X20,"CHECK",0))</f>
        <v>0</v>
      </c>
      <c r="Y802" s="328" t="str">
        <f t="array" ref="Y802">IF(ISBLANK(INDEX(MO_IS_FirstRow,0,COLUMN())),0,IF(T20=Y20,"CHECK",0))</f>
        <v>CHECK</v>
      </c>
      <c r="Z802" s="328">
        <f t="array" ref="Z802">IF(ISBLANK(INDEX(MO_IS_FirstRow,0,COLUMN())),0,IF(U20=Z20,"CHECK",0))</f>
        <v>0</v>
      </c>
      <c r="AA802" s="328">
        <f t="array" ref="AA802">IF(ISBLANK(INDEX(MO_IS_FirstRow,0,COLUMN())),0,IF(V20=AA20,"CHECK",0))</f>
        <v>0</v>
      </c>
      <c r="AB802" s="328">
        <f t="array" ref="AB802">IF(ISBLANK(INDEX(MO_IS_FirstRow,0,COLUMN())),0,IF(W20=AB20,"CHECK",0))</f>
        <v>0</v>
      </c>
      <c r="AC802" s="328">
        <f t="array" ref="AC802">IF(ISBLANK(INDEX(MO_IS_FirstRow,0,COLUMN())),0,IF(X20=AC20,"CHECK",0))</f>
        <v>0</v>
      </c>
      <c r="AD802" s="328">
        <f t="array" ref="AD802">IF(ISBLANK(INDEX(MO_IS_FirstRow,0,COLUMN())),0,IF(Y20=AD20,"CHECK",0))</f>
        <v>0</v>
      </c>
      <c r="AE802" s="328">
        <f t="array" ref="AE802">IF(ISBLANK(INDEX(MO_IS_FirstRow,0,COLUMN())),0,IF(Z20=AE20,"CHECK",0))</f>
        <v>0</v>
      </c>
      <c r="AF802" s="328">
        <f t="array" ref="AF802">IF(ISBLANK(INDEX(MO_IS_FirstRow,0,COLUMN())),0,IF(AA20=AF20,"CHECK",0))</f>
        <v>0</v>
      </c>
      <c r="AG802" s="328">
        <f t="array" ref="AG802">IF(ISBLANK(INDEX(MO_IS_FirstRow,0,COLUMN())),0,IF(AB20=AG20,"CHECK",0))</f>
        <v>0</v>
      </c>
      <c r="AH802" s="328">
        <f t="array" ref="AH802">IF(ISBLANK(INDEX(MO_IS_FirstRow,0,COLUMN())),0,IF(AC20=AH20,"CHECK",0))</f>
        <v>0</v>
      </c>
      <c r="AI802" s="328">
        <f t="array" ref="AI802">IF(ISBLANK(INDEX(MO_IS_FirstRow,0,COLUMN())),0,IF(AD20=AI20,"CHECK",0))</f>
        <v>0</v>
      </c>
      <c r="AJ802" s="328">
        <f t="array" ref="AJ802">IF(ISBLANK(INDEX(MO_IS_FirstRow,0,COLUMN())),0,IF(AE20=AJ20,"CHECK",0))</f>
        <v>0</v>
      </c>
      <c r="AK802" s="328">
        <f t="array" ref="AK802">IF(ISBLANK(INDEX(MO_IS_FirstRow,0,COLUMN())),0,IF(AF20=AK20,"CHECK",0))</f>
        <v>0</v>
      </c>
      <c r="AL802" s="328">
        <f t="array" ref="AL802">IF(ISBLANK(INDEX(MO_IS_FirstRow,0,COLUMN())),0,IF(AG20=AL20,"CHECK",0))</f>
        <v>0</v>
      </c>
      <c r="AM802" s="328">
        <f t="array" ref="AM802">IF(ISBLANK(INDEX(MO_IS_FirstRow,0,COLUMN())),0,IF(AH20=AM20,"CHECK",0))</f>
        <v>0</v>
      </c>
      <c r="AN802" s="328">
        <f t="array" ref="AN802">IF(ISBLANK(INDEX(MO_IS_FirstRow,0,COLUMN())),0,IF(AI20=AN20,"CHECK",0))</f>
        <v>0</v>
      </c>
      <c r="AO802" s="328">
        <f t="array" ref="AO802">IF(ISBLANK(INDEX(MO_IS_FirstRow,0,COLUMN())),0,IF(AJ20=AO20,"CHECK",0))</f>
        <v>0</v>
      </c>
      <c r="AP802" s="328">
        <f t="array" ref="AP802">IF(ISBLANK(INDEX(MO_IS_FirstRow,0,COLUMN())),0,IF(AK20=AP20,"CHECK",0))</f>
        <v>0</v>
      </c>
      <c r="AQ802" s="328">
        <f t="array" ref="AQ802">IF(ISBLANK(INDEX(MO_IS_FirstRow,0,COLUMN())),0,IF(AL20=AQ20,"CHECK",0))</f>
        <v>0</v>
      </c>
      <c r="AR802" s="328">
        <f t="array" ref="AR802">IF(ISBLANK(INDEX(MO_IS_FirstRow,0,COLUMN())),0,IF(AM20=AR20,"CHECK",0))</f>
        <v>0</v>
      </c>
      <c r="AS802" s="328">
        <f t="array" ref="AS802">IF(ISBLANK(INDEX(MO_IS_FirstRow,0,COLUMN())),0,IF(AN20=AS20,"CHECK",0))</f>
        <v>0</v>
      </c>
      <c r="AT802" s="328">
        <f t="array" ref="AT802">IF(ISBLANK(INDEX(MO_IS_FirstRow,0,COLUMN())),0,IF(AO20=AT20,"CHECK",0))</f>
        <v>0</v>
      </c>
      <c r="AU802" s="328">
        <f t="array" ref="AU802">IF(ISBLANK(INDEX(MO_IS_FirstRow,0,COLUMN())),0,IF(AP20=AU20,"CHECK",0))</f>
        <v>0</v>
      </c>
      <c r="AV802" s="328">
        <f t="array" ref="AV802">IF(ISBLANK(INDEX(MO_IS_FirstRow,0,COLUMN())),0,IF(AQ20=AV20,"CHECK",0))</f>
        <v>0</v>
      </c>
      <c r="AW802" s="328">
        <f t="array" ref="AW802">IF(ISBLANK(INDEX(MO_IS_FirstRow,0,COLUMN())),0,IF(AR20=AW20,"CHECK",0))</f>
        <v>0</v>
      </c>
      <c r="AX802" s="328">
        <f t="array" ref="AX802">IF(ISBLANK(INDEX(MO_IS_FirstRow,0,COLUMN())),0,IF(AS20=AX20,"CHECK",0))</f>
        <v>0</v>
      </c>
      <c r="AY802" s="328">
        <f t="array" ref="AY802">IF(ISBLANK(INDEX(MO_IS_FirstRow,0,COLUMN())),0,IF(AT20=AY20,"CHECK",0))</f>
        <v>0</v>
      </c>
      <c r="AZ802" s="328">
        <f t="array" ref="AZ802">IF(ISBLANK(INDEX(MO_IS_FirstRow,0,COLUMN())),0,IF(AU20=AZ20,"CHECK",0))</f>
        <v>0</v>
      </c>
      <c r="BA802" s="328">
        <f t="array" ref="BA802">IF(ISBLANK(INDEX(MO_IS_FirstRow,0,COLUMN())),0,IF(AV20=BA20,"CHECK",0))</f>
        <v>0</v>
      </c>
      <c r="BB802" s="328">
        <f t="array" ref="BB802">IF(ISBLANK(INDEX(MO_IS_FirstRow,0,COLUMN())),0,IF(AW20=BB20,"CHECK",0))</f>
        <v>0</v>
      </c>
      <c r="BC802" s="328">
        <f t="array" ref="BC802">IF(ISBLANK(INDEX(MO_IS_FirstRow,0,COLUMN())),0,IF(AX20=BC20,"CHECK",0))</f>
        <v>0</v>
      </c>
      <c r="BD802" s="328">
        <f t="array" ref="BD802">IF(ISBLANK(INDEX(MO_IS_FirstRow,0,COLUMN())),0,IF(AY20=BD20,"CHECK",0))</f>
        <v>0</v>
      </c>
      <c r="BE802" s="328">
        <f t="array" ref="BE802">IF(ISBLANK(INDEX(MO_IS_FirstRow,0,COLUMN())),0,IF(AZ20=BE20,"CHECK",0))</f>
        <v>0</v>
      </c>
      <c r="BF802" s="328">
        <f t="array" ref="BF802">IF(ISBLANK(INDEX(MO_IS_FirstRow,0,COLUMN())),0,IF(BA20=BF20,"CHECK",0))</f>
        <v>0</v>
      </c>
      <c r="BG802" s="328">
        <f t="array" ref="BG802">IF(ISBLANK(INDEX(MO_IS_FirstRow,0,COLUMN())),0,IF(BB20=BG20,"CHECK",0))</f>
        <v>0</v>
      </c>
      <c r="BH802" s="328">
        <f t="array" ref="BH802">IF(ISBLANK(INDEX(MO_IS_FirstRow,0,COLUMN())),0,IF(BC20=BH20,"CHECK",0))</f>
        <v>0</v>
      </c>
      <c r="BI802" s="329">
        <f t="array" ref="BI802">IF(ISBLANK(INDEX(MO_IS_FirstRow,0,COLUMN())),0,IF(BD20=BI20,"CHECK",0))</f>
        <v>0</v>
      </c>
      <c r="BJ802" s="328">
        <f t="array" ref="BJ802">IF(ISBLANK(INDEX(MO_IS_FirstRow,0,COLUMN())),0,IF(BE20=BJ20,"CHECK",0))</f>
        <v>0</v>
      </c>
      <c r="BK802" s="328">
        <f t="array" ref="BK802">IF(ISBLANK(INDEX(MO_IS_FirstRow,0,COLUMN())),0,IF(BF20=BK20,"CHECK",0))</f>
        <v>0</v>
      </c>
      <c r="BL802" s="328">
        <f t="array" ref="BL802">IF(ISBLANK(INDEX(MO_IS_FirstRow,0,COLUMN())),0,IF(BG20=BL20,"CHECK",0))</f>
        <v>0</v>
      </c>
      <c r="BM802" s="328">
        <f t="array" ref="BM802">IF(ISBLANK(INDEX(MO_IS_FirstRow,0,COLUMN())),0,IF(BH20=BM20,"CHECK",0))</f>
        <v>0</v>
      </c>
      <c r="BN802" s="328">
        <f t="array" ref="BN802">IF(ISBLANK(INDEX(MO_IS_FirstRow,0,COLUMN())),0,IF(BI20=BN20,"CHECK",0))</f>
        <v>0</v>
      </c>
      <c r="BO802" s="328">
        <f t="array" ref="BO802">IF(ISBLANK(INDEX(MO_IS_FirstRow,0,COLUMN())),0,IF(BJ20=BO20,"CHECK",0))</f>
        <v>0</v>
      </c>
      <c r="BP802" s="328">
        <f t="array" ref="BP802">IF(ISBLANK(INDEX(MO_IS_FirstRow,0,COLUMN())),0,IF(BK20=BP20,"CHECK",0))</f>
        <v>0</v>
      </c>
      <c r="BQ802" s="328">
        <f t="array" ref="BQ802">IF(ISBLANK(INDEX(MO_IS_FirstRow,0,COLUMN())),0,IF(BL20=BQ20,"CHECK",0))</f>
        <v>0</v>
      </c>
      <c r="BR802" s="328">
        <f t="array" ref="BR802">IF(ISBLANK(INDEX(MO_IS_FirstRow,0,COLUMN())),0,IF(BM20=BR20,"CHECK",0))</f>
        <v>0</v>
      </c>
      <c r="BS802" s="328">
        <f t="array" ref="BS802">IF(ISBLANK(INDEX(MO_IS_FirstRow,0,COLUMN())),0,IF(BN20=BS20,"CHECK",0))</f>
        <v>0</v>
      </c>
      <c r="BT802" s="328">
        <f t="array" ref="BT802">IF(ISBLANK(INDEX(MO_IS_FirstRow,0,COLUMN())),0,IF(BE20=BT20,"CHECK",0))</f>
        <v>0</v>
      </c>
      <c r="BU802" s="328">
        <f t="array" ref="BU802">IF(ISBLANK(INDEX(MO_IS_FirstRow,0,COLUMN())),0,IF(BF20=BU20,"CHECK",0))</f>
        <v>0</v>
      </c>
      <c r="BV802" s="328">
        <f t="array" ref="BV802">IF(ISBLANK(INDEX(MO_IS_FirstRow,0,COLUMN())),0,IF(BG20=BV20,"CHECK",0))</f>
        <v>0</v>
      </c>
      <c r="BW802" s="4"/>
    </row>
    <row r="803" spans="1:75" ht="15.75" customHeight="1" x14ac:dyDescent="0.2">
      <c r="A803" s="4" t="s">
        <v>876</v>
      </c>
      <c r="B803" s="239"/>
      <c r="C803" s="328">
        <f t="array" ref="C803">IF(ISBLANK(INDEX(MO_IS_FirstRow,0,COLUMN())),0,IF(OR(C405=B405,C405=D405),"CHECK",0))</f>
        <v>0</v>
      </c>
      <c r="D803" s="328">
        <f t="array" ref="D803">IF(ISBLANK(INDEX(MO_IS_FirstRow,0,COLUMN())),0,IF(OR(D405=C405,D405=E405),"CHECK",0))</f>
        <v>0</v>
      </c>
      <c r="E803" s="328">
        <f t="array" ref="E803">IF(ISBLANK(INDEX(MO_IS_FirstRow,0,COLUMN())),0,IF(OR(E405=D405,E405=F405),"CHECK",0))</f>
        <v>0</v>
      </c>
      <c r="F803" s="328">
        <f t="array" ref="F803">IF(ISBLANK(INDEX(MO_IS_FirstRow,0,COLUMN())),0,IF(OR(F405=E405,F405=K405),"CHECK",0))</f>
        <v>0</v>
      </c>
      <c r="G803" s="328">
        <f t="array" ref="G803">IF(ISBLANK(INDEX(MO_IS_FirstRow,0,COLUMN())),0,IF(OR(G405=B405,G405=H405,G405=E405),"CHECK",0))</f>
        <v>0</v>
      </c>
      <c r="H803" s="328">
        <f t="array" ref="H803">IF(ISBLANK(INDEX(MO_IS_FirstRow,0,COLUMN())),0,IF(OR(H405=C405,H405=I405,H405=G405),"CHECK",0))</f>
        <v>0</v>
      </c>
      <c r="I803" s="328">
        <f t="array" ref="I803">IF(ISBLANK(INDEX(MO_IS_FirstRow,0,COLUMN())),0,IF(OR(I405=D405,I405=J405,I405=H405),"CHECK",0))</f>
        <v>0</v>
      </c>
      <c r="J803" s="328">
        <f t="array" ref="J803">IF(ISBLANK(INDEX(MO_IS_FirstRow,0,COLUMN())),0,IF(OR(J405=E405,J405=K405,J405=I405),"CHECK",0))</f>
        <v>0</v>
      </c>
      <c r="K803" s="328">
        <f t="array" ref="K803">IF(ISBLANK(INDEX(MO_IS_FirstRow,0,COLUMN())),0,IF(K405=F405,"CHECK",0))</f>
        <v>0</v>
      </c>
      <c r="L803" s="328">
        <f t="array" ref="L803">IF(ISBLANK(INDEX(MO_IS_FirstRow,0,COLUMN())),0,IF(OR(L405=G405,L405=M405,L405=J405),"CHECK",0))</f>
        <v>0</v>
      </c>
      <c r="M803" s="328">
        <f t="array" ref="M803">IF(ISBLANK(INDEX(MO_IS_FirstRow,0,COLUMN())),0,IF(OR(M405=H405,M405=N405,M405=L405),"CHECK",0))</f>
        <v>0</v>
      </c>
      <c r="N803" s="328">
        <f t="array" ref="N803">IF(ISBLANK(INDEX(MO_IS_FirstRow,0,COLUMN())),0,IF(OR(N405=I405,N405=O405,N405=M405),"CHECK",0))</f>
        <v>0</v>
      </c>
      <c r="O803" s="328">
        <f t="array" ref="O803">IF(ISBLANK(INDEX(MO_IS_FirstRow,0,COLUMN())),0,IF(OR(O405=J405,O405=P405,O405=N405),"CHECK",0))</f>
        <v>0</v>
      </c>
      <c r="P803" s="328">
        <f t="array" ref="P803">IF(ISBLANK(INDEX(MO_IS_FirstRow,0,COLUMN())),0,IF(P405=K405,"CHECK",0))</f>
        <v>0</v>
      </c>
      <c r="Q803" s="328">
        <f t="array" ref="Q803">IF(ISBLANK(INDEX(MO_IS_FirstRow,0,COLUMN())),0,IF(OR(Q405=L405,Q405=R405,Q405=O405),"CHECK",0))</f>
        <v>0</v>
      </c>
      <c r="R803" s="328">
        <f t="array" ref="R803">IF(ISBLANK(INDEX(MO_IS_FirstRow,0,COLUMN())),0,IF(OR(R405=M405,R405=S405,R405=Q405),"CHECK",0))</f>
        <v>0</v>
      </c>
      <c r="S803" s="328">
        <f t="array" ref="S803">IF(ISBLANK(INDEX(MO_IS_FirstRow,0,COLUMN())),0,IF(OR(S405=N405,S405=T405,S405=R405),"CHECK",0))</f>
        <v>0</v>
      </c>
      <c r="T803" s="328">
        <f t="array" ref="T803">IF(ISBLANK(INDEX(MO_IS_FirstRow,0,COLUMN())),0,IF(OR(T405=O405,T405=U405,T405=S405),"CHECK",0))</f>
        <v>0</v>
      </c>
      <c r="U803" s="328">
        <f t="array" ref="U803">IF(ISBLANK(INDEX(MO_IS_FirstRow,0,COLUMN())),0,IF(U405=P405,"CHECK",0))</f>
        <v>0</v>
      </c>
      <c r="V803" s="328">
        <f t="array" ref="V803">IF(ISBLANK(INDEX(MO_IS_FirstRow,0,COLUMN())),0,IF(OR(V405=Q405,V405=W405,V405=T405),"CHECK",0))</f>
        <v>0</v>
      </c>
      <c r="W803" s="328">
        <f t="array" ref="W803">IF(ISBLANK(INDEX(MO_IS_FirstRow,0,COLUMN())),0,IF(OR(W405=R405,W405=X405,W405=V405),"CHECK",0))</f>
        <v>0</v>
      </c>
      <c r="X803" s="328">
        <f t="array" ref="X803">IF(ISBLANK(INDEX(MO_IS_FirstRow,0,COLUMN())),0,IF(OR(X405=S405,X405=Y405,X405=W405),"CHECK",0))</f>
        <v>0</v>
      </c>
      <c r="Y803" s="328">
        <f t="array" ref="Y803">IF(ISBLANK(INDEX(MO_IS_FirstRow,0,COLUMN())),0,IF(OR(Y405=T405,Y405=Z405,Y405=X405),"CHECK",0))</f>
        <v>0</v>
      </c>
      <c r="Z803" s="328">
        <f t="array" ref="Z803">IF(ISBLANK(INDEX(MO_IS_FirstRow,0,COLUMN())),0,IF(Z405=U405,"CHECK",0))</f>
        <v>0</v>
      </c>
      <c r="AA803" s="328">
        <f t="array" ref="AA803">IF(ISBLANK(INDEX(MO_IS_FirstRow,0,COLUMN())),0,IF(OR(AA405=V405,AA405=AB405,AA405=Y405),"CHECK",0))</f>
        <v>0</v>
      </c>
      <c r="AB803" s="328">
        <f t="array" ref="AB803">IF(ISBLANK(INDEX(MO_IS_FirstRow,0,COLUMN())),0,IF(OR(AB405=W405,AB405=AC405,AB405=AA405),"CHECK",0))</f>
        <v>0</v>
      </c>
      <c r="AC803" s="328">
        <f t="array" ref="AC803">IF(ISBLANK(INDEX(MO_IS_FirstRow,0,COLUMN())),0,IF(OR(AC405=X405,AC405=AD405,AC405=AB405),"CHECK",0))</f>
        <v>0</v>
      </c>
      <c r="AD803" s="328">
        <f t="array" ref="AD803">IF(ISBLANK(INDEX(MO_IS_FirstRow,0,COLUMN())),0,IF(OR(AD405=Y405,AD405=AE405,AD405=AC405),"CHECK",0))</f>
        <v>0</v>
      </c>
      <c r="AE803" s="328">
        <f t="array" ref="AE803">IF(ISBLANK(INDEX(MO_IS_FirstRow,0,COLUMN())),0,IF(AE405=Z405,"CHECK",0))</f>
        <v>0</v>
      </c>
      <c r="AF803" s="328">
        <f t="array" ref="AF803">IF(ISBLANK(INDEX(MO_IS_FirstRow,0,COLUMN())),0,IF(OR(AF405=AA405,AF405=AG405,AF405=AD405),"CHECK",0))</f>
        <v>0</v>
      </c>
      <c r="AG803" s="328">
        <f t="array" ref="AG803">IF(ISBLANK(INDEX(MO_IS_FirstRow,0,COLUMN())),0,IF(OR(AG405=AB405,AG405=AH405,AG405=AF405),"CHECK",0))</f>
        <v>0</v>
      </c>
      <c r="AH803" s="328">
        <f t="array" ref="AH803">IF(ISBLANK(INDEX(MO_IS_FirstRow,0,COLUMN())),0,IF(OR(AH405=AC405,AH405=AI405,AH405=AG405),"CHECK",0))</f>
        <v>0</v>
      </c>
      <c r="AI803" s="328">
        <f t="array" ref="AI803">IF(ISBLANK(INDEX(MO_IS_FirstRow,0,COLUMN())),0,IF(OR(AI405=AD405,AI405=AJ405,AI405=AH405),"CHECK",0))</f>
        <v>0</v>
      </c>
      <c r="AJ803" s="328">
        <f t="array" ref="AJ803">IF(ISBLANK(INDEX(MO_IS_FirstRow,0,COLUMN())),0,IF(AJ405=AE405,"CHECK",0))</f>
        <v>0</v>
      </c>
      <c r="AK803" s="328">
        <f t="array" ref="AK803">IF(ISBLANK(INDEX(MO_IS_FirstRow,0,COLUMN())),0,IF(OR(AK405=AF405,AK405=AL405,AK405=AI405),"CHECK",0))</f>
        <v>0</v>
      </c>
      <c r="AL803" s="328">
        <f t="array" ref="AL803">IF(ISBLANK(INDEX(MO_IS_FirstRow,0,COLUMN())),0,IF(OR(AL405=AG405,AL405=AM405,AL405=AK405),"CHECK",0))</f>
        <v>0</v>
      </c>
      <c r="AM803" s="328">
        <f t="array" ref="AM803">IF(ISBLANK(INDEX(MO_IS_FirstRow,0,COLUMN())),0,IF(OR(AM405=AH405,AM405=AN405,AM405=AL405),"CHECK",0))</f>
        <v>0</v>
      </c>
      <c r="AN803" s="328">
        <f t="array" ref="AN803">IF(ISBLANK(INDEX(MO_IS_FirstRow,0,COLUMN())),0,IF(OR(AN405=AI405,AN405=AO405,AN405=AM405),"CHECK",0))</f>
        <v>0</v>
      </c>
      <c r="AO803" s="328">
        <f t="array" ref="AO803">IF(ISBLANK(INDEX(MO_IS_FirstRow,0,COLUMN())),0,IF(AO405=AJ405,"CHECK",0))</f>
        <v>0</v>
      </c>
      <c r="AP803" s="328">
        <f t="array" ref="AP803">IF(ISBLANK(INDEX(MO_IS_FirstRow,0,COLUMN())),0,IF(OR(AP405=AK405,AP405=AQ405,AP405=AN405),"CHECK",0))</f>
        <v>0</v>
      </c>
      <c r="AQ803" s="328">
        <f t="array" ref="AQ803">IF(ISBLANK(INDEX(MO_IS_FirstRow,0,COLUMN())),0,IF(OR(AQ405=AL405,AQ405=AR405,AQ405=AP405),"CHECK",0))</f>
        <v>0</v>
      </c>
      <c r="AR803" s="328">
        <f t="array" ref="AR803">IF(ISBLANK(INDEX(MO_IS_FirstRow,0,COLUMN())),0,IF(OR(AR405=AM405,AR405=AS405,AR405=AQ405),"CHECK",0))</f>
        <v>0</v>
      </c>
      <c r="AS803" s="328">
        <f t="array" ref="AS803">IF(ISBLANK(INDEX(MO_IS_FirstRow,0,COLUMN())),0,IF(OR(AS405=AN405,AS405=AT405,AS405=AR405),"CHECK",0))</f>
        <v>0</v>
      </c>
      <c r="AT803" s="328">
        <f t="array" ref="AT803">IF(ISBLANK(INDEX(MO_IS_FirstRow,0,COLUMN())),0,IF(AT405=AO405,"CHECK",0))</f>
        <v>0</v>
      </c>
      <c r="AU803" s="328">
        <f t="array" ref="AU803">IF(ISBLANK(INDEX(MO_IS_FirstRow,0,COLUMN())),0,IF(OR(AU405=AP405,AU405=AV405,AU405=AS405),"CHECK",0))</f>
        <v>0</v>
      </c>
      <c r="AV803" s="328">
        <f t="array" ref="AV803">IF(ISBLANK(INDEX(MO_IS_FirstRow,0,COLUMN())),0,IF(OR(AV405=AQ405,AV405=AW405,AV405=AU405),"CHECK",0))</f>
        <v>0</v>
      </c>
      <c r="AW803" s="328">
        <f t="array" ref="AW803">IF(ISBLANK(INDEX(MO_IS_FirstRow,0,COLUMN())),0,IF(OR(AW405=AR405,AW405=AX405,AW405=AV405),"CHECK",0))</f>
        <v>0</v>
      </c>
      <c r="AX803" s="328">
        <f t="array" ref="AX803">IF(ISBLANK(INDEX(MO_IS_FirstRow,0,COLUMN())),0,IF(OR(AX405=AS405,AX405=AY405,AX405=AW405),"CHECK",0))</f>
        <v>0</v>
      </c>
      <c r="AY803" s="328">
        <f t="array" ref="AY803">IF(ISBLANK(INDEX(MO_IS_FirstRow,0,COLUMN())),0,IF(AY405=AT405,"CHECK",0))</f>
        <v>0</v>
      </c>
      <c r="AZ803" s="328">
        <f t="array" ref="AZ803">IF(ISBLANK(INDEX(MO_IS_FirstRow,0,COLUMN())),0,IF(OR(AZ405=AU405,AZ405=BA405,AZ405=AX405),"CHECK",0))</f>
        <v>0</v>
      </c>
      <c r="BA803" s="328">
        <f t="array" ref="BA803">IF(ISBLANK(INDEX(MO_IS_FirstRow,0,COLUMN())),0,IF(OR(BA405=AV405,BA405=BB405,BA405=AZ405),"CHECK",0))</f>
        <v>0</v>
      </c>
      <c r="BB803" s="328">
        <f t="array" ref="BB803">IF(ISBLANK(INDEX(MO_IS_FirstRow,0,COLUMN())),0,IF(OR(BB405=AW405,BB405=BC405,BB405=BA405),"CHECK",0))</f>
        <v>0</v>
      </c>
      <c r="BC803" s="328">
        <f t="array" ref="BC803">IF(ISBLANK(INDEX(MO_IS_FirstRow,0,COLUMN())),0,IF(OR(BC405=AX405,BC405=BD405,BC405=BB405),"CHECK",0))</f>
        <v>0</v>
      </c>
      <c r="BD803" s="328">
        <f t="array" ref="BD803">IF(ISBLANK(INDEX(MO_IS_FirstRow,0,COLUMN())),0,IF(BD405=AY405,"CHECK",0))</f>
        <v>0</v>
      </c>
      <c r="BE803" s="328">
        <f t="array" ref="BE803">IF(ISBLANK(INDEX(MO_IS_FirstRow,0,COLUMN())),0,IF(OR(BE405=AZ405,BE405=BF405,BE405=BC405),"CHECK",0))</f>
        <v>0</v>
      </c>
      <c r="BF803" s="328">
        <f t="array" ref="BF803">IF(ISBLANK(INDEX(MO_IS_FirstRow,0,COLUMN())),0,IF(OR(BF405=BA405,BF405=BG405,BF405=BE405),"CHECK",0))</f>
        <v>0</v>
      </c>
      <c r="BG803" s="328">
        <f t="array" ref="BG803">IF(ISBLANK(INDEX(MO_IS_FirstRow,0,COLUMN())),0,IF(OR(BG405=BB405,BG405=BH405,BG405=BF405),"CHECK",0))</f>
        <v>0</v>
      </c>
      <c r="BH803" s="328">
        <f t="array" ref="BH803">IF(ISBLANK(INDEX(MO_IS_FirstRow,0,COLUMN())),0,IF(OR(BH405=BC405,BH405=BI405,BH405=BG405),"CHECK",0))</f>
        <v>0</v>
      </c>
      <c r="BI803" s="329">
        <f t="array" ref="BI803">IF(ISBLANK(INDEX(MO_IS_FirstRow,0,COLUMN())),0,IF(BI405=BD405,"CHECK",0))</f>
        <v>0</v>
      </c>
      <c r="BJ803" s="328"/>
      <c r="BK803" s="328"/>
      <c r="BL803" s="328"/>
      <c r="BM803" s="328"/>
      <c r="BN803" s="328"/>
      <c r="BO803" s="328"/>
      <c r="BP803" s="328"/>
      <c r="BQ803" s="328"/>
      <c r="BR803" s="328"/>
      <c r="BS803" s="328"/>
      <c r="BT803" s="328"/>
      <c r="BU803" s="328"/>
      <c r="BV803" s="328"/>
      <c r="BW803" s="4"/>
    </row>
    <row r="804" spans="1:75" ht="15.75" customHeight="1" x14ac:dyDescent="0.2">
      <c r="A804" s="4" t="s">
        <v>877</v>
      </c>
      <c r="B804" s="239"/>
      <c r="C804" s="328">
        <f t="shared" ref="C804:E804" si="1792">IF(OR(C761=B761,C761=D761),"CHECK",0)</f>
        <v>0</v>
      </c>
      <c r="D804" s="328">
        <f t="shared" si="1792"/>
        <v>0</v>
      </c>
      <c r="E804" s="328">
        <f t="shared" si="1792"/>
        <v>0</v>
      </c>
      <c r="F804" s="328">
        <f>IF(OR(F761=E761,F761=K761),"CHECK",0)</f>
        <v>0</v>
      </c>
      <c r="G804" s="328">
        <f>IF(OR(G761=B761,G761=H761,G761=E761),"CHECK",0)</f>
        <v>0</v>
      </c>
      <c r="H804" s="328">
        <f t="shared" ref="H804:I804" si="1793">IF(OR(H761=C761,H761=I761,H761=G761),"CHECK",0)</f>
        <v>0</v>
      </c>
      <c r="I804" s="328">
        <f t="shared" si="1793"/>
        <v>0</v>
      </c>
      <c r="J804" s="328">
        <f>IF(OR(J761=E761,J761=I761),"CHECK",0)</f>
        <v>0</v>
      </c>
      <c r="K804" s="328">
        <f>IF(K761=F761,"CHECK",0)</f>
        <v>0</v>
      </c>
      <c r="L804" s="328">
        <f>IF(OR(L761=G761,L761=M761,L761=J761),"CHECK",0)</f>
        <v>0</v>
      </c>
      <c r="M804" s="328">
        <f>IF(OR(M761=H761,M761=N761,M761=L761),"CHECK",0)</f>
        <v>0</v>
      </c>
      <c r="N804" s="328">
        <f>IF(OR(N761=I761,N761=O761,N761=M761),"CHECK",0)</f>
        <v>0</v>
      </c>
      <c r="O804" s="328">
        <f>IF(OR(O761=J761,O761=N761),"CHECK",0)</f>
        <v>0</v>
      </c>
      <c r="P804" s="328">
        <f>IF(P761=K761,"CHECK",0)</f>
        <v>0</v>
      </c>
      <c r="Q804" s="328">
        <f>IF(OR(Q761=L761,Q761=R761,Q761=O761),"CHECK",0)</f>
        <v>0</v>
      </c>
      <c r="R804" s="328">
        <f>IF(OR(R761=M761,R761=S761,R761=Q761),"CHECK",0)</f>
        <v>0</v>
      </c>
      <c r="S804" s="328">
        <f>IF(OR(S761=N761,S761=T761,S761=R761),"CHECK",0)</f>
        <v>0</v>
      </c>
      <c r="T804" s="328">
        <f>IF(OR(T761=O761,T761=S761),"CHECK",0)</f>
        <v>0</v>
      </c>
      <c r="U804" s="328">
        <f>IF(U761=P761,"CHECK",0)</f>
        <v>0</v>
      </c>
      <c r="V804" s="328">
        <f>IF(OR(V761=Q761,V761=W761,V761=T761),"CHECK",0)</f>
        <v>0</v>
      </c>
      <c r="W804" s="328">
        <f t="shared" ref="W804:X804" si="1794">IF(OR(W761=R761,W761=X761,W761=V761),"CHECK",0)</f>
        <v>0</v>
      </c>
      <c r="X804" s="328">
        <f t="shared" si="1794"/>
        <v>0</v>
      </c>
      <c r="Y804" s="328">
        <f>IF(OR(Y761=T761,Y761=X761),"CHECK",0)</f>
        <v>0</v>
      </c>
      <c r="Z804" s="328">
        <f>IF(Z761=U761,"CHECK",0)</f>
        <v>0</v>
      </c>
      <c r="AA804" s="328">
        <f>IF(OR(AA761=V761,AA761=AB761,AA761=Y761),"CHECK",0)</f>
        <v>0</v>
      </c>
      <c r="AB804" s="328">
        <f t="shared" ref="AB804:AC804" si="1795">IF(OR(AB761=W761,AB761=AC761,AB761=AA761),"CHECK",0)</f>
        <v>0</v>
      </c>
      <c r="AC804" s="328">
        <f t="shared" si="1795"/>
        <v>0</v>
      </c>
      <c r="AD804" s="328">
        <f>IF(OR(AD761=Y761,AD761=AC761),"CHECK",0)</f>
        <v>0</v>
      </c>
      <c r="AE804" s="328">
        <f>IF(AE761=Z761,"CHECK",0)</f>
        <v>0</v>
      </c>
      <c r="AF804" s="328">
        <f>IF(OR(AF761=AA761,AF761=AG761,AF761=AD761),"CHECK",0)</f>
        <v>0</v>
      </c>
      <c r="AG804" s="328">
        <f t="shared" ref="AG804:AH804" si="1796">IF(OR(AG761=AB761,AG761=AH761,AG761=AF761),"CHECK",0)</f>
        <v>0</v>
      </c>
      <c r="AH804" s="328">
        <f t="shared" si="1796"/>
        <v>0</v>
      </c>
      <c r="AI804" s="328">
        <f>IF(OR(AI761=AD761,AI761=AH761),"CHECK",0)</f>
        <v>0</v>
      </c>
      <c r="AJ804" s="328">
        <f>IF(AJ761=AE761,"CHECK",0)</f>
        <v>0</v>
      </c>
      <c r="AK804" s="328">
        <f>IF(OR(AK761=AF761,AK761=AL761,AK761=AI761),"CHECK",0)</f>
        <v>0</v>
      </c>
      <c r="AL804" s="328">
        <f t="shared" ref="AL804:AM804" si="1797">IF(OR(AL761=AG761,AL761=AM761,AL761=AK761),"CHECK",0)</f>
        <v>0</v>
      </c>
      <c r="AM804" s="328">
        <f t="shared" si="1797"/>
        <v>0</v>
      </c>
      <c r="AN804" s="328">
        <f>IF(OR(AN761=AI761,AN761=AM761),"CHECK",0)</f>
        <v>0</v>
      </c>
      <c r="AO804" s="328">
        <f>IF(AO761=AJ761,"CHECK",0)</f>
        <v>0</v>
      </c>
      <c r="AP804" s="328">
        <f>IF(OR(AP761=AK761,AP761=AQ761,AP761=AN761),"CHECK",0)</f>
        <v>0</v>
      </c>
      <c r="AQ804" s="328">
        <f t="shared" ref="AQ804:AR804" si="1798">IF(OR(AQ761=AL761,AQ761=AR761,AQ761=AP761),"CHECK",0)</f>
        <v>0</v>
      </c>
      <c r="AR804" s="328">
        <f t="shared" si="1798"/>
        <v>0</v>
      </c>
      <c r="AS804" s="328">
        <f>IF(OR(AS761=AN761,AS761=AR761),"CHECK",0)</f>
        <v>0</v>
      </c>
      <c r="AT804" s="328">
        <f>IF(AT761=AO761,"CHECK",0)</f>
        <v>0</v>
      </c>
      <c r="AU804" s="328">
        <f>IF(OR(AU761=AP761,AU761=AV761,AU761=AS761),"CHECK",0)</f>
        <v>0</v>
      </c>
      <c r="AV804" s="328">
        <f t="shared" ref="AV804:AW804" si="1799">IF(OR(AV761=AQ761,AV761=AW761,AV761=AU761),"CHECK",0)</f>
        <v>0</v>
      </c>
      <c r="AW804" s="328">
        <f t="shared" si="1799"/>
        <v>0</v>
      </c>
      <c r="AX804" s="328">
        <f>IF(OR(AX761=AS761,AX761=AW761),"CHECK",0)</f>
        <v>0</v>
      </c>
      <c r="AY804" s="328">
        <f>IF(AY761=AT761,"CHECK",0)</f>
        <v>0</v>
      </c>
      <c r="AZ804" s="328">
        <f>IF(OR(AZ761=AU761,AZ761=BA761,AZ761=AX761),"CHECK",0)</f>
        <v>0</v>
      </c>
      <c r="BA804" s="328">
        <f t="shared" ref="BA804:BB804" si="1800">IF(OR(BA761=AV761,BA761=BB761,BA761=AZ761),"CHECK",0)</f>
        <v>0</v>
      </c>
      <c r="BB804" s="328">
        <f t="shared" si="1800"/>
        <v>0</v>
      </c>
      <c r="BC804" s="328">
        <f>IF(OR(BC761=AX761,BC761=BB761),"CHECK",0)</f>
        <v>0</v>
      </c>
      <c r="BD804" s="328">
        <f>IF(BD761=AY761,"CHECK",0)</f>
        <v>0</v>
      </c>
      <c r="BE804" s="328">
        <f>IF(OR(BE761=AZ761,BE761=BF761,BE761=BC761),"CHECK",0)</f>
        <v>0</v>
      </c>
      <c r="BF804" s="328">
        <f t="shared" ref="BF804:BG804" si="1801">IF(OR(BF761=BA761,BF761=BG761,BF761=BE761),"CHECK",0)</f>
        <v>0</v>
      </c>
      <c r="BG804" s="328">
        <f t="shared" si="1801"/>
        <v>0</v>
      </c>
      <c r="BH804" s="328">
        <f>IF(OR(BH761=BC761,BH761=BG761),"CHECK",0)</f>
        <v>0</v>
      </c>
      <c r="BI804" s="329">
        <f>IF(BI761=BD761,"CHECK",0)</f>
        <v>0</v>
      </c>
      <c r="BJ804" s="328"/>
      <c r="BK804" s="328"/>
      <c r="BL804" s="328"/>
      <c r="BM804" s="328"/>
      <c r="BN804" s="328"/>
      <c r="BO804" s="328"/>
      <c r="BP804" s="328"/>
      <c r="BQ804" s="328"/>
      <c r="BR804" s="328"/>
      <c r="BS804" s="328"/>
      <c r="BT804" s="328"/>
      <c r="BU804" s="328"/>
      <c r="BV804" s="328"/>
      <c r="BW804" s="4"/>
    </row>
    <row r="805" spans="1:75" ht="15.75" customHeight="1" x14ac:dyDescent="0.2">
      <c r="A805" s="4" t="s">
        <v>878</v>
      </c>
      <c r="B805" s="239"/>
      <c r="C805" s="328">
        <f t="array" ref="C805">IF(ISBLANK(INDEX(MO_IS_FirstRow,0,COLUMN())),0,ROUND(C699-C628,6))</f>
        <v>0</v>
      </c>
      <c r="D805" s="328">
        <f t="array" ref="D805">IF(ISBLANK(INDEX(MO_IS_FirstRow,0,COLUMN())),0,ROUND(D699-D628,6))</f>
        <v>0</v>
      </c>
      <c r="E805" s="328">
        <f t="array" ref="E805">IF(ISBLANK(INDEX(MO_IS_FirstRow,0,COLUMN())),0,ROUND(E699-E628,6))</f>
        <v>0</v>
      </c>
      <c r="F805" s="328">
        <f t="array" ref="F805">IF(ISBLANK(INDEX(MO_IS_FirstRow,0,COLUMN())),0,ROUND(F699-F628,6))</f>
        <v>0</v>
      </c>
      <c r="G805" s="328">
        <f t="array" ref="G805">IF(ISBLANK(INDEX(MO_IS_FirstRow,0,COLUMN())),0,ROUND(G699-G628,6))</f>
        <v>0</v>
      </c>
      <c r="H805" s="328">
        <f t="array" ref="H805">IF(ISBLANK(INDEX(MO_IS_FirstRow,0,COLUMN())),0,ROUND(H699-H628,6))</f>
        <v>0</v>
      </c>
      <c r="I805" s="328">
        <f t="array" ref="I805">IF(ISBLANK(INDEX(MO_IS_FirstRow,0,COLUMN())),0,ROUND(I699-I628,6))</f>
        <v>0</v>
      </c>
      <c r="J805" s="328">
        <f t="array" ref="J805">IF(ISBLANK(INDEX(MO_IS_FirstRow,0,COLUMN())),0,ROUND(J699-J628,6))</f>
        <v>0</v>
      </c>
      <c r="K805" s="328">
        <f t="array" ref="K805">IF(ISBLANK(INDEX(MO_IS_FirstRow,0,COLUMN())),0,ROUND(K699-K628,6))</f>
        <v>0</v>
      </c>
      <c r="L805" s="328">
        <f t="array" ref="L805">IF(ISBLANK(INDEX(MO_IS_FirstRow,0,COLUMN())),0,ROUND(L699-L628,6))</f>
        <v>0</v>
      </c>
      <c r="M805" s="328">
        <f t="array" ref="M805">IF(ISBLANK(INDEX(MO_IS_FirstRow,0,COLUMN())),0,ROUND(M699-M628,6))</f>
        <v>0</v>
      </c>
      <c r="N805" s="328">
        <f t="array" ref="N805">IF(ISBLANK(INDEX(MO_IS_FirstRow,0,COLUMN())),0,ROUND(N699-N628,6))</f>
        <v>0</v>
      </c>
      <c r="O805" s="328">
        <f t="array" ref="O805">IF(ISBLANK(INDEX(MO_IS_FirstRow,0,COLUMN())),0,ROUND(O699-O628,6))</f>
        <v>0</v>
      </c>
      <c r="P805" s="328">
        <f t="array" ref="P805">IF(ISBLANK(INDEX(MO_IS_FirstRow,0,COLUMN())),0,ROUND(P699-P628,6))</f>
        <v>0</v>
      </c>
      <c r="Q805" s="328">
        <f t="array" ref="Q805">IF(ISBLANK(INDEX(MO_IS_FirstRow,0,COLUMN())),0,ROUND(Q699-Q628,6))</f>
        <v>0</v>
      </c>
      <c r="R805" s="328">
        <f t="array" ref="R805">IF(ISBLANK(INDEX(MO_IS_FirstRow,0,COLUMN())),0,ROUND(R699-R628,6))</f>
        <v>0</v>
      </c>
      <c r="S805" s="328">
        <f t="array" ref="S805">IF(ISBLANK(INDEX(MO_IS_FirstRow,0,COLUMN())),0,ROUND(S699-S628,6))</f>
        <v>0</v>
      </c>
      <c r="T805" s="328">
        <f t="array" ref="T805">IF(ISBLANK(INDEX(MO_IS_FirstRow,0,COLUMN())),0,ROUND(T699-T628,6))</f>
        <v>0</v>
      </c>
      <c r="U805" s="328">
        <f t="array" ref="U805">IF(ISBLANK(INDEX(MO_IS_FirstRow,0,COLUMN())),0,ROUND(U699-U628,6))</f>
        <v>0</v>
      </c>
      <c r="V805" s="328">
        <f t="array" ref="V805">IF(ISBLANK(INDEX(MO_IS_FirstRow,0,COLUMN())),0,ROUND(V699-V628,6))</f>
        <v>0</v>
      </c>
      <c r="W805" s="328">
        <f t="array" ref="W805">IF(ISBLANK(INDEX(MO_IS_FirstRow,0,COLUMN())),0,ROUND(W699-W628,6))</f>
        <v>0</v>
      </c>
      <c r="X805" s="328">
        <f t="array" ref="X805">IF(ISBLANK(INDEX(MO_IS_FirstRow,0,COLUMN())),0,ROUND(X699-X628,6))</f>
        <v>0</v>
      </c>
      <c r="Y805" s="328">
        <f t="array" ref="Y805">IF(ISBLANK(INDEX(MO_IS_FirstRow,0,COLUMN())),0,ROUND(Y699-Y628,6))</f>
        <v>0</v>
      </c>
      <c r="Z805" s="328">
        <f t="array" ref="Z805">IF(ISBLANK(INDEX(MO_IS_FirstRow,0,COLUMN())),0,ROUND(Z699-Z628,6))</f>
        <v>0</v>
      </c>
      <c r="AA805" s="328">
        <f t="array" ref="AA805">IF(ISBLANK(INDEX(MO_IS_FirstRow,0,COLUMN())),0,ROUND(AA699-AA628,6))</f>
        <v>0</v>
      </c>
      <c r="AB805" s="328">
        <f t="array" ref="AB805">IF(ISBLANK(INDEX(MO_IS_FirstRow,0,COLUMN())),0,ROUND(AB699-AB628,6))</f>
        <v>0</v>
      </c>
      <c r="AC805" s="328">
        <f t="array" ref="AC805">IF(ISBLANK(INDEX(MO_IS_FirstRow,0,COLUMN())),0,ROUND(AC699-AC628,6))</f>
        <v>0</v>
      </c>
      <c r="AD805" s="328">
        <f t="array" ref="AD805">IF(ISBLANK(INDEX(MO_IS_FirstRow,0,COLUMN())),0,ROUND(AD699-AD628,6))</f>
        <v>0</v>
      </c>
      <c r="AE805" s="328">
        <f t="array" ref="AE805">IF(ISBLANK(INDEX(MO_IS_FirstRow,0,COLUMN())),0,ROUND(AE699-AE628,6))</f>
        <v>0</v>
      </c>
      <c r="AF805" s="328">
        <f t="array" ref="AF805">IF(ISBLANK(INDEX(MO_IS_FirstRow,0,COLUMN())),0,ROUND(AF699-AF628,6))</f>
        <v>0</v>
      </c>
      <c r="AG805" s="328">
        <f t="array" ref="AG805">IF(ISBLANK(INDEX(MO_IS_FirstRow,0,COLUMN())),0,ROUND(AG699-AG628,6))</f>
        <v>0</v>
      </c>
      <c r="AH805" s="328">
        <f t="array" ref="AH805">IF(ISBLANK(INDEX(MO_IS_FirstRow,0,COLUMN())),0,ROUND(AH699-AH628,6))</f>
        <v>0</v>
      </c>
      <c r="AI805" s="328">
        <f t="array" ref="AI805">IF(ISBLANK(INDEX(MO_IS_FirstRow,0,COLUMN())),0,ROUND(AI699-AI628,6))</f>
        <v>0</v>
      </c>
      <c r="AJ805" s="328">
        <f t="array" ref="AJ805">IF(ISBLANK(INDEX(MO_IS_FirstRow,0,COLUMN())),0,ROUND(AJ699-AJ628,6))</f>
        <v>0</v>
      </c>
      <c r="AK805" s="328">
        <f t="array" ref="AK805">IF(ISBLANK(INDEX(MO_IS_FirstRow,0,COLUMN())),0,ROUND(AK699-AK628,6))</f>
        <v>0</v>
      </c>
      <c r="AL805" s="328">
        <f t="array" ref="AL805">IF(ISBLANK(INDEX(MO_IS_FirstRow,0,COLUMN())),0,ROUND(AL699-AL628,6))</f>
        <v>0</v>
      </c>
      <c r="AM805" s="328">
        <f t="array" ref="AM805">IF(ISBLANK(INDEX(MO_IS_FirstRow,0,COLUMN())),0,ROUND(AM699-AM628,6))</f>
        <v>0</v>
      </c>
      <c r="AN805" s="328">
        <f t="array" ref="AN805">IF(ISBLANK(INDEX(MO_IS_FirstRow,0,COLUMN())),0,ROUND(AN699-AN628,6))</f>
        <v>0</v>
      </c>
      <c r="AO805" s="328">
        <f t="array" ref="AO805">IF(ISBLANK(INDEX(MO_IS_FirstRow,0,COLUMN())),0,ROUND(AO699-AO628,6))</f>
        <v>0</v>
      </c>
      <c r="AP805" s="328">
        <f t="array" ref="AP805">IF(ISBLANK(INDEX(MO_IS_FirstRow,0,COLUMN())),0,ROUND(AP699-AP628,6))</f>
        <v>0</v>
      </c>
      <c r="AQ805" s="328">
        <f t="array" ref="AQ805">IF(ISBLANK(INDEX(MO_IS_FirstRow,0,COLUMN())),0,ROUND(AQ699-AQ628,6))</f>
        <v>0</v>
      </c>
      <c r="AR805" s="328">
        <f t="array" ref="AR805">IF(ISBLANK(INDEX(MO_IS_FirstRow,0,COLUMN())),0,ROUND(AR699-AR628,6))</f>
        <v>0</v>
      </c>
      <c r="AS805" s="328">
        <f t="array" ref="AS805">IF(ISBLANK(INDEX(MO_IS_FirstRow,0,COLUMN())),0,ROUND(AS699-AS628,6))</f>
        <v>0</v>
      </c>
      <c r="AT805" s="328">
        <f t="array" ref="AT805">IF(ISBLANK(INDEX(MO_IS_FirstRow,0,COLUMN())),0,ROUND(AT699-AT628,6))</f>
        <v>0</v>
      </c>
      <c r="AU805" s="328">
        <f t="array" ref="AU805">IF(ISBLANK(INDEX(MO_IS_FirstRow,0,COLUMN())),0,ROUND(AU699-AU628,6))</f>
        <v>0</v>
      </c>
      <c r="AV805" s="328">
        <f t="array" ref="AV805">IF(ISBLANK(INDEX(MO_IS_FirstRow,0,COLUMN())),0,ROUND(AV699-AV628,6))</f>
        <v>0</v>
      </c>
      <c r="AW805" s="328">
        <f t="array" ref="AW805">IF(ISBLANK(INDEX(MO_IS_FirstRow,0,COLUMN())),0,ROUND(AW699-AW628,6))</f>
        <v>0</v>
      </c>
      <c r="AX805" s="328">
        <f t="array" ref="AX805">IF(ISBLANK(INDEX(MO_IS_FirstRow,0,COLUMN())),0,ROUND(AX699-AX628,6))</f>
        <v>0</v>
      </c>
      <c r="AY805" s="328">
        <f t="array" ref="AY805">IF(ISBLANK(INDEX(MO_IS_FirstRow,0,COLUMN())),0,ROUND(AY699-AY628,6))</f>
        <v>0</v>
      </c>
      <c r="AZ805" s="328">
        <f t="array" ref="AZ805">IF(ISBLANK(INDEX(MO_IS_FirstRow,0,COLUMN())),0,ROUND(AZ699-AZ628,6))</f>
        <v>0</v>
      </c>
      <c r="BA805" s="328">
        <f t="array" ref="BA805">IF(ISBLANK(INDEX(MO_IS_FirstRow,0,COLUMN())),0,ROUND(BA699-BA628,6))</f>
        <v>0</v>
      </c>
      <c r="BB805" s="328">
        <f t="array" ref="BB805">IF(ISBLANK(INDEX(MO_IS_FirstRow,0,COLUMN())),0,ROUND(BB699-BB628,6))</f>
        <v>0</v>
      </c>
      <c r="BC805" s="328">
        <f t="array" ref="BC805">IF(ISBLANK(INDEX(MO_IS_FirstRow,0,COLUMN())),0,ROUND(BC699-BC628,6))</f>
        <v>0</v>
      </c>
      <c r="BD805" s="328">
        <f t="array" ref="BD805">IF(ISBLANK(INDEX(MO_IS_FirstRow,0,COLUMN())),0,ROUND(BD699-BD628,6))</f>
        <v>0</v>
      </c>
      <c r="BE805" s="328">
        <f t="array" ref="BE805">IF(ISBLANK(INDEX(MO_IS_FirstRow,0,COLUMN())),0,ROUND(BE699-BE628,6))</f>
        <v>0</v>
      </c>
      <c r="BF805" s="328">
        <f t="array" ref="BF805">IF(ISBLANK(INDEX(MO_IS_FirstRow,0,COLUMN())),0,ROUND(BF699-BF628,6))</f>
        <v>0</v>
      </c>
      <c r="BG805" s="328">
        <f t="array" ref="BG805">IF(ISBLANK(INDEX(MO_IS_FirstRow,0,COLUMN())),0,ROUND(BG699-BG628,6))</f>
        <v>0</v>
      </c>
      <c r="BH805" s="328">
        <f t="array" ref="BH805">IF(ISBLANK(INDEX(MO_IS_FirstRow,0,COLUMN())),0,ROUND(BH699-BH628,6))</f>
        <v>0</v>
      </c>
      <c r="BI805" s="329">
        <f t="array" ref="BI805">IF(ISBLANK(INDEX(MO_IS_FirstRow,0,COLUMN())),0,ROUND(BI699-BI628,6))</f>
        <v>0</v>
      </c>
      <c r="BJ805" s="328">
        <f t="array" ref="BJ805">IF(ISBLANK(INDEX(MO_IS_FirstRow,0,COLUMN())),0,ROUND(BJ699-BJ628,6))</f>
        <v>0</v>
      </c>
      <c r="BK805" s="328">
        <f t="array" ref="BK805">IF(ISBLANK(INDEX(MO_IS_FirstRow,0,COLUMN())),0,ROUND(BK699-BK628,6))</f>
        <v>0</v>
      </c>
      <c r="BL805" s="328">
        <f t="array" ref="BL805">IF(ISBLANK(INDEX(MO_IS_FirstRow,0,COLUMN())),0,ROUND(BL699-BL628,6))</f>
        <v>0</v>
      </c>
      <c r="BM805" s="328">
        <f t="array" ref="BM805">IF(ISBLANK(INDEX(MO_IS_FirstRow,0,COLUMN())),0,ROUND(BM699-BM628,6))</f>
        <v>0</v>
      </c>
      <c r="BN805" s="328">
        <f t="array" ref="BN805">IF(ISBLANK(INDEX(MO_IS_FirstRow,0,COLUMN())),0,ROUND(BN699-BN628,6))</f>
        <v>0</v>
      </c>
      <c r="BO805" s="328">
        <f t="array" ref="BO805">IF(ISBLANK(INDEX(MO_IS_FirstRow,0,COLUMN())),0,ROUND(BO699-BO628,6))</f>
        <v>0</v>
      </c>
      <c r="BP805" s="328">
        <f t="array" ref="BP805">IF(ISBLANK(INDEX(MO_IS_FirstRow,0,COLUMN())),0,ROUND(BP699-BP628,6))</f>
        <v>0</v>
      </c>
      <c r="BQ805" s="328">
        <f t="array" ref="BQ805">IF(ISBLANK(INDEX(MO_IS_FirstRow,0,COLUMN())),0,ROUND(BQ699-BQ628,6))</f>
        <v>0</v>
      </c>
      <c r="BR805" s="328">
        <f t="array" ref="BR805">IF(ISBLANK(INDEX(MO_IS_FirstRow,0,COLUMN())),0,ROUND(BR699-BR628,6))</f>
        <v>0</v>
      </c>
      <c r="BS805" s="328">
        <f t="array" ref="BS805">IF(ISBLANK(INDEX(MO_IS_FirstRow,0,COLUMN())),0,ROUND(BS699-BS628,6))</f>
        <v>0</v>
      </c>
      <c r="BT805" s="328">
        <f t="array" ref="BT805">IF(ISBLANK(INDEX(MO_IS_FirstRow,0,COLUMN())),0,ROUND(BT699-BT628,6))</f>
        <v>0</v>
      </c>
      <c r="BU805" s="328">
        <f t="array" ref="BU805">IF(ISBLANK(INDEX(MO_IS_FirstRow,0,COLUMN())),0,ROUND(BU699-BU628,6))</f>
        <v>0</v>
      </c>
      <c r="BV805" s="328">
        <f t="array" ref="BV805">IF(ISBLANK(INDEX(MO_IS_FirstRow,0,COLUMN())),0,ROUND(BV699-BV628,6))</f>
        <v>0</v>
      </c>
      <c r="BW805" s="4"/>
    </row>
    <row r="806" spans="1:75" ht="15.75" customHeight="1" x14ac:dyDescent="0.2">
      <c r="A806" s="4" t="s">
        <v>879</v>
      </c>
      <c r="B806" s="239"/>
      <c r="C806" s="328">
        <f t="array" ref="C806">ROUND(INDEX(MO_CFSum_Capex,0,COLUMN())-C661-C662,6)</f>
        <v>0</v>
      </c>
      <c r="D806" s="328">
        <f t="array" ref="D806">ROUND(INDEX(MO_CFSum_Capex,0,COLUMN())-D661-D662,6)</f>
        <v>0</v>
      </c>
      <c r="E806" s="328">
        <f t="array" ref="E806">ROUND(INDEX(MO_CFSum_Capex,0,COLUMN())-E661-E662,6)</f>
        <v>0</v>
      </c>
      <c r="F806" s="328">
        <f t="array" ref="F806">ROUND(INDEX(MO_CFSum_Capex,0,COLUMN())-F661-F662,6)</f>
        <v>0</v>
      </c>
      <c r="G806" s="328">
        <f t="array" ref="G806">ROUND(INDEX(MO_CFSum_Capex,0,COLUMN())-G661-G662,6)</f>
        <v>0</v>
      </c>
      <c r="H806" s="328">
        <f t="array" ref="H806">ROUND(INDEX(MO_CFSum_Capex,0,COLUMN())-H661-H662,6)</f>
        <v>0</v>
      </c>
      <c r="I806" s="328">
        <f t="array" ref="I806">ROUND(INDEX(MO_CFSum_Capex,0,COLUMN())-I661-I662,6)</f>
        <v>0</v>
      </c>
      <c r="J806" s="328">
        <f t="array" ref="J806">ROUND(INDEX(MO_CFSum_Capex,0,COLUMN())-J661-J662,6)</f>
        <v>0</v>
      </c>
      <c r="K806" s="328">
        <f t="array" ref="K806">ROUND(INDEX(MO_CFSum_Capex,0,COLUMN())-K661-K662,6)</f>
        <v>0</v>
      </c>
      <c r="L806" s="328">
        <f t="array" ref="L806">ROUND(INDEX(MO_CFSum_Capex,0,COLUMN())-L661-L662,6)</f>
        <v>0</v>
      </c>
      <c r="M806" s="328">
        <f t="array" ref="M806">ROUND(INDEX(MO_CFSum_Capex,0,COLUMN())-M661-M662,6)</f>
        <v>0</v>
      </c>
      <c r="N806" s="328">
        <f t="array" ref="N806">ROUND(INDEX(MO_CFSum_Capex,0,COLUMN())-N661-N662,6)</f>
        <v>0</v>
      </c>
      <c r="O806" s="328">
        <f t="array" ref="O806">ROUND(INDEX(MO_CFSum_Capex,0,COLUMN())-O661-O662,6)</f>
        <v>0</v>
      </c>
      <c r="P806" s="328">
        <f t="array" ref="P806">ROUND(INDEX(MO_CFSum_Capex,0,COLUMN())-P661-P662,6)</f>
        <v>0</v>
      </c>
      <c r="Q806" s="328">
        <f t="array" ref="Q806">ROUND(INDEX(MO_CFSum_Capex,0,COLUMN())-Q661-Q662,6)</f>
        <v>0</v>
      </c>
      <c r="R806" s="328">
        <f t="array" ref="R806">ROUND(INDEX(MO_CFSum_Capex,0,COLUMN())-R661-R662,6)</f>
        <v>0</v>
      </c>
      <c r="S806" s="328">
        <f t="array" ref="S806">ROUND(INDEX(MO_CFSum_Capex,0,COLUMN())-S661-S662,6)</f>
        <v>0</v>
      </c>
      <c r="T806" s="328">
        <f t="array" ref="T806">ROUND(INDEX(MO_CFSum_Capex,0,COLUMN())-T661-T662,6)</f>
        <v>0</v>
      </c>
      <c r="U806" s="328">
        <f t="array" ref="U806">ROUND(INDEX(MO_CFSum_Capex,0,COLUMN())-U661-U662,6)</f>
        <v>0</v>
      </c>
      <c r="V806" s="328">
        <f t="array" ref="V806">ROUND(INDEX(MO_CFSum_Capex,0,COLUMN())-V661-V662,6)</f>
        <v>0</v>
      </c>
      <c r="W806" s="328">
        <f t="array" ref="W806">ROUND(INDEX(MO_CFSum_Capex,0,COLUMN())-W661-W662,6)</f>
        <v>0</v>
      </c>
      <c r="X806" s="328">
        <f t="array" ref="X806">ROUND(INDEX(MO_CFSum_Capex,0,COLUMN())-X661-X662,6)</f>
        <v>0</v>
      </c>
      <c r="Y806" s="328">
        <f t="array" ref="Y806">ROUND(INDEX(MO_CFSum_Capex,0,COLUMN())-Y661-Y662,6)</f>
        <v>0</v>
      </c>
      <c r="Z806" s="328">
        <f t="array" ref="Z806">ROUND(INDEX(MO_CFSum_Capex,0,COLUMN())-Z661-Z662,6)</f>
        <v>0</v>
      </c>
      <c r="AA806" s="328">
        <f t="array" ref="AA806">ROUND(INDEX(MO_CFSum_Capex,0,COLUMN())-AA661-AA662,6)</f>
        <v>0</v>
      </c>
      <c r="AB806" s="328">
        <f t="array" ref="AB806">ROUND(INDEX(MO_CFSum_Capex,0,COLUMN())-AB661-AB662,6)</f>
        <v>0</v>
      </c>
      <c r="AC806" s="328">
        <f t="array" ref="AC806">ROUND(INDEX(MO_CFSum_Capex,0,COLUMN())-AC661-AC662,6)</f>
        <v>0</v>
      </c>
      <c r="AD806" s="328">
        <f t="array" ref="AD806">ROUND(INDEX(MO_CFSum_Capex,0,COLUMN())-AD661-AD662,6)</f>
        <v>0</v>
      </c>
      <c r="AE806" s="328">
        <f t="array" ref="AE806">ROUND(INDEX(MO_CFSum_Capex,0,COLUMN())-AE661-AE662,6)</f>
        <v>0</v>
      </c>
      <c r="AF806" s="328">
        <f t="array" ref="AF806">ROUND(INDEX(MO_CFSum_Capex,0,COLUMN())-AF661-AF662,6)</f>
        <v>0</v>
      </c>
      <c r="AG806" s="328">
        <f t="array" ref="AG806">ROUND(INDEX(MO_CFSum_Capex,0,COLUMN())-AG661-AG662,6)</f>
        <v>0</v>
      </c>
      <c r="AH806" s="328">
        <f t="array" ref="AH806">ROUND(INDEX(MO_CFSum_Capex,0,COLUMN())-AH661-AH662,6)</f>
        <v>0</v>
      </c>
      <c r="AI806" s="328">
        <f t="array" ref="AI806">ROUND(INDEX(MO_CFSum_Capex,0,COLUMN())-AI661-AI662,6)</f>
        <v>0</v>
      </c>
      <c r="AJ806" s="328">
        <f t="array" ref="AJ806">ROUND(INDEX(MO_CFSum_Capex,0,COLUMN())-AJ661-AJ662,6)</f>
        <v>0</v>
      </c>
      <c r="AK806" s="328">
        <f t="array" ref="AK806">ROUND(INDEX(MO_CFSum_Capex,0,COLUMN())-AK661-AK662,6)</f>
        <v>0</v>
      </c>
      <c r="AL806" s="328">
        <f t="array" ref="AL806">ROUND(INDEX(MO_CFSum_Capex,0,COLUMN())-AL661-AL662,6)</f>
        <v>0</v>
      </c>
      <c r="AM806" s="328">
        <f t="array" ref="AM806">ROUND(INDEX(MO_CFSum_Capex,0,COLUMN())-AM661-AM662,6)</f>
        <v>0</v>
      </c>
      <c r="AN806" s="328">
        <f t="array" ref="AN806">ROUND(INDEX(MO_CFSum_Capex,0,COLUMN())-AN661-AN662,6)</f>
        <v>0</v>
      </c>
      <c r="AO806" s="328">
        <f t="array" ref="AO806">ROUND(INDEX(MO_CFSum_Capex,0,COLUMN())-AO661-AO662,6)</f>
        <v>0</v>
      </c>
      <c r="AP806" s="328">
        <f t="array" ref="AP806">ROUND(INDEX(MO_CFSum_Capex,0,COLUMN())-AP661-AP662,6)</f>
        <v>0</v>
      </c>
      <c r="AQ806" s="328">
        <f t="array" ref="AQ806">ROUND(INDEX(MO_CFSum_Capex,0,COLUMN())-AQ661-AQ662,6)</f>
        <v>0</v>
      </c>
      <c r="AR806" s="328">
        <f t="array" ref="AR806">ROUND(INDEX(MO_CFSum_Capex,0,COLUMN())-AR661-AR662,6)</f>
        <v>0</v>
      </c>
      <c r="AS806" s="328">
        <f t="array" ref="AS806">ROUND(INDEX(MO_CFSum_Capex,0,COLUMN())-AS661-AS662,6)</f>
        <v>0</v>
      </c>
      <c r="AT806" s="328">
        <f t="array" ref="AT806">ROUND(INDEX(MO_CFSum_Capex,0,COLUMN())-AT661-AT662,6)</f>
        <v>0</v>
      </c>
      <c r="AU806" s="328">
        <f t="array" ref="AU806">ROUND(INDEX(MO_CFSum_Capex,0,COLUMN())-AU661-AU662,6)</f>
        <v>0</v>
      </c>
      <c r="AV806" s="328">
        <f t="array" ref="AV806">ROUND(INDEX(MO_CFSum_Capex,0,COLUMN())-AV661-AV662,6)</f>
        <v>0</v>
      </c>
      <c r="AW806" s="328">
        <f t="array" ref="AW806">ROUND(INDEX(MO_CFSum_Capex,0,COLUMN())-AW661-AW662,6)</f>
        <v>0</v>
      </c>
      <c r="AX806" s="328">
        <f t="array" ref="AX806">ROUND(INDEX(MO_CFSum_Capex,0,COLUMN())-AX661-AX662,6)</f>
        <v>0</v>
      </c>
      <c r="AY806" s="328">
        <f t="array" ref="AY806">ROUND(INDEX(MO_CFSum_Capex,0,COLUMN())-AY661-AY662,6)</f>
        <v>0</v>
      </c>
      <c r="AZ806" s="328">
        <f t="array" ref="AZ806">ROUND(INDEX(MO_CFSum_Capex,0,COLUMN())-AZ661-AZ662,6)</f>
        <v>0</v>
      </c>
      <c r="BA806" s="328">
        <f t="array" ref="BA806">ROUND(INDEX(MO_CFSum_Capex,0,COLUMN())-BA661-BA662,6)</f>
        <v>0</v>
      </c>
      <c r="BB806" s="328">
        <f t="array" ref="BB806">ROUND(INDEX(MO_CFSum_Capex,0,COLUMN())-BB661-BB662,6)</f>
        <v>0</v>
      </c>
      <c r="BC806" s="328">
        <f t="array" ref="BC806">ROUND(INDEX(MO_CFSum_Capex,0,COLUMN())-BC661-BC662,6)</f>
        <v>0</v>
      </c>
      <c r="BD806" s="328">
        <f t="array" ref="BD806">ROUND(INDEX(MO_CFSum_Capex,0,COLUMN())-BD661-BD662,6)</f>
        <v>0</v>
      </c>
      <c r="BE806" s="328">
        <f t="array" ref="BE806">ROUND(INDEX(MO_CFSum_Capex,0,COLUMN())-BE661-BE662,6)</f>
        <v>0</v>
      </c>
      <c r="BF806" s="328">
        <f t="array" ref="BF806">ROUND(INDEX(MO_CFSum_Capex,0,COLUMN())-BF661-BF662,6)</f>
        <v>0</v>
      </c>
      <c r="BG806" s="328">
        <f t="array" ref="BG806">ROUND(INDEX(MO_CFSum_Capex,0,COLUMN())-BG661-BG662,6)</f>
        <v>0</v>
      </c>
      <c r="BH806" s="328">
        <f t="array" ref="BH806">ROUND(INDEX(MO_CFSum_Capex,0,COLUMN())-BH661-BH662,6)</f>
        <v>0</v>
      </c>
      <c r="BI806" s="329">
        <f t="array" ref="BI806">ROUND(INDEX(MO_CFSum_Capex,0,COLUMN())-BI661-BI662,6)</f>
        <v>0</v>
      </c>
      <c r="BJ806" s="328">
        <f t="array" ref="BJ806">ROUND(INDEX(MO_CFSum_Capex,0,COLUMN())-BJ661-BJ662,6)</f>
        <v>0</v>
      </c>
      <c r="BK806" s="328">
        <f t="array" ref="BK806">ROUND(INDEX(MO_CFSum_Capex,0,COLUMN())-BK661-BK662,6)</f>
        <v>0</v>
      </c>
      <c r="BL806" s="328">
        <f t="array" ref="BL806">ROUND(INDEX(MO_CFSum_Capex,0,COLUMN())-BL661-BL662,6)</f>
        <v>0</v>
      </c>
      <c r="BM806" s="328">
        <f t="array" ref="BM806">ROUND(INDEX(MO_CFSum_Capex,0,COLUMN())-BM661-BM662,6)</f>
        <v>0</v>
      </c>
      <c r="BN806" s="328">
        <f t="array" ref="BN806">ROUND(INDEX(MO_CFSum_Capex,0,COLUMN())-BN661-BN662,6)</f>
        <v>0</v>
      </c>
      <c r="BO806" s="328">
        <f t="array" ref="BO806">ROUND(INDEX(MO_CFSum_Capex,0,COLUMN())-BO661-BO662,6)</f>
        <v>0</v>
      </c>
      <c r="BP806" s="328">
        <f t="array" ref="BP806">ROUND(INDEX(MO_CFSum_Capex,0,COLUMN())-BP661-BP662,6)</f>
        <v>0</v>
      </c>
      <c r="BQ806" s="328">
        <f t="array" ref="BQ806">ROUND(INDEX(MO_CFSum_Capex,0,COLUMN())-BQ661-BQ662,6)</f>
        <v>0</v>
      </c>
      <c r="BR806" s="328">
        <f t="array" ref="BR806">ROUND(INDEX(MO_CFSum_Capex,0,COLUMN())-BR661-BR662,6)</f>
        <v>0</v>
      </c>
      <c r="BS806" s="328">
        <f t="array" ref="BS806">ROUND(INDEX(MO_CFSum_Capex,0,COLUMN())-BS661-BS662,6)</f>
        <v>0</v>
      </c>
      <c r="BT806" s="328">
        <f t="array" ref="BT806">ROUND(INDEX(MO_CFSum_Capex,0,COLUMN())-BT661-BT662,6)</f>
        <v>0</v>
      </c>
      <c r="BU806" s="328">
        <f t="array" ref="BU806">ROUND(INDEX(MO_CFSum_Capex,0,COLUMN())-BU661-BU662,6)</f>
        <v>0</v>
      </c>
      <c r="BV806" s="328">
        <f t="array" ref="BV806">ROUND(INDEX(MO_CFSum_Capex,0,COLUMN())-BV661-BV662,6)</f>
        <v>0</v>
      </c>
      <c r="BW806" s="4"/>
    </row>
    <row r="807" spans="1:75" ht="15.75" customHeight="1" x14ac:dyDescent="0.2">
      <c r="A807" s="4" t="s">
        <v>880</v>
      </c>
      <c r="B807" s="239"/>
      <c r="C807" s="328">
        <f t="array" ref="C807">IF(ISBLANK(INDEX(MO_IS_FirstRow,0,COLUMN())),0,IF(MOD(C324*1000000,1)=0,"Check",0))</f>
        <v>0</v>
      </c>
      <c r="D807" s="328">
        <f t="array" ref="D807">IF(ISBLANK(INDEX(MO_IS_FirstRow,0,COLUMN())),0,IF(MOD(D324*1000000,1)=0,"Check",0))</f>
        <v>0</v>
      </c>
      <c r="E807" s="328">
        <f t="array" ref="E807">IF(ISBLANK(INDEX(MO_IS_FirstRow,0,COLUMN())),0,IF(MOD(E324*1000000,1)=0,"Check",0))</f>
        <v>0</v>
      </c>
      <c r="F807" s="328">
        <f t="array" ref="F807">IF(ISBLANK(INDEX(MO_IS_FirstRow,0,COLUMN())),0,IF(MOD(F324*1000000,1)=0,"Check",0))</f>
        <v>0</v>
      </c>
      <c r="G807" s="328">
        <f t="array" ref="G807">IF(ISBLANK(INDEX(MO_IS_FirstRow,0,COLUMN())),0,IF(MOD(G324*1000000,1)=0,"Check",0))</f>
        <v>0</v>
      </c>
      <c r="H807" s="328">
        <f t="array" ref="H807">IF(ISBLANK(INDEX(MO_IS_FirstRow,0,COLUMN())),0,IF(MOD(H324*1000000,1)=0,"Check",0))</f>
        <v>0</v>
      </c>
      <c r="I807" s="328">
        <f t="array" ref="I807">IF(ISBLANK(INDEX(MO_IS_FirstRow,0,COLUMN())),0,IF(MOD(I324*1000000,1)=0,"Check",0))</f>
        <v>0</v>
      </c>
      <c r="J807" s="328">
        <f t="array" ref="J807">IF(ISBLANK(INDEX(MO_IS_FirstRow,0,COLUMN())),0,IF(MOD(J324*1000000,1)=0,"Check",0))</f>
        <v>0</v>
      </c>
      <c r="K807" s="328">
        <f t="array" ref="K807">IF(ISBLANK(INDEX(MO_IS_FirstRow,0,COLUMN())),0,IF(MOD(K324*1000000,1)=0,"Check",0))</f>
        <v>0</v>
      </c>
      <c r="L807" s="328">
        <f t="array" ref="L807">IF(ISBLANK(INDEX(MO_IS_FirstRow,0,COLUMN())),0,IF(MOD(L324*1000000,1)=0,"Check",0))</f>
        <v>0</v>
      </c>
      <c r="M807" s="328">
        <f t="array" ref="M807">IF(ISBLANK(INDEX(MO_IS_FirstRow,0,COLUMN())),0,IF(MOD(M324*1000000,1)=0,"Check",0))</f>
        <v>0</v>
      </c>
      <c r="N807" s="328">
        <f t="array" ref="N807">IF(ISBLANK(INDEX(MO_IS_FirstRow,0,COLUMN())),0,IF(MOD(N324*1000000,1)=0,"Check",0))</f>
        <v>0</v>
      </c>
      <c r="O807" s="328">
        <f t="array" ref="O807">IF(ISBLANK(INDEX(MO_IS_FirstRow,0,COLUMN())),0,IF(MOD(O324*1000000,1)=0,"Check",0))</f>
        <v>0</v>
      </c>
      <c r="P807" s="328">
        <f t="array" ref="P807">IF(ISBLANK(INDEX(MO_IS_FirstRow,0,COLUMN())),0,IF(MOD(P324*1000000,1)=0,"Check",0))</f>
        <v>0</v>
      </c>
      <c r="Q807" s="328">
        <f t="array" ref="Q807">IF(ISBLANK(INDEX(MO_IS_FirstRow,0,COLUMN())),0,IF(MOD(Q324*1000000,1)=0,"Check",0))</f>
        <v>0</v>
      </c>
      <c r="R807" s="328">
        <f t="array" ref="R807">IF(ISBLANK(INDEX(MO_IS_FirstRow,0,COLUMN())),0,IF(MOD(R324*1000000,1)=0,"Check",0))</f>
        <v>0</v>
      </c>
      <c r="S807" s="328">
        <f t="array" ref="S807">IF(ISBLANK(INDEX(MO_IS_FirstRow,0,COLUMN())),0,IF(MOD(S324*1000000,1)=0,"Check",0))</f>
        <v>0</v>
      </c>
      <c r="T807" s="328">
        <f t="array" ref="T807">IF(ISBLANK(INDEX(MO_IS_FirstRow,0,COLUMN())),0,IF(MOD(T324*1000000,1)=0,"Check",0))</f>
        <v>0</v>
      </c>
      <c r="U807" s="328">
        <f t="array" ref="U807">IF(ISBLANK(INDEX(MO_IS_FirstRow,0,COLUMN())),0,IF(MOD(U324*1000000,1)=0,"Check",0))</f>
        <v>0</v>
      </c>
      <c r="V807" s="328">
        <f t="array" ref="V807">IF(ISBLANK(INDEX(MO_IS_FirstRow,0,COLUMN())),0,IF(MOD(V324*1000000,1)=0,"Check",0))</f>
        <v>0</v>
      </c>
      <c r="W807" s="328">
        <f t="array" ref="W807">IF(ISBLANK(INDEX(MO_IS_FirstRow,0,COLUMN())),0,IF(MOD(W324*1000000,1)=0,"Check",0))</f>
        <v>0</v>
      </c>
      <c r="X807" s="328">
        <f t="array" ref="X807">IF(ISBLANK(INDEX(MO_IS_FirstRow,0,COLUMN())),0,IF(MOD(X324*1000000,1)=0,"Check",0))</f>
        <v>0</v>
      </c>
      <c r="Y807" s="328">
        <f t="array" ref="Y807">IF(ISBLANK(INDEX(MO_IS_FirstRow,0,COLUMN())),0,IF(MOD(Y324*1000000,1)=0,"Check",0))</f>
        <v>0</v>
      </c>
      <c r="Z807" s="328">
        <f t="array" ref="Z807">IF(ISBLANK(INDEX(MO_IS_FirstRow,0,COLUMN())),0,IF(MOD(Z324*1000000,1)=0,"Check",0))</f>
        <v>0</v>
      </c>
      <c r="AA807" s="328">
        <f t="array" ref="AA807">IF(ISBLANK(INDEX(MO_IS_FirstRow,0,COLUMN())),0,IF(MOD(AA324*1000000,1)=0,"Check",0))</f>
        <v>0</v>
      </c>
      <c r="AB807" s="328">
        <f t="array" ref="AB807">IF(ISBLANK(INDEX(MO_IS_FirstRow,0,COLUMN())),0,IF(MOD(AB324*1000000,1)=0,"Check",0))</f>
        <v>0</v>
      </c>
      <c r="AC807" s="328">
        <f t="array" ref="AC807">IF(ISBLANK(INDEX(MO_IS_FirstRow,0,COLUMN())),0,IF(MOD(AC324*1000000,1)=0,"Check",0))</f>
        <v>0</v>
      </c>
      <c r="AD807" s="328">
        <f t="array" ref="AD807">IF(ISBLANK(INDEX(MO_IS_FirstRow,0,COLUMN())),0,IF(MOD(AD324*1000000,1)=0,"Check",0))</f>
        <v>0</v>
      </c>
      <c r="AE807" s="328">
        <f t="array" ref="AE807">IF(ISBLANK(INDEX(MO_IS_FirstRow,0,COLUMN())),0,IF(MOD(AE324*1000000,1)=0,"Check",0))</f>
        <v>0</v>
      </c>
      <c r="AF807" s="328">
        <f t="array" ref="AF807">IF(ISBLANK(INDEX(MO_IS_FirstRow,0,COLUMN())),0,IF(MOD(AF324*1000000,1)=0,"Check",0))</f>
        <v>0</v>
      </c>
      <c r="AG807" s="328">
        <f t="array" ref="AG807">IF(ISBLANK(INDEX(MO_IS_FirstRow,0,COLUMN())),0,IF(MOD(AG324*1000000,1)=0,"Check",0))</f>
        <v>0</v>
      </c>
      <c r="AH807" s="328">
        <f t="array" ref="AH807">IF(ISBLANK(INDEX(MO_IS_FirstRow,0,COLUMN())),0,IF(MOD(AH324*1000000,1)=0,"Check",0))</f>
        <v>0</v>
      </c>
      <c r="AI807" s="328">
        <f t="array" ref="AI807">IF(ISBLANK(INDEX(MO_IS_FirstRow,0,COLUMN())),0,IF(MOD(AI324*1000000,1)=0,"Check",0))</f>
        <v>0</v>
      </c>
      <c r="AJ807" s="328">
        <f t="array" ref="AJ807">IF(ISBLANK(INDEX(MO_IS_FirstRow,0,COLUMN())),0,IF(MOD(AJ324*1000000,1)=0,"Check",0))</f>
        <v>0</v>
      </c>
      <c r="AK807" s="328">
        <f t="array" ref="AK807">IF(ISBLANK(INDEX(MO_IS_FirstRow,0,COLUMN())),0,IF(MOD(AK324*1000000,1)=0,"Check",0))</f>
        <v>0</v>
      </c>
      <c r="AL807" s="328">
        <f t="array" ref="AL807">IF(ISBLANK(INDEX(MO_IS_FirstRow,0,COLUMN())),0,IF(MOD(AL324*1000000,1)=0,"Check",0))</f>
        <v>0</v>
      </c>
      <c r="AM807" s="328">
        <f t="array" ref="AM807">IF(ISBLANK(INDEX(MO_IS_FirstRow,0,COLUMN())),0,IF(MOD(AM324*1000000,1)=0,"Check",0))</f>
        <v>0</v>
      </c>
      <c r="AN807" s="328">
        <f t="array" ref="AN807">IF(ISBLANK(INDEX(MO_IS_FirstRow,0,COLUMN())),0,IF(MOD(AN324*1000000,1)=0,"Check",0))</f>
        <v>0</v>
      </c>
      <c r="AO807" s="328">
        <f t="array" ref="AO807">IF(ISBLANK(INDEX(MO_IS_FirstRow,0,COLUMN())),0,IF(MOD(AO324*1000000,1)=0,"Check",0))</f>
        <v>0</v>
      </c>
      <c r="AP807" s="328">
        <f t="array" ref="AP807">IF(ISBLANK(INDEX(MO_IS_FirstRow,0,COLUMN())),0,IF(MOD(AP324*1000000,1)=0,"Check",0))</f>
        <v>0</v>
      </c>
      <c r="AQ807" s="328">
        <f t="array" ref="AQ807">IF(ISBLANK(INDEX(MO_IS_FirstRow,0,COLUMN())),0,IF(MOD(AQ324*1000000,1)=0,"Check",0))</f>
        <v>0</v>
      </c>
      <c r="AR807" s="328">
        <f t="array" ref="AR807">IF(ISBLANK(INDEX(MO_IS_FirstRow,0,COLUMN())),0,IF(MOD(AR324*1000000,1)=0,"Check",0))</f>
        <v>0</v>
      </c>
      <c r="AS807" s="328">
        <f t="array" ref="AS807">IF(ISBLANK(INDEX(MO_IS_FirstRow,0,COLUMN())),0,IF(MOD(AS324*1000000,1)=0,"Check",0))</f>
        <v>0</v>
      </c>
      <c r="AT807" s="328">
        <f t="array" ref="AT807">IF(ISBLANK(INDEX(MO_IS_FirstRow,0,COLUMN())),0,IF(MOD(AT324*1000000,1)=0,"Check",0))</f>
        <v>0</v>
      </c>
      <c r="AU807" s="328">
        <f t="array" ref="AU807">IF(ISBLANK(INDEX(MO_IS_FirstRow,0,COLUMN())),0,IF(MOD(AU324*1000000,1)=0,"Check",0))</f>
        <v>0</v>
      </c>
      <c r="AV807" s="328">
        <f t="array" ref="AV807">IF(ISBLANK(INDEX(MO_IS_FirstRow,0,COLUMN())),0,IF(MOD(AV324*1000000,1)=0,"Check",0))</f>
        <v>0</v>
      </c>
      <c r="AW807" s="328">
        <f t="array" ref="AW807">IF(ISBLANK(INDEX(MO_IS_FirstRow,0,COLUMN())),0,IF(MOD(AW324*1000000,1)=0,"Check",0))</f>
        <v>0</v>
      </c>
      <c r="AX807" s="328">
        <f t="array" ref="AX807">IF(ISBLANK(INDEX(MO_IS_FirstRow,0,COLUMN())),0,IF(MOD(AX324*1000000,1)=0,"Check",0))</f>
        <v>0</v>
      </c>
      <c r="AY807" s="328">
        <f t="array" ref="AY807">IF(ISBLANK(INDEX(MO_IS_FirstRow,0,COLUMN())),0,IF(MOD(AY324*1000000,1)=0,"Check",0))</f>
        <v>0</v>
      </c>
      <c r="AZ807" s="328">
        <f t="array" ref="AZ807">IF(ISBLANK(INDEX(MO_IS_FirstRow,0,COLUMN())),0,IF(MOD(AZ324*1000000,1)=0,"Check",0))</f>
        <v>0</v>
      </c>
      <c r="BA807" s="328">
        <f t="array" ref="BA807">IF(ISBLANK(INDEX(MO_IS_FirstRow,0,COLUMN())),0,IF(MOD(BA324*1000000,1)=0,"Check",0))</f>
        <v>0</v>
      </c>
      <c r="BB807" s="328">
        <f t="array" ref="BB807">IF(ISBLANK(INDEX(MO_IS_FirstRow,0,COLUMN())),0,IF(MOD(BB324*1000000,1)=0,"Check",0))</f>
        <v>0</v>
      </c>
      <c r="BC807" s="328">
        <f t="array" ref="BC807">IF(ISBLANK(INDEX(MO_IS_FirstRow,0,COLUMN())),0,IF(MOD(BC324*1000000,1)=0,"Check",0))</f>
        <v>0</v>
      </c>
      <c r="BD807" s="328">
        <f t="array" ref="BD807">IF(ISBLANK(INDEX(MO_IS_FirstRow,0,COLUMN())),0,IF(MOD(BD324*1000000,1)=0,"Check",0))</f>
        <v>0</v>
      </c>
      <c r="BE807" s="328">
        <f t="array" ref="BE807">IF(ISBLANK(INDEX(MO_IS_FirstRow,0,COLUMN())),0,IF(MOD(BE324*1000000,1)=0,"Check",0))</f>
        <v>0</v>
      </c>
      <c r="BF807" s="328">
        <f t="array" ref="BF807">IF(ISBLANK(INDEX(MO_IS_FirstRow,0,COLUMN())),0,IF(MOD(BF324*1000000,1)=0,"Check",0))</f>
        <v>0</v>
      </c>
      <c r="BG807" s="328">
        <f t="array" ref="BG807">IF(ISBLANK(INDEX(MO_IS_FirstRow,0,COLUMN())),0,IF(MOD(BG324*1000000,1)=0,"Check",0))</f>
        <v>0</v>
      </c>
      <c r="BH807" s="328">
        <f t="array" ref="BH807">IF(ISBLANK(INDEX(MO_IS_FirstRow,0,COLUMN())),0,IF(MOD(BH324*1000000,1)=0,"Check",0))</f>
        <v>0</v>
      </c>
      <c r="BI807" s="329">
        <f t="array" ref="BI807">IF(ISBLANK(INDEX(MO_IS_FirstRow,0,COLUMN())),0,IF(MOD(BI324*1000000,1)=0,"Check",0))</f>
        <v>0</v>
      </c>
      <c r="BJ807" s="328">
        <f t="array" ref="BJ807">IF(ISBLANK(INDEX(MO_IS_FirstRow,0,COLUMN())),0,IF(MOD(BJ324*1000000,1)=0,"Check",0))</f>
        <v>0</v>
      </c>
      <c r="BK807" s="328">
        <f t="array" ref="BK807">IF(ISBLANK(INDEX(MO_IS_FirstRow,0,COLUMN())),0,IF(MOD(BK324*1000000,1)=0,"Check",0))</f>
        <v>0</v>
      </c>
      <c r="BL807" s="328">
        <f t="array" ref="BL807">IF(ISBLANK(INDEX(MO_IS_FirstRow,0,COLUMN())),0,IF(MOD(BL324*1000000,1)=0,"Check",0))</f>
        <v>0</v>
      </c>
      <c r="BM807" s="328">
        <f t="array" ref="BM807">IF(ISBLANK(INDEX(MO_IS_FirstRow,0,COLUMN())),0,IF(MOD(BM324*1000000,1)=0,"Check",0))</f>
        <v>0</v>
      </c>
      <c r="BN807" s="328">
        <f t="array" ref="BN807">IF(ISBLANK(INDEX(MO_IS_FirstRow,0,COLUMN())),0,IF(MOD(BN324*1000000,1)=0,"Check",0))</f>
        <v>0</v>
      </c>
      <c r="BO807" s="328">
        <f t="array" ref="BO807">IF(ISBLANK(INDEX(MO_IS_FirstRow,0,COLUMN())),0,IF(MOD(BO324*1000000,1)=0,"Check",0))</f>
        <v>0</v>
      </c>
      <c r="BP807" s="328">
        <f t="array" ref="BP807">IF(ISBLANK(INDEX(MO_IS_FirstRow,0,COLUMN())),0,IF(MOD(BP324*1000000,1)=0,"Check",0))</f>
        <v>0</v>
      </c>
      <c r="BQ807" s="328">
        <f t="array" ref="BQ807">IF(ISBLANK(INDEX(MO_IS_FirstRow,0,COLUMN())),0,IF(MOD(BQ324*1000000,1)=0,"Check",0))</f>
        <v>0</v>
      </c>
      <c r="BR807" s="328">
        <f t="array" ref="BR807">IF(ISBLANK(INDEX(MO_IS_FirstRow,0,COLUMN())),0,IF(MOD(BR324*1000000,1)=0,"Check",0))</f>
        <v>0</v>
      </c>
      <c r="BS807" s="328">
        <f t="array" ref="BS807">IF(ISBLANK(INDEX(MO_IS_FirstRow,0,COLUMN())),0,IF(MOD(BS324*1000000,1)=0,"Check",0))</f>
        <v>0</v>
      </c>
      <c r="BT807" s="328">
        <f t="array" ref="BT807">IF(ISBLANK(INDEX(MO_IS_FirstRow,0,COLUMN())),0,IF(MOD(BT324*1000000,1)=0,"Check",0))</f>
        <v>0</v>
      </c>
      <c r="BU807" s="328">
        <f t="array" ref="BU807">IF(ISBLANK(INDEX(MO_IS_FirstRow,0,COLUMN())),0,IF(MOD(BU324*1000000,1)=0,"Check",0))</f>
        <v>0</v>
      </c>
      <c r="BV807" s="328">
        <f t="array" ref="BV807">IF(ISBLANK(INDEX(MO_IS_FirstRow,0,COLUMN())),0,IF(MOD(BV324*1000000,1)=0,"Check",0))</f>
        <v>0</v>
      </c>
      <c r="BW807" s="4"/>
    </row>
    <row r="808" spans="1:75" ht="15.75" customHeight="1" x14ac:dyDescent="0.2">
      <c r="A808" s="4" t="s">
        <v>881</v>
      </c>
      <c r="B808" s="239"/>
      <c r="C808" s="328"/>
      <c r="D808" s="328"/>
      <c r="E808" s="328"/>
      <c r="F808" s="328"/>
      <c r="G808" s="328"/>
      <c r="H808" s="328"/>
      <c r="I808" s="328"/>
      <c r="J808" s="328"/>
      <c r="K808" s="328"/>
      <c r="L808" s="328"/>
      <c r="M808" s="328"/>
      <c r="N808" s="328"/>
      <c r="O808" s="328"/>
      <c r="P808" s="328"/>
      <c r="Q808" s="328"/>
      <c r="R808" s="328"/>
      <c r="S808" s="328"/>
      <c r="T808" s="328"/>
      <c r="U808" s="328"/>
      <c r="V808" s="328"/>
      <c r="W808" s="328"/>
      <c r="X808" s="328"/>
      <c r="Y808" s="328"/>
      <c r="Z808" s="328"/>
      <c r="AA808" s="328"/>
      <c r="AB808" s="328"/>
      <c r="AC808" s="328"/>
      <c r="AD808" s="328"/>
      <c r="AE808" s="328"/>
      <c r="AF808" s="328"/>
      <c r="AG808" s="328"/>
      <c r="AH808" s="328"/>
      <c r="AI808" s="328"/>
      <c r="AJ808" s="328"/>
      <c r="AK808" s="328"/>
      <c r="AL808" s="328"/>
      <c r="AM808" s="328"/>
      <c r="AN808" s="328"/>
      <c r="AO808" s="328"/>
      <c r="AP808" s="328"/>
      <c r="AQ808" s="328"/>
      <c r="AR808" s="328"/>
      <c r="AS808" s="328"/>
      <c r="AT808" s="328"/>
      <c r="AU808" s="328"/>
      <c r="AV808" s="328"/>
      <c r="AW808" s="328"/>
      <c r="AX808" s="328"/>
      <c r="AY808" s="328"/>
      <c r="AZ808" s="328"/>
      <c r="BA808" s="328"/>
      <c r="BB808" s="328"/>
      <c r="BC808" s="328"/>
      <c r="BD808" s="328"/>
      <c r="BE808" s="328"/>
      <c r="BF808" s="328"/>
      <c r="BG808" s="328"/>
      <c r="BH808" s="328"/>
      <c r="BI808" s="329"/>
      <c r="BJ808" s="328"/>
      <c r="BK808" s="328"/>
      <c r="BL808" s="328"/>
      <c r="BM808" s="328"/>
      <c r="BN808" s="328"/>
      <c r="BO808" s="328"/>
      <c r="BP808" s="328"/>
      <c r="BQ808" s="328"/>
      <c r="BR808" s="328"/>
      <c r="BS808" s="328"/>
      <c r="BT808" s="328"/>
      <c r="BU808" s="328"/>
      <c r="BV808" s="328"/>
      <c r="BW808" s="4"/>
    </row>
    <row r="809" spans="1:75" ht="15.75" customHeight="1" x14ac:dyDescent="0.2">
      <c r="A809" s="4" t="s">
        <v>882</v>
      </c>
      <c r="B809" s="239"/>
      <c r="C809" s="328">
        <f t="array" ref="C809">IF(OR(INDEX(MO_CFSum_Acquisition,1,COLUMN())&gt;0,INDEX(MO_CFSum_Divestiture,1,COLUMN())&lt;0,INDEX(MO_CFSum_Capex,1,COLUMN())&gt;0,INDEX(MO_CFSum_Dividend,1,COLUMN())&gt;0),"CHECK",0)</f>
        <v>0</v>
      </c>
      <c r="D809" s="328">
        <f t="array" ref="D809">IF(OR(INDEX(MO_CFSum_Acquisition,1,COLUMN())&gt;0,INDEX(MO_CFSum_Divestiture,1,COLUMN())&lt;0,INDEX(MO_CFSum_Capex,1,COLUMN())&gt;0,INDEX(MO_CFSum_Dividend,1,COLUMN())&gt;0),"CHECK",0)</f>
        <v>0</v>
      </c>
      <c r="E809" s="328">
        <f t="array" ref="E809">IF(OR(INDEX(MO_CFSum_Acquisition,1,COLUMN())&gt;0,INDEX(MO_CFSum_Divestiture,1,COLUMN())&lt;0,INDEX(MO_CFSum_Capex,1,COLUMN())&gt;0,INDEX(MO_CFSum_Dividend,1,COLUMN())&gt;0),"CHECK",0)</f>
        <v>0</v>
      </c>
      <c r="F809" s="328">
        <f t="array" ref="F809">IF(OR(INDEX(MO_CFSum_Acquisition,1,COLUMN())&gt;0,INDEX(MO_CFSum_Divestiture,1,COLUMN())&lt;0,INDEX(MO_CFSum_Capex,1,COLUMN())&gt;0,INDEX(MO_CFSum_Dividend,1,COLUMN())&gt;0),"CHECK",0)</f>
        <v>0</v>
      </c>
      <c r="G809" s="328">
        <f t="array" ref="G809">IF(OR(INDEX(MO_CFSum_Acquisition,1,COLUMN())&gt;0,INDEX(MO_CFSum_Divestiture,1,COLUMN())&lt;0,INDEX(MO_CFSum_Capex,1,COLUMN())&gt;0,INDEX(MO_CFSum_Dividend,1,COLUMN())&gt;0),"CHECK",0)</f>
        <v>0</v>
      </c>
      <c r="H809" s="328">
        <f t="array" ref="H809">IF(OR(INDEX(MO_CFSum_Acquisition,1,COLUMN())&gt;0,INDEX(MO_CFSum_Divestiture,1,COLUMN())&lt;0,INDEX(MO_CFSum_Capex,1,COLUMN())&gt;0,INDEX(MO_CFSum_Dividend,1,COLUMN())&gt;0),"CHECK",0)</f>
        <v>0</v>
      </c>
      <c r="I809" s="328">
        <f t="array" ref="I809">IF(OR(INDEX(MO_CFSum_Acquisition,1,COLUMN())&gt;0,INDEX(MO_CFSum_Divestiture,1,COLUMN())&lt;0,INDEX(MO_CFSum_Capex,1,COLUMN())&gt;0,INDEX(MO_CFSum_Dividend,1,COLUMN())&gt;0),"CHECK",0)</f>
        <v>0</v>
      </c>
      <c r="J809" s="328">
        <f t="array" ref="J809">IF(OR(INDEX(MO_CFSum_Acquisition,1,COLUMN())&gt;0,INDEX(MO_CFSum_Divestiture,1,COLUMN())&lt;0,INDEX(MO_CFSum_Capex,1,COLUMN())&gt;0,INDEX(MO_CFSum_Dividend,1,COLUMN())&gt;0),"CHECK",0)</f>
        <v>0</v>
      </c>
      <c r="K809" s="328">
        <f t="array" ref="K809">IF(OR(INDEX(MO_CFSum_Acquisition,1,COLUMN())&gt;0,INDEX(MO_CFSum_Divestiture,1,COLUMN())&lt;0,INDEX(MO_CFSum_Capex,1,COLUMN())&gt;0,INDEX(MO_CFSum_Dividend,1,COLUMN())&gt;0),"CHECK",0)</f>
        <v>0</v>
      </c>
      <c r="L809" s="328">
        <f t="array" ref="L809">IF(OR(INDEX(MO_CFSum_Acquisition,1,COLUMN())&gt;0,INDEX(MO_CFSum_Divestiture,1,COLUMN())&lt;0,INDEX(MO_CFSum_Capex,1,COLUMN())&gt;0,INDEX(MO_CFSum_Dividend,1,COLUMN())&gt;0),"CHECK",0)</f>
        <v>0</v>
      </c>
      <c r="M809" s="328">
        <f t="array" ref="M809">IF(OR(INDEX(MO_CFSum_Acquisition,1,COLUMN())&gt;0,INDEX(MO_CFSum_Divestiture,1,COLUMN())&lt;0,INDEX(MO_CFSum_Capex,1,COLUMN())&gt;0,INDEX(MO_CFSum_Dividend,1,COLUMN())&gt;0),"CHECK",0)</f>
        <v>0</v>
      </c>
      <c r="N809" s="328">
        <f t="array" ref="N809">IF(OR(INDEX(MO_CFSum_Acquisition,1,COLUMN())&gt;0,INDEX(MO_CFSum_Divestiture,1,COLUMN())&lt;0,INDEX(MO_CFSum_Capex,1,COLUMN())&gt;0,INDEX(MO_CFSum_Dividend,1,COLUMN())&gt;0),"CHECK",0)</f>
        <v>0</v>
      </c>
      <c r="O809" s="328">
        <f t="array" ref="O809">IF(OR(INDEX(MO_CFSum_Acquisition,1,COLUMN())&gt;0,INDEX(MO_CFSum_Divestiture,1,COLUMN())&lt;0,INDEX(MO_CFSum_Capex,1,COLUMN())&gt;0,INDEX(MO_CFSum_Dividend,1,COLUMN())&gt;0),"CHECK",0)</f>
        <v>0</v>
      </c>
      <c r="P809" s="328">
        <f t="array" ref="P809">IF(OR(INDEX(MO_CFSum_Acquisition,1,COLUMN())&gt;0,INDEX(MO_CFSum_Divestiture,1,COLUMN())&lt;0,INDEX(MO_CFSum_Capex,1,COLUMN())&gt;0,INDEX(MO_CFSum_Dividend,1,COLUMN())&gt;0),"CHECK",0)</f>
        <v>0</v>
      </c>
      <c r="Q809" s="328">
        <f t="array" ref="Q809">IF(OR(INDEX(MO_CFSum_Acquisition,1,COLUMN())&gt;0,INDEX(MO_CFSum_Divestiture,1,COLUMN())&lt;0,INDEX(MO_CFSum_Capex,1,COLUMN())&gt;0,INDEX(MO_CFSum_Dividend,1,COLUMN())&gt;0),"CHECK",0)</f>
        <v>0</v>
      </c>
      <c r="R809" s="328">
        <f t="array" ref="R809">IF(OR(INDEX(MO_CFSum_Acquisition,1,COLUMN())&gt;0,INDEX(MO_CFSum_Divestiture,1,COLUMN())&lt;0,INDEX(MO_CFSum_Capex,1,COLUMN())&gt;0,INDEX(MO_CFSum_Dividend,1,COLUMN())&gt;0),"CHECK",0)</f>
        <v>0</v>
      </c>
      <c r="S809" s="328">
        <f t="array" ref="S809">IF(OR(INDEX(MO_CFSum_Acquisition,1,COLUMN())&gt;0,INDEX(MO_CFSum_Divestiture,1,COLUMN())&lt;0,INDEX(MO_CFSum_Capex,1,COLUMN())&gt;0,INDEX(MO_CFSum_Dividend,1,COLUMN())&gt;0),"CHECK",0)</f>
        <v>0</v>
      </c>
      <c r="T809" s="328">
        <f t="array" ref="T809">IF(OR(INDEX(MO_CFSum_Acquisition,1,COLUMN())&gt;0,INDEX(MO_CFSum_Divestiture,1,COLUMN())&lt;0,INDEX(MO_CFSum_Capex,1,COLUMN())&gt;0,INDEX(MO_CFSum_Dividend,1,COLUMN())&gt;0),"CHECK",0)</f>
        <v>0</v>
      </c>
      <c r="U809" s="328">
        <f t="array" ref="U809">IF(OR(INDEX(MO_CFSum_Acquisition,1,COLUMN())&gt;0,INDEX(MO_CFSum_Divestiture,1,COLUMN())&lt;0,INDEX(MO_CFSum_Capex,1,COLUMN())&gt;0,INDEX(MO_CFSum_Dividend,1,COLUMN())&gt;0),"CHECK",0)</f>
        <v>0</v>
      </c>
      <c r="V809" s="328">
        <f t="array" ref="V809">IF(OR(INDEX(MO_CFSum_Acquisition,1,COLUMN())&gt;0,INDEX(MO_CFSum_Divestiture,1,COLUMN())&lt;0,INDEX(MO_CFSum_Capex,1,COLUMN())&gt;0,INDEX(MO_CFSum_Dividend,1,COLUMN())&gt;0),"CHECK",0)</f>
        <v>0</v>
      </c>
      <c r="W809" s="328">
        <f t="array" ref="W809">IF(OR(INDEX(MO_CFSum_Acquisition,1,COLUMN())&gt;0,INDEX(MO_CFSum_Divestiture,1,COLUMN())&lt;0,INDEX(MO_CFSum_Capex,1,COLUMN())&gt;0,INDEX(MO_CFSum_Dividend,1,COLUMN())&gt;0),"CHECK",0)</f>
        <v>0</v>
      </c>
      <c r="X809" s="328">
        <f t="array" ref="X809">IF(OR(INDEX(MO_CFSum_Acquisition,1,COLUMN())&gt;0,INDEX(MO_CFSum_Divestiture,1,COLUMN())&lt;0,INDEX(MO_CFSum_Capex,1,COLUMN())&gt;0,INDEX(MO_CFSum_Dividend,1,COLUMN())&gt;0),"CHECK",0)</f>
        <v>0</v>
      </c>
      <c r="Y809" s="328">
        <f t="array" ref="Y809">IF(OR(INDEX(MO_CFSum_Acquisition,1,COLUMN())&gt;0,INDEX(MO_CFSum_Divestiture,1,COLUMN())&lt;0,INDEX(MO_CFSum_Capex,1,COLUMN())&gt;0,INDEX(MO_CFSum_Dividend,1,COLUMN())&gt;0),"CHECK",0)</f>
        <v>0</v>
      </c>
      <c r="Z809" s="328">
        <f t="array" ref="Z809">IF(OR(INDEX(MO_CFSum_Acquisition,1,COLUMN())&gt;0,INDEX(MO_CFSum_Divestiture,1,COLUMN())&lt;0,INDEX(MO_CFSum_Capex,1,COLUMN())&gt;0,INDEX(MO_CFSum_Dividend,1,COLUMN())&gt;0),"CHECK",0)</f>
        <v>0</v>
      </c>
      <c r="AA809" s="328">
        <f t="array" ref="AA809">IF(OR(INDEX(MO_CFSum_Acquisition,1,COLUMN())&gt;0,INDEX(MO_CFSum_Divestiture,1,COLUMN())&lt;0,INDEX(MO_CFSum_Capex,1,COLUMN())&gt;0,INDEX(MO_CFSum_Dividend,1,COLUMN())&gt;0),"CHECK",0)</f>
        <v>0</v>
      </c>
      <c r="AB809" s="328">
        <f t="array" ref="AB809">IF(OR(INDEX(MO_CFSum_Acquisition,1,COLUMN())&gt;0,INDEX(MO_CFSum_Divestiture,1,COLUMN())&lt;0,INDEX(MO_CFSum_Capex,1,COLUMN())&gt;0,INDEX(MO_CFSum_Dividend,1,COLUMN())&gt;0),"CHECK",0)</f>
        <v>0</v>
      </c>
      <c r="AC809" s="328">
        <f t="array" ref="AC809">IF(OR(INDEX(MO_CFSum_Acquisition,1,COLUMN())&gt;0,INDEX(MO_CFSum_Divestiture,1,COLUMN())&lt;0,INDEX(MO_CFSum_Capex,1,COLUMN())&gt;0,INDEX(MO_CFSum_Dividend,1,COLUMN())&gt;0),"CHECK",0)</f>
        <v>0</v>
      </c>
      <c r="AD809" s="328">
        <f t="array" ref="AD809">IF(OR(INDEX(MO_CFSum_Acquisition,1,COLUMN())&gt;0,INDEX(MO_CFSum_Divestiture,1,COLUMN())&lt;0,INDEX(MO_CFSum_Capex,1,COLUMN())&gt;0,INDEX(MO_CFSum_Dividend,1,COLUMN())&gt;0),"CHECK",0)</f>
        <v>0</v>
      </c>
      <c r="AE809" s="328">
        <f t="array" ref="AE809">IF(OR(INDEX(MO_CFSum_Acquisition,1,COLUMN())&gt;0,INDEX(MO_CFSum_Divestiture,1,COLUMN())&lt;0,INDEX(MO_CFSum_Capex,1,COLUMN())&gt;0,INDEX(MO_CFSum_Dividend,1,COLUMN())&gt;0),"CHECK",0)</f>
        <v>0</v>
      </c>
      <c r="AF809" s="328">
        <f t="array" ref="AF809">IF(OR(INDEX(MO_CFSum_Acquisition,1,COLUMN())&gt;0,INDEX(MO_CFSum_Divestiture,1,COLUMN())&lt;0,INDEX(MO_CFSum_Capex,1,COLUMN())&gt;0,INDEX(MO_CFSum_Dividend,1,COLUMN())&gt;0),"CHECK",0)</f>
        <v>0</v>
      </c>
      <c r="AG809" s="328">
        <f t="array" ref="AG809">IF(OR(INDEX(MO_CFSum_Acquisition,1,COLUMN())&gt;0,INDEX(MO_CFSum_Divestiture,1,COLUMN())&lt;0,INDEX(MO_CFSum_Capex,1,COLUMN())&gt;0,INDEX(MO_CFSum_Dividend,1,COLUMN())&gt;0),"CHECK",0)</f>
        <v>0</v>
      </c>
      <c r="AH809" s="328">
        <f t="array" ref="AH809">IF(OR(INDEX(MO_CFSum_Acquisition,1,COLUMN())&gt;0,INDEX(MO_CFSum_Divestiture,1,COLUMN())&lt;0,INDEX(MO_CFSum_Capex,1,COLUMN())&gt;0,INDEX(MO_CFSum_Dividend,1,COLUMN())&gt;0),"CHECK",0)</f>
        <v>0</v>
      </c>
      <c r="AI809" s="328">
        <f t="array" ref="AI809">IF(OR(INDEX(MO_CFSum_Acquisition,1,COLUMN())&gt;0,INDEX(MO_CFSum_Divestiture,1,COLUMN())&lt;0,INDEX(MO_CFSum_Capex,1,COLUMN())&gt;0,INDEX(MO_CFSum_Dividend,1,COLUMN())&gt;0),"CHECK",0)</f>
        <v>0</v>
      </c>
      <c r="AJ809" s="328">
        <f t="array" ref="AJ809">IF(OR(INDEX(MO_CFSum_Acquisition,1,COLUMN())&gt;0,INDEX(MO_CFSum_Divestiture,1,COLUMN())&lt;0,INDEX(MO_CFSum_Capex,1,COLUMN())&gt;0,INDEX(MO_CFSum_Dividend,1,COLUMN())&gt;0),"CHECK",0)</f>
        <v>0</v>
      </c>
      <c r="AK809" s="328">
        <f t="array" ref="AK809">IF(OR(INDEX(MO_CFSum_Acquisition,1,COLUMN())&gt;0,INDEX(MO_CFSum_Divestiture,1,COLUMN())&lt;0,INDEX(MO_CFSum_Capex,1,COLUMN())&gt;0,INDEX(MO_CFSum_Dividend,1,COLUMN())&gt;0),"CHECK",0)</f>
        <v>0</v>
      </c>
      <c r="AL809" s="328">
        <f t="array" ref="AL809">IF(OR(INDEX(MO_CFSum_Acquisition,1,COLUMN())&gt;0,INDEX(MO_CFSum_Divestiture,1,COLUMN())&lt;0,INDEX(MO_CFSum_Capex,1,COLUMN())&gt;0,INDEX(MO_CFSum_Dividend,1,COLUMN())&gt;0),"CHECK",0)</f>
        <v>0</v>
      </c>
      <c r="AM809" s="328">
        <f t="array" ref="AM809">IF(OR(INDEX(MO_CFSum_Acquisition,1,COLUMN())&gt;0,INDEX(MO_CFSum_Divestiture,1,COLUMN())&lt;0,INDEX(MO_CFSum_Capex,1,COLUMN())&gt;0,INDEX(MO_CFSum_Dividend,1,COLUMN())&gt;0),"CHECK",0)</f>
        <v>0</v>
      </c>
      <c r="AN809" s="328">
        <f t="array" ref="AN809">IF(OR(INDEX(MO_CFSum_Acquisition,1,COLUMN())&gt;0,INDEX(MO_CFSum_Divestiture,1,COLUMN())&lt;0,INDEX(MO_CFSum_Capex,1,COLUMN())&gt;0,INDEX(MO_CFSum_Dividend,1,COLUMN())&gt;0),"CHECK",0)</f>
        <v>0</v>
      </c>
      <c r="AO809" s="328">
        <f t="array" ref="AO809">IF(OR(INDEX(MO_CFSum_Acquisition,1,COLUMN())&gt;0,INDEX(MO_CFSum_Divestiture,1,COLUMN())&lt;0,INDEX(MO_CFSum_Capex,1,COLUMN())&gt;0,INDEX(MO_CFSum_Dividend,1,COLUMN())&gt;0),"CHECK",0)</f>
        <v>0</v>
      </c>
      <c r="AP809" s="328">
        <f t="array" ref="AP809">IF(OR(INDEX(MO_CFSum_Acquisition,1,COLUMN())&gt;0,INDEX(MO_CFSum_Divestiture,1,COLUMN())&lt;0,INDEX(MO_CFSum_Capex,1,COLUMN())&gt;0,INDEX(MO_CFSum_Dividend,1,COLUMN())&gt;0),"CHECK",0)</f>
        <v>0</v>
      </c>
      <c r="AQ809" s="328">
        <f t="array" ref="AQ809">IF(OR(INDEX(MO_CFSum_Acquisition,1,COLUMN())&gt;0,INDEX(MO_CFSum_Divestiture,1,COLUMN())&lt;0,INDEX(MO_CFSum_Capex,1,COLUMN())&gt;0,INDEX(MO_CFSum_Dividend,1,COLUMN())&gt;0),"CHECK",0)</f>
        <v>0</v>
      </c>
      <c r="AR809" s="328">
        <f t="array" ref="AR809">IF(OR(INDEX(MO_CFSum_Acquisition,1,COLUMN())&gt;0,INDEX(MO_CFSum_Divestiture,1,COLUMN())&lt;0,INDEX(MO_CFSum_Capex,1,COLUMN())&gt;0,INDEX(MO_CFSum_Dividend,1,COLUMN())&gt;0),"CHECK",0)</f>
        <v>0</v>
      </c>
      <c r="AS809" s="328">
        <f t="array" ref="AS809">IF(OR(INDEX(MO_CFSum_Acquisition,1,COLUMN())&gt;0,INDEX(MO_CFSum_Divestiture,1,COLUMN())&lt;0,INDEX(MO_CFSum_Capex,1,COLUMN())&gt;0,INDEX(MO_CFSum_Dividend,1,COLUMN())&gt;0),"CHECK",0)</f>
        <v>0</v>
      </c>
      <c r="AT809" s="328">
        <f t="array" ref="AT809">IF(OR(INDEX(MO_CFSum_Acquisition,1,COLUMN())&gt;0,INDEX(MO_CFSum_Divestiture,1,COLUMN())&lt;0,INDEX(MO_CFSum_Capex,1,COLUMN())&gt;0,INDEX(MO_CFSum_Dividend,1,COLUMN())&gt;0),"CHECK",0)</f>
        <v>0</v>
      </c>
      <c r="AU809" s="328">
        <f t="array" ref="AU809">IF(OR(INDEX(MO_CFSum_Acquisition,1,COLUMN())&gt;0,INDEX(MO_CFSum_Divestiture,1,COLUMN())&lt;0,INDEX(MO_CFSum_Capex,1,COLUMN())&gt;0,INDEX(MO_CFSum_Dividend,1,COLUMN())&gt;0),"CHECK",0)</f>
        <v>0</v>
      </c>
      <c r="AV809" s="328">
        <f t="array" ref="AV809">IF(OR(INDEX(MO_CFSum_Acquisition,1,COLUMN())&gt;0,INDEX(MO_CFSum_Divestiture,1,COLUMN())&lt;0,INDEX(MO_CFSum_Capex,1,COLUMN())&gt;0,INDEX(MO_CFSum_Dividend,1,COLUMN())&gt;0),"CHECK",0)</f>
        <v>0</v>
      </c>
      <c r="AW809" s="328">
        <f t="array" ref="AW809">IF(OR(INDEX(MO_CFSum_Acquisition,1,COLUMN())&gt;0,INDEX(MO_CFSum_Divestiture,1,COLUMN())&lt;0,INDEX(MO_CFSum_Capex,1,COLUMN())&gt;0,INDEX(MO_CFSum_Dividend,1,COLUMN())&gt;0),"CHECK",0)</f>
        <v>0</v>
      </c>
      <c r="AX809" s="328">
        <f t="array" ref="AX809">IF(OR(INDEX(MO_CFSum_Acquisition,1,COLUMN())&gt;0,INDEX(MO_CFSum_Divestiture,1,COLUMN())&lt;0,INDEX(MO_CFSum_Capex,1,COLUMN())&gt;0,INDEX(MO_CFSum_Dividend,1,COLUMN())&gt;0),"CHECK",0)</f>
        <v>0</v>
      </c>
      <c r="AY809" s="328">
        <f t="array" ref="AY809">IF(OR(INDEX(MO_CFSum_Acquisition,1,COLUMN())&gt;0,INDEX(MO_CFSum_Divestiture,1,COLUMN())&lt;0,INDEX(MO_CFSum_Capex,1,COLUMN())&gt;0,INDEX(MO_CFSum_Dividend,1,COLUMN())&gt;0),"CHECK",0)</f>
        <v>0</v>
      </c>
      <c r="AZ809" s="328">
        <f t="array" ref="AZ809">IF(OR(INDEX(MO_CFSum_Acquisition,1,COLUMN())&gt;0,INDEX(MO_CFSum_Divestiture,1,COLUMN())&lt;0,INDEX(MO_CFSum_Capex,1,COLUMN())&gt;0,INDEX(MO_CFSum_Dividend,1,COLUMN())&gt;0),"CHECK",0)</f>
        <v>0</v>
      </c>
      <c r="BA809" s="328">
        <f t="array" ref="BA809">IF(OR(INDEX(MO_CFSum_Acquisition,1,COLUMN())&gt;0,INDEX(MO_CFSum_Divestiture,1,COLUMN())&lt;0,INDEX(MO_CFSum_Capex,1,COLUMN())&gt;0,INDEX(MO_CFSum_Dividend,1,COLUMN())&gt;0),"CHECK",0)</f>
        <v>0</v>
      </c>
      <c r="BB809" s="328">
        <f t="array" ref="BB809">IF(OR(INDEX(MO_CFSum_Acquisition,1,COLUMN())&gt;0,INDEX(MO_CFSum_Divestiture,1,COLUMN())&lt;0,INDEX(MO_CFSum_Capex,1,COLUMN())&gt;0,INDEX(MO_CFSum_Dividend,1,COLUMN())&gt;0),"CHECK",0)</f>
        <v>0</v>
      </c>
      <c r="BC809" s="328">
        <f t="array" ref="BC809">IF(OR(INDEX(MO_CFSum_Acquisition,1,COLUMN())&gt;0,INDEX(MO_CFSum_Divestiture,1,COLUMN())&lt;0,INDEX(MO_CFSum_Capex,1,COLUMN())&gt;0,INDEX(MO_CFSum_Dividend,1,COLUMN())&gt;0),"CHECK",0)</f>
        <v>0</v>
      </c>
      <c r="BD809" s="328">
        <f t="array" ref="BD809">IF(OR(INDEX(MO_CFSum_Acquisition,1,COLUMN())&gt;0,INDEX(MO_CFSum_Divestiture,1,COLUMN())&lt;0,INDEX(MO_CFSum_Capex,1,COLUMN())&gt;0,INDEX(MO_CFSum_Dividend,1,COLUMN())&gt;0),"CHECK",0)</f>
        <v>0</v>
      </c>
      <c r="BE809" s="328">
        <f t="array" ref="BE809">IF(OR(INDEX(MO_CFSum_Acquisition,1,COLUMN())&gt;0,INDEX(MO_CFSum_Divestiture,1,COLUMN())&lt;0,INDEX(MO_CFSum_Capex,1,COLUMN())&gt;0,INDEX(MO_CFSum_Dividend,1,COLUMN())&gt;0),"CHECK",0)</f>
        <v>0</v>
      </c>
      <c r="BF809" s="328">
        <f t="array" ref="BF809">IF(OR(INDEX(MO_CFSum_Acquisition,1,COLUMN())&gt;0,INDEX(MO_CFSum_Divestiture,1,COLUMN())&lt;0,INDEX(MO_CFSum_Capex,1,COLUMN())&gt;0,INDEX(MO_CFSum_Dividend,1,COLUMN())&gt;0),"CHECK",0)</f>
        <v>0</v>
      </c>
      <c r="BG809" s="328">
        <f t="array" ref="BG809">IF(OR(INDEX(MO_CFSum_Acquisition,1,COLUMN())&gt;0,INDEX(MO_CFSum_Divestiture,1,COLUMN())&lt;0,INDEX(MO_CFSum_Capex,1,COLUMN())&gt;0,INDEX(MO_CFSum_Dividend,1,COLUMN())&gt;0),"CHECK",0)</f>
        <v>0</v>
      </c>
      <c r="BH809" s="328">
        <f t="array" ref="BH809">IF(OR(INDEX(MO_CFSum_Acquisition,1,COLUMN())&gt;0,INDEX(MO_CFSum_Divestiture,1,COLUMN())&lt;0,INDEX(MO_CFSum_Capex,1,COLUMN())&gt;0,INDEX(MO_CFSum_Dividend,1,COLUMN())&gt;0),"CHECK",0)</f>
        <v>0</v>
      </c>
      <c r="BI809" s="329">
        <f t="array" ref="BI809">IF(OR(INDEX(MO_CFSum_Acquisition,1,COLUMN())&gt;0,INDEX(MO_CFSum_Divestiture,1,COLUMN())&lt;0,INDEX(MO_CFSum_Capex,1,COLUMN())&gt;0,INDEX(MO_CFSum_Dividend,1,COLUMN())&gt;0),"CHECK",0)</f>
        <v>0</v>
      </c>
      <c r="BJ809" s="328">
        <f t="array" aca="1" ref="BJ809" ca="1">IF(OR(INDEX(MO_CFSum_Acquisition,1,COLUMN())&gt;0,INDEX(MO_CFSum_Divestiture,1,COLUMN())&lt;0,INDEX(MO_CFSum_Capex,1,COLUMN())&gt;0,INDEX(MO_CFSum_Dividend,1,COLUMN())&gt;0),"CHECK",0)</f>
        <v>0</v>
      </c>
      <c r="BK809" s="328">
        <f t="array" aca="1" ref="BK809" ca="1">IF(OR(INDEX(MO_CFSum_Acquisition,1,COLUMN())&gt;0,INDEX(MO_CFSum_Divestiture,1,COLUMN())&lt;0,INDEX(MO_CFSum_Capex,1,COLUMN())&gt;0,INDEX(MO_CFSum_Dividend,1,COLUMN())&gt;0),"CHECK",0)</f>
        <v>0</v>
      </c>
      <c r="BL809" s="328">
        <f t="array" aca="1" ref="BL809" ca="1">IF(OR(INDEX(MO_CFSum_Acquisition,1,COLUMN())&gt;0,INDEX(MO_CFSum_Divestiture,1,COLUMN())&lt;0,INDEX(MO_CFSum_Capex,1,COLUMN())&gt;0,INDEX(MO_CFSum_Dividend,1,COLUMN())&gt;0),"CHECK",0)</f>
        <v>0</v>
      </c>
      <c r="BM809" s="328">
        <f t="array" aca="1" ref="BM809" ca="1">IF(OR(INDEX(MO_CFSum_Acquisition,1,COLUMN())&gt;0,INDEX(MO_CFSum_Divestiture,1,COLUMN())&lt;0,INDEX(MO_CFSum_Capex,1,COLUMN())&gt;0,INDEX(MO_CFSum_Dividend,1,COLUMN())&gt;0),"CHECK",0)</f>
        <v>0</v>
      </c>
      <c r="BN809" s="328">
        <f t="array" aca="1" ref="BN809" ca="1">IF(OR(INDEX(MO_CFSum_Acquisition,1,COLUMN())&gt;0,INDEX(MO_CFSum_Divestiture,1,COLUMN())&lt;0,INDEX(MO_CFSum_Capex,1,COLUMN())&gt;0,INDEX(MO_CFSum_Dividend,1,COLUMN())&gt;0),"CHECK",0)</f>
        <v>0</v>
      </c>
      <c r="BO809" s="328">
        <f t="array" aca="1" ref="BO809" ca="1">IF(OR(INDEX(MO_CFSum_Acquisition,1,COLUMN())&gt;0,INDEX(MO_CFSum_Divestiture,1,COLUMN())&lt;0,INDEX(MO_CFSum_Capex,1,COLUMN())&gt;0,INDEX(MO_CFSum_Dividend,1,COLUMN())&gt;0),"CHECK",0)</f>
        <v>0</v>
      </c>
      <c r="BP809" s="328">
        <f t="array" aca="1" ref="BP809" ca="1">IF(OR(INDEX(MO_CFSum_Acquisition,1,COLUMN())&gt;0,INDEX(MO_CFSum_Divestiture,1,COLUMN())&lt;0,INDEX(MO_CFSum_Capex,1,COLUMN())&gt;0,INDEX(MO_CFSum_Dividend,1,COLUMN())&gt;0),"CHECK",0)</f>
        <v>0</v>
      </c>
      <c r="BQ809" s="328">
        <f t="array" aca="1" ref="BQ809" ca="1">IF(OR(INDEX(MO_CFSum_Acquisition,1,COLUMN())&gt;0,INDEX(MO_CFSum_Divestiture,1,COLUMN())&lt;0,INDEX(MO_CFSum_Capex,1,COLUMN())&gt;0,INDEX(MO_CFSum_Dividend,1,COLUMN())&gt;0),"CHECK",0)</f>
        <v>0</v>
      </c>
      <c r="BR809" s="328">
        <f t="array" aca="1" ref="BR809" ca="1">IF(OR(INDEX(MO_CFSum_Acquisition,1,COLUMN())&gt;0,INDEX(MO_CFSum_Divestiture,1,COLUMN())&lt;0,INDEX(MO_CFSum_Capex,1,COLUMN())&gt;0,INDEX(MO_CFSum_Dividend,1,COLUMN())&gt;0),"CHECK",0)</f>
        <v>0</v>
      </c>
      <c r="BS809" s="328">
        <f t="array" aca="1" ref="BS809" ca="1">IF(OR(INDEX(MO_CFSum_Acquisition,1,COLUMN())&gt;0,INDEX(MO_CFSum_Divestiture,1,COLUMN())&lt;0,INDEX(MO_CFSum_Capex,1,COLUMN())&gt;0,INDEX(MO_CFSum_Dividend,1,COLUMN())&gt;0),"CHECK",0)</f>
        <v>0</v>
      </c>
      <c r="BT809" s="328">
        <f t="array" aca="1" ref="BT809" ca="1">IF(OR(INDEX(MO_CFSum_Acquisition,1,COLUMN())&gt;0,INDEX(MO_CFSum_Divestiture,1,COLUMN())&lt;0,INDEX(MO_CFSum_Capex,1,COLUMN())&gt;0,INDEX(MO_CFSum_Dividend,1,COLUMN())&gt;0),"CHECK",0)</f>
        <v>0</v>
      </c>
      <c r="BU809" s="328">
        <f t="array" aca="1" ref="BU809" ca="1">IF(OR(INDEX(MO_CFSum_Acquisition,1,COLUMN())&gt;0,INDEX(MO_CFSum_Divestiture,1,COLUMN())&lt;0,INDEX(MO_CFSum_Capex,1,COLUMN())&gt;0,INDEX(MO_CFSum_Dividend,1,COLUMN())&gt;0),"CHECK",0)</f>
        <v>0</v>
      </c>
      <c r="BV809" s="328">
        <f t="array" aca="1" ref="BV809" ca="1">IF(OR(INDEX(MO_CFSum_Acquisition,1,COLUMN())&gt;0,INDEX(MO_CFSum_Divestiture,1,COLUMN())&lt;0,INDEX(MO_CFSum_Capex,1,COLUMN())&gt;0,INDEX(MO_CFSum_Dividend,1,COLUMN())&gt;0),"CHECK",0)</f>
        <v>0</v>
      </c>
      <c r="BW809" s="4"/>
    </row>
    <row r="810" spans="1:75" ht="15.75" customHeight="1" x14ac:dyDescent="0.2">
      <c r="A810" s="4" t="s">
        <v>883</v>
      </c>
      <c r="B810" s="239"/>
      <c r="C810" s="328"/>
      <c r="D810" s="328"/>
      <c r="E810" s="328"/>
      <c r="F810" s="328"/>
      <c r="G810" s="328"/>
      <c r="H810" s="328"/>
      <c r="I810" s="328"/>
      <c r="J810" s="328"/>
      <c r="K810" s="328">
        <f>ROUND(K405-SUM(G405,H405,I405,J405),6)</f>
        <v>0</v>
      </c>
      <c r="L810" s="328"/>
      <c r="M810" s="328"/>
      <c r="N810" s="328"/>
      <c r="O810" s="328"/>
      <c r="P810" s="328">
        <f>ROUND(P405-SUM(L405,M405,N405,O405),6)</f>
        <v>0</v>
      </c>
      <c r="Q810" s="328"/>
      <c r="R810" s="328"/>
      <c r="S810" s="328"/>
      <c r="T810" s="328"/>
      <c r="U810" s="328">
        <f>ROUND(U405-SUM(Q405,R405,S405,T405),6)</f>
        <v>0</v>
      </c>
      <c r="V810" s="328"/>
      <c r="W810" s="328"/>
      <c r="X810" s="328"/>
      <c r="Y810" s="328"/>
      <c r="Z810" s="328">
        <f>ROUND(Z405-SUM(V405,W405,X405,Y405),6)</f>
        <v>0</v>
      </c>
      <c r="AA810" s="328"/>
      <c r="AB810" s="328"/>
      <c r="AC810" s="328"/>
      <c r="AD810" s="328"/>
      <c r="AE810" s="328">
        <f>ROUND(AE405-SUM(AA405,AB405,AC405,AD405),6)</f>
        <v>0</v>
      </c>
      <c r="AF810" s="328"/>
      <c r="AG810" s="328"/>
      <c r="AH810" s="328"/>
      <c r="AI810" s="328"/>
      <c r="AJ810" s="328">
        <f>ROUND(AJ405-SUM(AF405,AG405,AH405,AI405),6)</f>
        <v>0</v>
      </c>
      <c r="AK810" s="328"/>
      <c r="AL810" s="328"/>
      <c r="AM810" s="328"/>
      <c r="AN810" s="328"/>
      <c r="AO810" s="328">
        <f>ROUND(AO405-SUM(AK405,AL405,AM405,AN405),6)</f>
        <v>0</v>
      </c>
      <c r="AP810" s="328"/>
      <c r="AQ810" s="328"/>
      <c r="AR810" s="328"/>
      <c r="AS810" s="328"/>
      <c r="AT810" s="328">
        <f>ROUND(AT405-SUM(AP405,AQ405,AR405,AS405),6)</f>
        <v>0</v>
      </c>
      <c r="AU810" s="328"/>
      <c r="AV810" s="328"/>
      <c r="AW810" s="328"/>
      <c r="AX810" s="328"/>
      <c r="AY810" s="328">
        <f>ROUND(AY405-SUM(AU405,AV405,AW405,AX405),6)</f>
        <v>0</v>
      </c>
      <c r="AZ810" s="328"/>
      <c r="BA810" s="328"/>
      <c r="BB810" s="328"/>
      <c r="BC810" s="328"/>
      <c r="BD810" s="328">
        <f>ROUND(BD405-SUM(AZ405,BA405,BB405,BC405),6)</f>
        <v>0</v>
      </c>
      <c r="BE810" s="328"/>
      <c r="BF810" s="328"/>
      <c r="BG810" s="328"/>
      <c r="BH810" s="328"/>
      <c r="BI810" s="329">
        <f>ROUND(BI405-SUM(BE405,BF405,BG405,BH405),6)</f>
        <v>0</v>
      </c>
      <c r="BJ810" s="328"/>
      <c r="BK810" s="328"/>
      <c r="BL810" s="328"/>
      <c r="BM810" s="328"/>
      <c r="BN810" s="328">
        <f ca="1">ROUND(BN405-SUM(BJ405,BK405,BL405,BM405),6)</f>
        <v>0</v>
      </c>
      <c r="BO810" s="328"/>
      <c r="BP810" s="328"/>
      <c r="BQ810" s="328"/>
      <c r="BR810" s="328"/>
      <c r="BS810" s="328">
        <f ca="1">ROUND(BS405-SUM(BO405,BP405,BQ405,BR405),6)</f>
        <v>0</v>
      </c>
      <c r="BT810" s="328"/>
      <c r="BU810" s="328"/>
      <c r="BV810" s="328"/>
      <c r="BW810" s="4"/>
    </row>
    <row r="811" spans="1:75" ht="15.75" customHeight="1" x14ac:dyDescent="0.2">
      <c r="A811" s="4" t="s">
        <v>884</v>
      </c>
      <c r="B811" s="239"/>
      <c r="C811" s="328"/>
      <c r="D811" s="328"/>
      <c r="E811" s="328"/>
      <c r="F811" s="328"/>
      <c r="G811" s="328"/>
      <c r="H811" s="328"/>
      <c r="I811" s="328"/>
      <c r="J811" s="328"/>
      <c r="K811" s="328"/>
      <c r="L811" s="328"/>
      <c r="M811" s="328"/>
      <c r="N811" s="328"/>
      <c r="O811" s="328"/>
      <c r="P811" s="328"/>
      <c r="Q811" s="328"/>
      <c r="R811" s="328"/>
      <c r="S811" s="328"/>
      <c r="T811" s="328"/>
      <c r="U811" s="328"/>
      <c r="V811" s="328"/>
      <c r="W811" s="328"/>
      <c r="X811" s="328"/>
      <c r="Y811" s="328"/>
      <c r="Z811" s="328"/>
      <c r="AA811" s="328"/>
      <c r="AB811" s="328"/>
      <c r="AC811" s="328"/>
      <c r="AD811" s="328"/>
      <c r="AE811" s="328"/>
      <c r="AF811" s="328"/>
      <c r="AG811" s="328"/>
      <c r="AH811" s="328"/>
      <c r="AI811" s="328"/>
      <c r="AJ811" s="328"/>
      <c r="AK811" s="328"/>
      <c r="AL811" s="328"/>
      <c r="AM811" s="328"/>
      <c r="AN811" s="328"/>
      <c r="AO811" s="328"/>
      <c r="AP811" s="328"/>
      <c r="AQ811" s="328"/>
      <c r="AR811" s="328"/>
      <c r="AS811" s="328"/>
      <c r="AT811" s="328"/>
      <c r="AU811" s="328"/>
      <c r="AV811" s="328"/>
      <c r="AW811" s="328"/>
      <c r="AX811" s="328"/>
      <c r="AY811" s="328"/>
      <c r="AZ811" s="328"/>
      <c r="BA811" s="328"/>
      <c r="BB811" s="328"/>
      <c r="BC811" s="328"/>
      <c r="BD811" s="328"/>
      <c r="BE811" s="328"/>
      <c r="BF811" s="328"/>
      <c r="BG811" s="328"/>
      <c r="BH811" s="328"/>
      <c r="BI811" s="329"/>
      <c r="BJ811" s="328"/>
      <c r="BK811" s="328"/>
      <c r="BL811" s="328"/>
      <c r="BM811" s="328"/>
      <c r="BN811" s="328">
        <f t="array" aca="1" ref="BN811" ca="1">ROUND(SUM(BJ414,BK414,BL414,BM414)-INDEX(MO_RIS_NI_NONGAAP_Diluted,1,COLUMN()),6)</f>
        <v>0</v>
      </c>
      <c r="BO811" s="328"/>
      <c r="BP811" s="328"/>
      <c r="BQ811" s="328"/>
      <c r="BR811" s="328"/>
      <c r="BS811" s="328">
        <f t="array" aca="1" ref="BS811" ca="1">ROUND(SUM(BO414,BP414,BQ414,BR414)-INDEX(MO_RIS_NI_NONGAAP_Diluted,1,COLUMN()),6)</f>
        <v>0</v>
      </c>
      <c r="BT811" s="328"/>
      <c r="BU811" s="328"/>
      <c r="BV811" s="328"/>
      <c r="BW811" s="4"/>
    </row>
    <row r="812" spans="1:75" ht="15.75" customHeight="1" x14ac:dyDescent="0.2">
      <c r="A812" s="4" t="s">
        <v>885</v>
      </c>
      <c r="B812" s="239"/>
      <c r="C812" s="328"/>
      <c r="D812" s="328"/>
      <c r="E812" s="328"/>
      <c r="F812" s="328"/>
      <c r="G812" s="328"/>
      <c r="H812" s="328"/>
      <c r="I812" s="328"/>
      <c r="J812" s="328"/>
      <c r="K812" s="328">
        <f t="array" aca="1" ref="K812" ca="1">ROUND(SUM(G644,H644,I644,J644)-SUM(OFFSET(INDEX(MO_CFS_CFO_BeforeWC,1,COLUMN()),ROW(INDEX(MO_SubSection_CFS_CFO,1,COLUMN()))-ROW(INDEX(MO_CFS_CFO_BeforeWC,1,COLUMN())),0,ROW(INDEX(MO_CFS_CFO_BeforeWC,1,COLUMN()))-ROW(INDEX(MO_SubSection_CFS_CFO,1,COLUMN())),1)),6)</f>
        <v>0</v>
      </c>
      <c r="L812" s="328"/>
      <c r="M812" s="328"/>
      <c r="N812" s="328"/>
      <c r="O812" s="328"/>
      <c r="P812" s="328">
        <f t="array" aca="1" ref="P812" ca="1">ROUND(SUM(L644,M644,N644,O644)-SUM(OFFSET(INDEX(MO_CFS_CFO_BeforeWC,1,COLUMN()),ROW(INDEX(MO_SubSection_CFS_CFO,1,COLUMN()))-ROW(INDEX(MO_CFS_CFO_BeforeWC,1,COLUMN())),0,ROW(INDEX(MO_CFS_CFO_BeforeWC,1,COLUMN()))-ROW(INDEX(MO_SubSection_CFS_CFO,1,COLUMN())),1)),6)</f>
        <v>0</v>
      </c>
      <c r="Q812" s="328"/>
      <c r="R812" s="328"/>
      <c r="S812" s="328"/>
      <c r="T812" s="328"/>
      <c r="U812" s="328">
        <f t="array" aca="1" ref="U812" ca="1">ROUND(SUM(Q644,R644,S644,T644)-SUM(OFFSET(INDEX(MO_CFS_CFO_BeforeWC,1,COLUMN()),ROW(INDEX(MO_SubSection_CFS_CFO,1,COLUMN()))-ROW(INDEX(MO_CFS_CFO_BeforeWC,1,COLUMN())),0,ROW(INDEX(MO_CFS_CFO_BeforeWC,1,COLUMN()))-ROW(INDEX(MO_SubSection_CFS_CFO,1,COLUMN())),1)),6)</f>
        <v>0</v>
      </c>
      <c r="V812" s="328"/>
      <c r="W812" s="328"/>
      <c r="X812" s="328"/>
      <c r="Y812" s="328"/>
      <c r="Z812" s="328">
        <f t="array" aca="1" ref="Z812" ca="1">ROUND(SUM(V644,W644,X644,Y644)-SUM(OFFSET(INDEX(MO_CFS_CFO_BeforeWC,1,COLUMN()),ROW(INDEX(MO_SubSection_CFS_CFO,1,COLUMN()))-ROW(INDEX(MO_CFS_CFO_BeforeWC,1,COLUMN())),0,ROW(INDEX(MO_CFS_CFO_BeforeWC,1,COLUMN()))-ROW(INDEX(MO_SubSection_CFS_CFO,1,COLUMN())),1)),6)</f>
        <v>0</v>
      </c>
      <c r="AA812" s="328"/>
      <c r="AB812" s="328"/>
      <c r="AC812" s="328"/>
      <c r="AD812" s="328"/>
      <c r="AE812" s="328">
        <f t="array" aca="1" ref="AE812" ca="1">ROUND(SUM(AA644,AB644,AC644,AD644)-SUM(OFFSET(INDEX(MO_CFS_CFO_BeforeWC,1,COLUMN()),ROW(INDEX(MO_SubSection_CFS_CFO,1,COLUMN()))-ROW(INDEX(MO_CFS_CFO_BeforeWC,1,COLUMN())),0,ROW(INDEX(MO_CFS_CFO_BeforeWC,1,COLUMN()))-ROW(INDEX(MO_SubSection_CFS_CFO,1,COLUMN())),1)),6)</f>
        <v>0</v>
      </c>
      <c r="AF812" s="328"/>
      <c r="AG812" s="328"/>
      <c r="AH812" s="328"/>
      <c r="AI812" s="328"/>
      <c r="AJ812" s="328">
        <f t="array" aca="1" ref="AJ812" ca="1">ROUND(SUM(AF644,AG644,AH644,AI644)-SUM(OFFSET(INDEX(MO_CFS_CFO_BeforeWC,1,COLUMN()),ROW(INDEX(MO_SubSection_CFS_CFO,1,COLUMN()))-ROW(INDEX(MO_CFS_CFO_BeforeWC,1,COLUMN())),0,ROW(INDEX(MO_CFS_CFO_BeforeWC,1,COLUMN()))-ROW(INDEX(MO_SubSection_CFS_CFO,1,COLUMN())),1)),6)</f>
        <v>0</v>
      </c>
      <c r="AK812" s="328"/>
      <c r="AL812" s="328"/>
      <c r="AM812" s="328"/>
      <c r="AN812" s="328"/>
      <c r="AO812" s="328">
        <f t="array" aca="1" ref="AO812" ca="1">ROUND(SUM(AK644,AL644,AM644,AN644)-SUM(OFFSET(INDEX(MO_CFS_CFO_BeforeWC,1,COLUMN()),ROW(INDEX(MO_SubSection_CFS_CFO,1,COLUMN()))-ROW(INDEX(MO_CFS_CFO_BeforeWC,1,COLUMN())),0,ROW(INDEX(MO_CFS_CFO_BeforeWC,1,COLUMN()))-ROW(INDEX(MO_SubSection_CFS_CFO,1,COLUMN())),1)),6)</f>
        <v>0</v>
      </c>
      <c r="AP812" s="328"/>
      <c r="AQ812" s="328"/>
      <c r="AR812" s="328"/>
      <c r="AS812" s="328"/>
      <c r="AT812" s="328">
        <f t="array" aca="1" ref="AT812" ca="1">ROUND(SUM(AP644,AQ644,AR644,AS644)-SUM(OFFSET(INDEX(MO_CFS_CFO_BeforeWC,1,COLUMN()),ROW(INDEX(MO_SubSection_CFS_CFO,1,COLUMN()))-ROW(INDEX(MO_CFS_CFO_BeforeWC,1,COLUMN())),0,ROW(INDEX(MO_CFS_CFO_BeforeWC,1,COLUMN()))-ROW(INDEX(MO_SubSection_CFS_CFO,1,COLUMN())),1)),6)</f>
        <v>0</v>
      </c>
      <c r="AU812" s="328"/>
      <c r="AV812" s="328"/>
      <c r="AW812" s="328"/>
      <c r="AX812" s="328"/>
      <c r="AY812" s="328">
        <f t="array" aca="1" ref="AY812" ca="1">ROUND(SUM(AU644,AV644,AW644,AX644)-SUM(OFFSET(INDEX(MO_CFS_CFO_BeforeWC,1,COLUMN()),ROW(INDEX(MO_SubSection_CFS_CFO,1,COLUMN()))-ROW(INDEX(MO_CFS_CFO_BeforeWC,1,COLUMN())),0,ROW(INDEX(MO_CFS_CFO_BeforeWC,1,COLUMN()))-ROW(INDEX(MO_SubSection_CFS_CFO,1,COLUMN())),1)),6)</f>
        <v>0</v>
      </c>
      <c r="AZ812" s="328"/>
      <c r="BA812" s="328"/>
      <c r="BB812" s="328"/>
      <c r="BC812" s="328"/>
      <c r="BD812" s="328">
        <f t="array" aca="1" ref="BD812" ca="1">ROUND(SUM(AZ644,BA644,BB644,BC644)-SUM(OFFSET(INDEX(MO_CFS_CFO_BeforeWC,1,COLUMN()),ROW(INDEX(MO_SubSection_CFS_CFO,1,COLUMN()))-ROW(INDEX(MO_CFS_CFO_BeforeWC,1,COLUMN())),0,ROW(INDEX(MO_CFS_CFO_BeforeWC,1,COLUMN()))-ROW(INDEX(MO_SubSection_CFS_CFO,1,COLUMN())),1)),6)</f>
        <v>0</v>
      </c>
      <c r="BE812" s="328"/>
      <c r="BF812" s="328"/>
      <c r="BG812" s="328"/>
      <c r="BH812" s="328"/>
      <c r="BI812" s="329">
        <f t="array" aca="1" ref="BI812" ca="1">ROUND(SUM(BE644,BF644,BG644,BH644)-SUM(OFFSET(INDEX(MO_CFS_CFO_BeforeWC,1,COLUMN()),ROW(INDEX(MO_SubSection_CFS_CFO,1,COLUMN()))-ROW(INDEX(MO_CFS_CFO_BeforeWC,1,COLUMN())),0,ROW(INDEX(MO_CFS_CFO_BeforeWC,1,COLUMN()))-ROW(INDEX(MO_SubSection_CFS_CFO,1,COLUMN())),1)),6)</f>
        <v>0</v>
      </c>
      <c r="BJ812" s="328"/>
      <c r="BK812" s="328"/>
      <c r="BL812" s="328"/>
      <c r="BM812" s="328"/>
      <c r="BN812" s="328">
        <f t="array" aca="1" ref="BN812" ca="1">ROUND(SUM(BJ644,BK644,BL644,BM644)-SUM(OFFSET(INDEX(MO_CFS_CFO_BeforeWC,1,COLUMN()),ROW(INDEX(MO_SubSection_CFS_CFO,1,COLUMN()))-ROW(INDEX(MO_CFS_CFO_BeforeWC,1,COLUMN())),0,ROW(INDEX(MO_CFS_CFO_BeforeWC,1,COLUMN()))-ROW(INDEX(MO_SubSection_CFS_CFO,1,COLUMN())),1)),6)</f>
        <v>0</v>
      </c>
      <c r="BO812" s="328"/>
      <c r="BP812" s="328"/>
      <c r="BQ812" s="328"/>
      <c r="BR812" s="328"/>
      <c r="BS812" s="328">
        <f t="array" aca="1" ref="BS812" ca="1">ROUND(SUM(BO644,BP644,BQ644,BR644)-SUM(OFFSET(INDEX(MO_CFS_CFO_BeforeWC,1,COLUMN()),ROW(INDEX(MO_SubSection_CFS_CFO,1,COLUMN()))-ROW(INDEX(MO_CFS_CFO_BeforeWC,1,COLUMN())),0,ROW(INDEX(MO_CFS_CFO_BeforeWC,1,COLUMN()))-ROW(INDEX(MO_SubSection_CFS_CFO,1,COLUMN())),1)),6)</f>
        <v>0</v>
      </c>
      <c r="BT812" s="328"/>
      <c r="BU812" s="328"/>
      <c r="BV812" s="328"/>
      <c r="BW812" s="4"/>
    </row>
    <row r="813" spans="1:75" ht="15.75" customHeight="1" x14ac:dyDescent="0.2">
      <c r="A813" s="4" t="s">
        <v>886</v>
      </c>
      <c r="B813" s="239"/>
      <c r="C813" s="328"/>
      <c r="D813" s="328"/>
      <c r="E813" s="328"/>
      <c r="F813" s="328"/>
      <c r="G813" s="328"/>
      <c r="H813" s="328"/>
      <c r="I813" s="328"/>
      <c r="J813" s="328"/>
      <c r="K813" s="328">
        <f t="array" aca="1" ref="K813" ca="1">ROUND(SUM(G658,H658,I658,J658)-SUM(OFFSET(INDEX(MO_CFS_CFO,1,COLUMN()),ROW(INDEX(MO_CFS_CFO_BeforeWC,1,COLUMN()))-ROW(INDEX(MO_CFS_CFO,1,COLUMN())),0,ROW(INDEX(MO_CFS_CFO,1,COLUMN()))-ROW(INDEX(MO_CFS_CFO_BeforeWC,1,COLUMN())),1)),6)</f>
        <v>0</v>
      </c>
      <c r="L813" s="328"/>
      <c r="M813" s="328"/>
      <c r="N813" s="328"/>
      <c r="O813" s="328"/>
      <c r="P813" s="328">
        <f t="array" aca="1" ref="P813" ca="1">ROUND(SUM(L658,M658,N658,O658)-SUM(OFFSET(INDEX(MO_CFS_CFO,1,COLUMN()),ROW(INDEX(MO_CFS_CFO_BeforeWC,1,COLUMN()))-ROW(INDEX(MO_CFS_CFO,1,COLUMN())),0,ROW(INDEX(MO_CFS_CFO,1,COLUMN()))-ROW(INDEX(MO_CFS_CFO_BeforeWC,1,COLUMN())),1)),6)</f>
        <v>0</v>
      </c>
      <c r="Q813" s="328"/>
      <c r="R813" s="328"/>
      <c r="S813" s="328"/>
      <c r="T813" s="328"/>
      <c r="U813" s="328">
        <f t="array" aca="1" ref="U813" ca="1">ROUND(SUM(Q658,R658,S658,T658)-SUM(OFFSET(INDEX(MO_CFS_CFO,1,COLUMN()),ROW(INDEX(MO_CFS_CFO_BeforeWC,1,COLUMN()))-ROW(INDEX(MO_CFS_CFO,1,COLUMN())),0,ROW(INDEX(MO_CFS_CFO,1,COLUMN()))-ROW(INDEX(MO_CFS_CFO_BeforeWC,1,COLUMN())),1)),6)</f>
        <v>0</v>
      </c>
      <c r="V813" s="328"/>
      <c r="W813" s="328"/>
      <c r="X813" s="328"/>
      <c r="Y813" s="328"/>
      <c r="Z813" s="328">
        <f t="array" aca="1" ref="Z813" ca="1">ROUND(SUM(V658,W658,X658,Y658)-SUM(OFFSET(INDEX(MO_CFS_CFO,1,COLUMN()),ROW(INDEX(MO_CFS_CFO_BeforeWC,1,COLUMN()))-ROW(INDEX(MO_CFS_CFO,1,COLUMN())),0,ROW(INDEX(MO_CFS_CFO,1,COLUMN()))-ROW(INDEX(MO_CFS_CFO_BeforeWC,1,COLUMN())),1)),6)</f>
        <v>0</v>
      </c>
      <c r="AA813" s="328"/>
      <c r="AB813" s="328"/>
      <c r="AC813" s="328"/>
      <c r="AD813" s="328"/>
      <c r="AE813" s="328">
        <f t="array" aca="1" ref="AE813" ca="1">ROUND(SUM(AA658,AB658,AC658,AD658)-SUM(OFFSET(INDEX(MO_CFS_CFO,1,COLUMN()),ROW(INDEX(MO_CFS_CFO_BeforeWC,1,COLUMN()))-ROW(INDEX(MO_CFS_CFO,1,COLUMN())),0,ROW(INDEX(MO_CFS_CFO,1,COLUMN()))-ROW(INDEX(MO_CFS_CFO_BeforeWC,1,COLUMN())),1)),6)</f>
        <v>0</v>
      </c>
      <c r="AF813" s="328"/>
      <c r="AG813" s="328"/>
      <c r="AH813" s="328"/>
      <c r="AI813" s="328"/>
      <c r="AJ813" s="328">
        <f t="array" aca="1" ref="AJ813" ca="1">ROUND(SUM(AF658,AG658,AH658,AI658)-SUM(OFFSET(INDEX(MO_CFS_CFO,1,COLUMN()),ROW(INDEX(MO_CFS_CFO_BeforeWC,1,COLUMN()))-ROW(INDEX(MO_CFS_CFO,1,COLUMN())),0,ROW(INDEX(MO_CFS_CFO,1,COLUMN()))-ROW(INDEX(MO_CFS_CFO_BeforeWC,1,COLUMN())),1)),6)</f>
        <v>0</v>
      </c>
      <c r="AK813" s="328"/>
      <c r="AL813" s="328"/>
      <c r="AM813" s="328"/>
      <c r="AN813" s="328"/>
      <c r="AO813" s="328">
        <f t="array" aca="1" ref="AO813" ca="1">ROUND(SUM(AK658,AL658,AM658,AN658)-SUM(OFFSET(INDEX(MO_CFS_CFO,1,COLUMN()),ROW(INDEX(MO_CFS_CFO_BeforeWC,1,COLUMN()))-ROW(INDEX(MO_CFS_CFO,1,COLUMN())),0,ROW(INDEX(MO_CFS_CFO,1,COLUMN()))-ROW(INDEX(MO_CFS_CFO_BeforeWC,1,COLUMN())),1)),6)</f>
        <v>0</v>
      </c>
      <c r="AP813" s="328"/>
      <c r="AQ813" s="328"/>
      <c r="AR813" s="328"/>
      <c r="AS813" s="328"/>
      <c r="AT813" s="328">
        <f t="array" aca="1" ref="AT813" ca="1">ROUND(SUM(AP658,AQ658,AR658,AS658)-SUM(OFFSET(INDEX(MO_CFS_CFO,1,COLUMN()),ROW(INDEX(MO_CFS_CFO_BeforeWC,1,COLUMN()))-ROW(INDEX(MO_CFS_CFO,1,COLUMN())),0,ROW(INDEX(MO_CFS_CFO,1,COLUMN()))-ROW(INDEX(MO_CFS_CFO_BeforeWC,1,COLUMN())),1)),6)</f>
        <v>0</v>
      </c>
      <c r="AU813" s="328"/>
      <c r="AV813" s="328"/>
      <c r="AW813" s="328"/>
      <c r="AX813" s="328"/>
      <c r="AY813" s="328">
        <f t="array" aca="1" ref="AY813" ca="1">ROUND(SUM(AU658,AV658,AW658,AX658)-SUM(OFFSET(INDEX(MO_CFS_CFO,1,COLUMN()),ROW(INDEX(MO_CFS_CFO_BeforeWC,1,COLUMN()))-ROW(INDEX(MO_CFS_CFO,1,COLUMN())),0,ROW(INDEX(MO_CFS_CFO,1,COLUMN()))-ROW(INDEX(MO_CFS_CFO_BeforeWC,1,COLUMN())),1)),6)</f>
        <v>0</v>
      </c>
      <c r="AZ813" s="328"/>
      <c r="BA813" s="328"/>
      <c r="BB813" s="328"/>
      <c r="BC813" s="328"/>
      <c r="BD813" s="328">
        <f t="array" aca="1" ref="BD813" ca="1">ROUND(SUM(AZ658,BA658,BB658,BC658)-SUM(OFFSET(INDEX(MO_CFS_CFO,1,COLUMN()),ROW(INDEX(MO_CFS_CFO_BeforeWC,1,COLUMN()))-ROW(INDEX(MO_CFS_CFO,1,COLUMN())),0,ROW(INDEX(MO_CFS_CFO,1,COLUMN()))-ROW(INDEX(MO_CFS_CFO_BeforeWC,1,COLUMN())),1)),6)</f>
        <v>0</v>
      </c>
      <c r="BE813" s="328"/>
      <c r="BF813" s="328"/>
      <c r="BG813" s="328"/>
      <c r="BH813" s="328"/>
      <c r="BI813" s="329">
        <f t="array" aca="1" ref="BI813" ca="1">ROUND(SUM(BE658,BF658,BG658,BH658)-SUM(OFFSET(INDEX(MO_CFS_CFO,1,COLUMN()),ROW(INDEX(MO_CFS_CFO_BeforeWC,1,COLUMN()))-ROW(INDEX(MO_CFS_CFO,1,COLUMN())),0,ROW(INDEX(MO_CFS_CFO,1,COLUMN()))-ROW(INDEX(MO_CFS_CFO_BeforeWC,1,COLUMN())),1)),6)</f>
        <v>0</v>
      </c>
      <c r="BJ813" s="328"/>
      <c r="BK813" s="328"/>
      <c r="BL813" s="328"/>
      <c r="BM813" s="328"/>
      <c r="BN813" s="328">
        <f t="array" aca="1" ref="BN813" ca="1">ROUND(SUM(BJ658,BK658,BL658,BM658)-SUM(OFFSET(INDEX(MO_CFS_CFO,1,COLUMN()),ROW(INDEX(MO_CFS_CFO_BeforeWC,1,COLUMN()))-ROW(INDEX(MO_CFS_CFO,1,COLUMN())),0,ROW(INDEX(MO_CFS_CFO,1,COLUMN()))-ROW(INDEX(MO_CFS_CFO_BeforeWC,1,COLUMN())),1)),6)</f>
        <v>0</v>
      </c>
      <c r="BO813" s="328"/>
      <c r="BP813" s="328"/>
      <c r="BQ813" s="328"/>
      <c r="BR813" s="328"/>
      <c r="BS813" s="328">
        <f t="array" aca="1" ref="BS813" ca="1">ROUND(SUM(BO658,BP658,BQ658,BR658)-SUM(OFFSET(INDEX(MO_CFS_CFO,1,COLUMN()),ROW(INDEX(MO_CFS_CFO_BeforeWC,1,COLUMN()))-ROW(INDEX(MO_CFS_CFO,1,COLUMN())),0,ROW(INDEX(MO_CFS_CFO,1,COLUMN()))-ROW(INDEX(MO_CFS_CFO_BeforeWC,1,COLUMN())),1)),6)</f>
        <v>0</v>
      </c>
      <c r="BT813" s="328"/>
      <c r="BU813" s="328"/>
      <c r="BV813" s="328"/>
      <c r="BW813" s="4"/>
    </row>
    <row r="814" spans="1:75" ht="15.75" customHeight="1" x14ac:dyDescent="0.2">
      <c r="A814" s="4" t="s">
        <v>887</v>
      </c>
      <c r="B814" s="239"/>
      <c r="C814" s="328"/>
      <c r="D814" s="328"/>
      <c r="E814" s="328"/>
      <c r="F814" s="328"/>
      <c r="G814" s="328"/>
      <c r="H814" s="328"/>
      <c r="I814" s="328"/>
      <c r="J814" s="328"/>
      <c r="K814" s="328">
        <f t="array" aca="1" ref="K814" ca="1">ROUND(SUM(G670,H670,I670,J670)-SUM(OFFSET(INDEX(MO_CFS_CFI,1,COLUMN()),ROW(INDEX(MO_SubSection_CFS_CFI,1,COLUMN()))-ROW(INDEX(MO_CFS_CFI,1,COLUMN())),0,ROW(INDEX(MO_CFS_CFI,1,COLUMN()))-ROW(INDEX(MO_SubSection_CFS_CFI,1,COLUMN())),1)),6)</f>
        <v>0</v>
      </c>
      <c r="L814" s="328"/>
      <c r="M814" s="328"/>
      <c r="N814" s="328"/>
      <c r="O814" s="328"/>
      <c r="P814" s="328">
        <f t="array" aca="1" ref="P814" ca="1">ROUND(SUM(L670,M670,N670,O670)-SUM(OFFSET(INDEX(MO_CFS_CFI,1,COLUMN()),ROW(INDEX(MO_SubSection_CFS_CFI,1,COLUMN()))-ROW(INDEX(MO_CFS_CFI,1,COLUMN())),0,ROW(INDEX(MO_CFS_CFI,1,COLUMN()))-ROW(INDEX(MO_SubSection_CFS_CFI,1,COLUMN())),1)),6)</f>
        <v>0</v>
      </c>
      <c r="Q814" s="328"/>
      <c r="R814" s="328"/>
      <c r="S814" s="328"/>
      <c r="T814" s="328"/>
      <c r="U814" s="328">
        <f t="array" aca="1" ref="U814" ca="1">ROUND(SUM(Q670,R670,S670,T670)-SUM(OFFSET(INDEX(MO_CFS_CFI,1,COLUMN()),ROW(INDEX(MO_SubSection_CFS_CFI,1,COLUMN()))-ROW(INDEX(MO_CFS_CFI,1,COLUMN())),0,ROW(INDEX(MO_CFS_CFI,1,COLUMN()))-ROW(INDEX(MO_SubSection_CFS_CFI,1,COLUMN())),1)),6)</f>
        <v>0</v>
      </c>
      <c r="V814" s="328"/>
      <c r="W814" s="328"/>
      <c r="X814" s="328"/>
      <c r="Y814" s="328"/>
      <c r="Z814" s="328">
        <f t="array" aca="1" ref="Z814" ca="1">ROUND(SUM(V670,W670,X670,Y670)-SUM(OFFSET(INDEX(MO_CFS_CFI,1,COLUMN()),ROW(INDEX(MO_SubSection_CFS_CFI,1,COLUMN()))-ROW(INDEX(MO_CFS_CFI,1,COLUMN())),0,ROW(INDEX(MO_CFS_CFI,1,COLUMN()))-ROW(INDEX(MO_SubSection_CFS_CFI,1,COLUMN())),1)),6)</f>
        <v>0</v>
      </c>
      <c r="AA814" s="328"/>
      <c r="AB814" s="328"/>
      <c r="AC814" s="328"/>
      <c r="AD814" s="328"/>
      <c r="AE814" s="328">
        <f t="array" aca="1" ref="AE814" ca="1">ROUND(SUM(AA670,AB670,AC670,AD670)-SUM(OFFSET(INDEX(MO_CFS_CFI,1,COLUMN()),ROW(INDEX(MO_SubSection_CFS_CFI,1,COLUMN()))-ROW(INDEX(MO_CFS_CFI,1,COLUMN())),0,ROW(INDEX(MO_CFS_CFI,1,COLUMN()))-ROW(INDEX(MO_SubSection_CFS_CFI,1,COLUMN())),1)),6)</f>
        <v>0</v>
      </c>
      <c r="AF814" s="328"/>
      <c r="AG814" s="328"/>
      <c r="AH814" s="328"/>
      <c r="AI814" s="328"/>
      <c r="AJ814" s="328">
        <f t="array" aca="1" ref="AJ814" ca="1">ROUND(SUM(AF670,AG670,AH670,AI670)-SUM(OFFSET(INDEX(MO_CFS_CFI,1,COLUMN()),ROW(INDEX(MO_SubSection_CFS_CFI,1,COLUMN()))-ROW(INDEX(MO_CFS_CFI,1,COLUMN())),0,ROW(INDEX(MO_CFS_CFI,1,COLUMN()))-ROW(INDEX(MO_SubSection_CFS_CFI,1,COLUMN())),1)),6)</f>
        <v>0</v>
      </c>
      <c r="AK814" s="328"/>
      <c r="AL814" s="328"/>
      <c r="AM814" s="328"/>
      <c r="AN814" s="328"/>
      <c r="AO814" s="328">
        <f t="array" aca="1" ref="AO814" ca="1">ROUND(SUM(AK670,AL670,AM670,AN670)-SUM(OFFSET(INDEX(MO_CFS_CFI,1,COLUMN()),ROW(INDEX(MO_SubSection_CFS_CFI,1,COLUMN()))-ROW(INDEX(MO_CFS_CFI,1,COLUMN())),0,ROW(INDEX(MO_CFS_CFI,1,COLUMN()))-ROW(INDEX(MO_SubSection_CFS_CFI,1,COLUMN())),1)),6)</f>
        <v>0</v>
      </c>
      <c r="AP814" s="328"/>
      <c r="AQ814" s="328"/>
      <c r="AR814" s="328"/>
      <c r="AS814" s="328"/>
      <c r="AT814" s="328">
        <f t="array" aca="1" ref="AT814" ca="1">ROUND(SUM(AP670,AQ670,AR670,AS670)-SUM(OFFSET(INDEX(MO_CFS_CFI,1,COLUMN()),ROW(INDEX(MO_SubSection_CFS_CFI,1,COLUMN()))-ROW(INDEX(MO_CFS_CFI,1,COLUMN())),0,ROW(INDEX(MO_CFS_CFI,1,COLUMN()))-ROW(INDEX(MO_SubSection_CFS_CFI,1,COLUMN())),1)),6)</f>
        <v>0</v>
      </c>
      <c r="AU814" s="328"/>
      <c r="AV814" s="328"/>
      <c r="AW814" s="328"/>
      <c r="AX814" s="328"/>
      <c r="AY814" s="328">
        <f t="array" aca="1" ref="AY814" ca="1">ROUND(SUM(AU670,AV670,AW670,AX670)-SUM(OFFSET(INDEX(MO_CFS_CFI,1,COLUMN()),ROW(INDEX(MO_SubSection_CFS_CFI,1,COLUMN()))-ROW(INDEX(MO_CFS_CFI,1,COLUMN())),0,ROW(INDEX(MO_CFS_CFI,1,COLUMN()))-ROW(INDEX(MO_SubSection_CFS_CFI,1,COLUMN())),1)),6)</f>
        <v>0</v>
      </c>
      <c r="AZ814" s="328"/>
      <c r="BA814" s="328"/>
      <c r="BB814" s="328"/>
      <c r="BC814" s="328"/>
      <c r="BD814" s="328">
        <f t="array" aca="1" ref="BD814" ca="1">ROUND(SUM(AZ670,BA670,BB670,BC670)-SUM(OFFSET(INDEX(MO_CFS_CFI,1,COLUMN()),ROW(INDEX(MO_SubSection_CFS_CFI,1,COLUMN()))-ROW(INDEX(MO_CFS_CFI,1,COLUMN())),0,ROW(INDEX(MO_CFS_CFI,1,COLUMN()))-ROW(INDEX(MO_SubSection_CFS_CFI,1,COLUMN())),1)),6)</f>
        <v>0</v>
      </c>
      <c r="BE814" s="328"/>
      <c r="BF814" s="328"/>
      <c r="BG814" s="328"/>
      <c r="BH814" s="328"/>
      <c r="BI814" s="329">
        <f t="array" aca="1" ref="BI814" ca="1">ROUND(SUM(BE670,BF670,BG670,BH670)-SUM(OFFSET(INDEX(MO_CFS_CFI,1,COLUMN()),ROW(INDEX(MO_SubSection_CFS_CFI,1,COLUMN()))-ROW(INDEX(MO_CFS_CFI,1,COLUMN())),0,ROW(INDEX(MO_CFS_CFI,1,COLUMN()))-ROW(INDEX(MO_SubSection_CFS_CFI,1,COLUMN())),1)),6)</f>
        <v>0</v>
      </c>
      <c r="BJ814" s="328"/>
      <c r="BK814" s="328"/>
      <c r="BL814" s="328"/>
      <c r="BM814" s="328"/>
      <c r="BN814" s="328">
        <f t="array" aca="1" ref="BN814" ca="1">ROUND(SUM(BJ670,BK670,BL670,BM670)-SUM(OFFSET(INDEX(MO_CFS_CFI,1,COLUMN()),ROW(INDEX(MO_SubSection_CFS_CFI,1,COLUMN()))-ROW(INDEX(MO_CFS_CFI,1,COLUMN())),0,ROW(INDEX(MO_CFS_CFI,1,COLUMN()))-ROW(INDEX(MO_SubSection_CFS_CFI,1,COLUMN())),1)),6)</f>
        <v>0</v>
      </c>
      <c r="BO814" s="328"/>
      <c r="BP814" s="328"/>
      <c r="BQ814" s="328"/>
      <c r="BR814" s="328"/>
      <c r="BS814" s="328">
        <f t="array" aca="1" ref="BS814" ca="1">ROUND(SUM(BO670,BP670,BQ670,BR670)-SUM(OFFSET(INDEX(MO_CFS_CFI,1,COLUMN()),ROW(INDEX(MO_SubSection_CFS_CFI,1,COLUMN()))-ROW(INDEX(MO_CFS_CFI,1,COLUMN())),0,ROW(INDEX(MO_CFS_CFI,1,COLUMN()))-ROW(INDEX(MO_SubSection_CFS_CFI,1,COLUMN())),1)),6)</f>
        <v>0</v>
      </c>
      <c r="BT814" s="328"/>
      <c r="BU814" s="328"/>
      <c r="BV814" s="328"/>
      <c r="BW814" s="4"/>
    </row>
    <row r="815" spans="1:75" ht="15.75" customHeight="1" x14ac:dyDescent="0.2">
      <c r="A815" s="4" t="s">
        <v>888</v>
      </c>
      <c r="B815" s="239"/>
      <c r="C815" s="328"/>
      <c r="D815" s="328"/>
      <c r="E815" s="328"/>
      <c r="F815" s="328"/>
      <c r="G815" s="328"/>
      <c r="H815" s="328"/>
      <c r="I815" s="328"/>
      <c r="J815" s="328"/>
      <c r="K815" s="328">
        <f t="array" aca="1" ref="K815" ca="1">ROUND(SUM(G693,H693,I693,J693)-SUM(OFFSET(INDEX(MO_CFS_CFF,1,COLUMN()),ROW(INDEX(MO_SubSection_CFS_CFF,1,COLUMN()))-ROW(INDEX(MO_CFS_CFF,1,COLUMN())),0,ROW(INDEX(MO_CFS_CFF,1,COLUMN()))-ROW(INDEX(MO_SubSection_CFS_CFF,1,COLUMN())),1)),6)</f>
        <v>0</v>
      </c>
      <c r="L815" s="328"/>
      <c r="M815" s="328"/>
      <c r="N815" s="328"/>
      <c r="O815" s="328"/>
      <c r="P815" s="328">
        <f t="array" aca="1" ref="P815" ca="1">ROUND(SUM(L693,M693,N693,O693)-SUM(OFFSET(INDEX(MO_CFS_CFF,1,COLUMN()),ROW(INDEX(MO_SubSection_CFS_CFF,1,COLUMN()))-ROW(INDEX(MO_CFS_CFF,1,COLUMN())),0,ROW(INDEX(MO_CFS_CFF,1,COLUMN()))-ROW(INDEX(MO_SubSection_CFS_CFF,1,COLUMN())),1)),6)</f>
        <v>0</v>
      </c>
      <c r="Q815" s="328"/>
      <c r="R815" s="328"/>
      <c r="S815" s="328"/>
      <c r="T815" s="328"/>
      <c r="U815" s="328">
        <f t="array" aca="1" ref="U815" ca="1">ROUND(SUM(Q693,R693,S693,T693)-SUM(OFFSET(INDEX(MO_CFS_CFF,1,COLUMN()),ROW(INDEX(MO_SubSection_CFS_CFF,1,COLUMN()))-ROW(INDEX(MO_CFS_CFF,1,COLUMN())),0,ROW(INDEX(MO_CFS_CFF,1,COLUMN()))-ROW(INDEX(MO_SubSection_CFS_CFF,1,COLUMN())),1)),6)</f>
        <v>0</v>
      </c>
      <c r="V815" s="328"/>
      <c r="W815" s="328"/>
      <c r="X815" s="328"/>
      <c r="Y815" s="328"/>
      <c r="Z815" s="328">
        <f t="array" aca="1" ref="Z815" ca="1">ROUND(SUM(V693,W693,X693,Y693)-SUM(OFFSET(INDEX(MO_CFS_CFF,1,COLUMN()),ROW(INDEX(MO_SubSection_CFS_CFF,1,COLUMN()))-ROW(INDEX(MO_CFS_CFF,1,COLUMN())),0,ROW(INDEX(MO_CFS_CFF,1,COLUMN()))-ROW(INDEX(MO_SubSection_CFS_CFF,1,COLUMN())),1)),6)</f>
        <v>0</v>
      </c>
      <c r="AA815" s="328"/>
      <c r="AB815" s="328"/>
      <c r="AC815" s="328"/>
      <c r="AD815" s="328"/>
      <c r="AE815" s="328">
        <f t="array" aca="1" ref="AE815" ca="1">ROUND(SUM(AA693,AB693,AC693,AD693)-SUM(OFFSET(INDEX(MO_CFS_CFF,1,COLUMN()),ROW(INDEX(MO_SubSection_CFS_CFF,1,COLUMN()))-ROW(INDEX(MO_CFS_CFF,1,COLUMN())),0,ROW(INDEX(MO_CFS_CFF,1,COLUMN()))-ROW(INDEX(MO_SubSection_CFS_CFF,1,COLUMN())),1)),6)</f>
        <v>0</v>
      </c>
      <c r="AF815" s="328"/>
      <c r="AG815" s="328"/>
      <c r="AH815" s="328"/>
      <c r="AI815" s="328"/>
      <c r="AJ815" s="328">
        <f t="array" aca="1" ref="AJ815" ca="1">ROUND(SUM(AF693,AG693,AH693,AI693)-SUM(OFFSET(INDEX(MO_CFS_CFF,1,COLUMN()),ROW(INDEX(MO_SubSection_CFS_CFF,1,COLUMN()))-ROW(INDEX(MO_CFS_CFF,1,COLUMN())),0,ROW(INDEX(MO_CFS_CFF,1,COLUMN()))-ROW(INDEX(MO_SubSection_CFS_CFF,1,COLUMN())),1)),6)</f>
        <v>0</v>
      </c>
      <c r="AK815" s="328"/>
      <c r="AL815" s="328"/>
      <c r="AM815" s="328"/>
      <c r="AN815" s="328"/>
      <c r="AO815" s="328">
        <f t="array" aca="1" ref="AO815" ca="1">ROUND(SUM(AK693,AL693,AM693,AN693)-SUM(OFFSET(INDEX(MO_CFS_CFF,1,COLUMN()),ROW(INDEX(MO_SubSection_CFS_CFF,1,COLUMN()))-ROW(INDEX(MO_CFS_CFF,1,COLUMN())),0,ROW(INDEX(MO_CFS_CFF,1,COLUMN()))-ROW(INDEX(MO_SubSection_CFS_CFF,1,COLUMN())),1)),6)</f>
        <v>0</v>
      </c>
      <c r="AP815" s="328"/>
      <c r="AQ815" s="328"/>
      <c r="AR815" s="328"/>
      <c r="AS815" s="328"/>
      <c r="AT815" s="328">
        <f t="array" aca="1" ref="AT815" ca="1">ROUND(SUM(AP693,AQ693,AR693,AS693)-SUM(OFFSET(INDEX(MO_CFS_CFF,1,COLUMN()),ROW(INDEX(MO_SubSection_CFS_CFF,1,COLUMN()))-ROW(INDEX(MO_CFS_CFF,1,COLUMN())),0,ROW(INDEX(MO_CFS_CFF,1,COLUMN()))-ROW(INDEX(MO_SubSection_CFS_CFF,1,COLUMN())),1)),6)</f>
        <v>0</v>
      </c>
      <c r="AU815" s="328"/>
      <c r="AV815" s="328"/>
      <c r="AW815" s="328"/>
      <c r="AX815" s="328"/>
      <c r="AY815" s="328">
        <f t="array" aca="1" ref="AY815" ca="1">ROUND(SUM(AU693,AV693,AW693,AX693)-SUM(OFFSET(INDEX(MO_CFS_CFF,1,COLUMN()),ROW(INDEX(MO_SubSection_CFS_CFF,1,COLUMN()))-ROW(INDEX(MO_CFS_CFF,1,COLUMN())),0,ROW(INDEX(MO_CFS_CFF,1,COLUMN()))-ROW(INDEX(MO_SubSection_CFS_CFF,1,COLUMN())),1)),6)</f>
        <v>0</v>
      </c>
      <c r="AZ815" s="328"/>
      <c r="BA815" s="328"/>
      <c r="BB815" s="328"/>
      <c r="BC815" s="328"/>
      <c r="BD815" s="328">
        <f t="array" aca="1" ref="BD815" ca="1">ROUND(SUM(AZ693,BA693,BB693,BC693)-SUM(OFFSET(INDEX(MO_CFS_CFF,1,COLUMN()),ROW(INDEX(MO_SubSection_CFS_CFF,1,COLUMN()))-ROW(INDEX(MO_CFS_CFF,1,COLUMN())),0,ROW(INDEX(MO_CFS_CFF,1,COLUMN()))-ROW(INDEX(MO_SubSection_CFS_CFF,1,COLUMN())),1)),6)</f>
        <v>0</v>
      </c>
      <c r="BE815" s="328"/>
      <c r="BF815" s="328"/>
      <c r="BG815" s="328"/>
      <c r="BH815" s="328"/>
      <c r="BI815" s="329">
        <f t="array" aca="1" ref="BI815" ca="1">ROUND(SUM(BE693,BF693,BG693,BH693)-SUM(OFFSET(INDEX(MO_CFS_CFF,1,COLUMN()),ROW(INDEX(MO_SubSection_CFS_CFF,1,COLUMN()))-ROW(INDEX(MO_CFS_CFF,1,COLUMN())),0,ROW(INDEX(MO_CFS_CFF,1,COLUMN()))-ROW(INDEX(MO_SubSection_CFS_CFF,1,COLUMN())),1)),6)</f>
        <v>0</v>
      </c>
      <c r="BJ815" s="328"/>
      <c r="BK815" s="328"/>
      <c r="BL815" s="328"/>
      <c r="BM815" s="328"/>
      <c r="BN815" s="328">
        <f t="array" aca="1" ref="BN815" ca="1">ROUND(SUM(BJ693,BK693,BL693,BM693)-SUM(OFFSET(INDEX(MO_CFS_CFF,1,COLUMN()),ROW(INDEX(MO_SubSection_CFS_CFF,1,COLUMN()))-ROW(INDEX(MO_CFS_CFF,1,COLUMN())),0,ROW(INDEX(MO_CFS_CFF,1,COLUMN()))-ROW(INDEX(MO_SubSection_CFS_CFF,1,COLUMN())),1)),6)</f>
        <v>0</v>
      </c>
      <c r="BO815" s="328"/>
      <c r="BP815" s="328"/>
      <c r="BQ815" s="328"/>
      <c r="BR815" s="328"/>
      <c r="BS815" s="328">
        <f t="array" aca="1" ref="BS815" ca="1">ROUND(SUM(BO693,BP693,BQ693,BR693)-SUM(OFFSET(INDEX(MO_CFS_CFF,1,COLUMN()),ROW(INDEX(MO_SubSection_CFS_CFF,1,COLUMN()))-ROW(INDEX(MO_CFS_CFF,1,COLUMN())),0,ROW(INDEX(MO_CFS_CFF,1,COLUMN()))-ROW(INDEX(MO_SubSection_CFS_CFF,1,COLUMN())),1)),6)</f>
        <v>0</v>
      </c>
      <c r="BT815" s="328"/>
      <c r="BU815" s="328"/>
      <c r="BV815" s="328"/>
      <c r="BW815" s="4"/>
    </row>
    <row r="816" spans="1:75" ht="15.75" customHeight="1" x14ac:dyDescent="0.2">
      <c r="A816" s="4" t="s">
        <v>889</v>
      </c>
      <c r="B816" s="239"/>
      <c r="C816" s="328"/>
      <c r="D816" s="328"/>
      <c r="E816" s="328"/>
      <c r="F816" s="328"/>
      <c r="G816" s="328"/>
      <c r="H816" s="328"/>
      <c r="I816" s="328"/>
      <c r="J816" s="328"/>
      <c r="K816" s="328">
        <f t="array" ref="K816">ROUND(SUM(INDEX(MO_CFSum_Acquisition,0,COLUMN()),INDEX(MO_CFSum_Capex,0,COLUMN()),INDEX(MO_CFSum_Divestiture,0,COLUMN()),INDEX(MO_CFSum_Dividend,0,COLUMN()))-SUM(G501,H501,I501,J501,G502,H502,I502,J502,G503,H503,I503,J503)-SUM(G499,H499,I499,J499),6)</f>
        <v>0</v>
      </c>
      <c r="L816" s="328"/>
      <c r="M816" s="328"/>
      <c r="N816" s="328"/>
      <c r="O816" s="328"/>
      <c r="P816" s="328">
        <f t="array" ref="P816">ROUND(SUM(INDEX(MO_CFSum_Acquisition,0,COLUMN()),INDEX(MO_CFSum_Capex,0,COLUMN()),INDEX(MO_CFSum_Divestiture,0,COLUMN()),INDEX(MO_CFSum_Dividend,0,COLUMN()))-SUM(L501,M501,N501,O501,L502,M502,N502,O502,L503,M503,N503,O503)-SUM(L499,M499,N499,O499),6)</f>
        <v>0</v>
      </c>
      <c r="Q816" s="328"/>
      <c r="R816" s="328"/>
      <c r="S816" s="328"/>
      <c r="T816" s="328"/>
      <c r="U816" s="328">
        <f t="array" ref="U816">ROUND(SUM(INDEX(MO_CFSum_Acquisition,0,COLUMN()),INDEX(MO_CFSum_Capex,0,COLUMN()),INDEX(MO_CFSum_Divestiture,0,COLUMN()),INDEX(MO_CFSum_Dividend,0,COLUMN()))-SUM(Q501,R501,S501,T501,Q502,R502,S502,T502,Q503,R503,S503,T503)-SUM(Q499,R499,S499,T499),6)</f>
        <v>0</v>
      </c>
      <c r="V816" s="328"/>
      <c r="W816" s="328"/>
      <c r="X816" s="328"/>
      <c r="Y816" s="328"/>
      <c r="Z816" s="328">
        <f t="array" ref="Z816">ROUND(SUM(INDEX(MO_CFSum_Acquisition,0,COLUMN()),INDEX(MO_CFSum_Capex,0,COLUMN()),INDEX(MO_CFSum_Divestiture,0,COLUMN()),INDEX(MO_CFSum_Dividend,0,COLUMN()))-SUM(V501,W501,X501,Y501,V502,W502,X502,Y502,V503,W503,X503,Y503)-SUM(V499,W499,X499,Y499),6)</f>
        <v>0</v>
      </c>
      <c r="AA816" s="328"/>
      <c r="AB816" s="328"/>
      <c r="AC816" s="328"/>
      <c r="AD816" s="328"/>
      <c r="AE816" s="328">
        <f t="array" ref="AE816">ROUND(SUM(INDEX(MO_CFSum_Acquisition,0,COLUMN()),INDEX(MO_CFSum_Capex,0,COLUMN()),INDEX(MO_CFSum_Divestiture,0,COLUMN()),INDEX(MO_CFSum_Dividend,0,COLUMN()))-SUM(AA501,AB501,AC501,AD501,AA502,AB502,AC502,AD502,AA503,AB503,AC503,AD503)-SUM(AA499,AB499,AC499,AD499),6)</f>
        <v>0</v>
      </c>
      <c r="AF816" s="328"/>
      <c r="AG816" s="328"/>
      <c r="AH816" s="328"/>
      <c r="AI816" s="328"/>
      <c r="AJ816" s="328">
        <f t="array" ref="AJ816">ROUND(SUM(INDEX(MO_CFSum_Acquisition,0,COLUMN()),INDEX(MO_CFSum_Capex,0,COLUMN()),INDEX(MO_CFSum_Divestiture,0,COLUMN()),INDEX(MO_CFSum_Dividend,0,COLUMN()))-SUM(AF501,AG501,AH501,AI501,AF502,AG502,AH502,AI502,AF503,AG503,AH503,AI503)-SUM(AF499,AG499,AH499,AI499),6)</f>
        <v>0</v>
      </c>
      <c r="AK816" s="328"/>
      <c r="AL816" s="328"/>
      <c r="AM816" s="328"/>
      <c r="AN816" s="328"/>
      <c r="AO816" s="328">
        <f t="array" ref="AO816">ROUND(SUM(INDEX(MO_CFSum_Acquisition,0,COLUMN()),INDEX(MO_CFSum_Capex,0,COLUMN()),INDEX(MO_CFSum_Divestiture,0,COLUMN()),INDEX(MO_CFSum_Dividend,0,COLUMN()))-SUM(AK501,AL501,AM501,AN501,AK502,AL502,AM502,AN502,AK503,AL503,AM503,AN503)-SUM(AK499,AL499,AM499,AN499),6)</f>
        <v>0</v>
      </c>
      <c r="AP816" s="328"/>
      <c r="AQ816" s="328"/>
      <c r="AR816" s="328"/>
      <c r="AS816" s="328"/>
      <c r="AT816" s="328">
        <f t="array" ref="AT816">ROUND(SUM(INDEX(MO_CFSum_Acquisition,0,COLUMN()),INDEX(MO_CFSum_Capex,0,COLUMN()),INDEX(MO_CFSum_Divestiture,0,COLUMN()),INDEX(MO_CFSum_Dividend,0,COLUMN()))-SUM(AP501,AQ501,AR501,AS501,AP502,AQ502,AR502,AS502,AP503,AQ503,AR503,AS503)-SUM(AP499,AQ499,AR499,AS499),6)</f>
        <v>0</v>
      </c>
      <c r="AU816" s="328"/>
      <c r="AV816" s="328"/>
      <c r="AW816" s="328"/>
      <c r="AX816" s="328"/>
      <c r="AY816" s="328">
        <f t="array" ref="AY816">ROUND(SUM(INDEX(MO_CFSum_Acquisition,0,COLUMN()),INDEX(MO_CFSum_Capex,0,COLUMN()),INDEX(MO_CFSum_Divestiture,0,COLUMN()),INDEX(MO_CFSum_Dividend,0,COLUMN()))-SUM(AU501,AV501,AW501,AX501,AU502,AV502,AW502,AX502,AU503,AV503,AW503,AX503)-SUM(AU499,AV499,AW499,AX499),6)</f>
        <v>-1.53</v>
      </c>
      <c r="AZ816" s="328"/>
      <c r="BA816" s="328"/>
      <c r="BB816" s="328"/>
      <c r="BC816" s="328"/>
      <c r="BD816" s="328">
        <f t="array" ref="BD816">ROUND(SUM(INDEX(MO_CFSum_Acquisition,0,COLUMN()),INDEX(MO_CFSum_Capex,0,COLUMN()),INDEX(MO_CFSum_Divestiture,0,COLUMN()),INDEX(MO_CFSum_Dividend,0,COLUMN()))-SUM(AZ501,BA501,BB501,BC501,AZ502,BA502,BB502,BC502,AZ503,BA503,BB503,BC503)-SUM(AZ499,BA499,BB499,BC499),6)</f>
        <v>0</v>
      </c>
      <c r="BE816" s="328"/>
      <c r="BF816" s="328"/>
      <c r="BG816" s="328"/>
      <c r="BH816" s="328"/>
      <c r="BI816" s="329">
        <f t="array" ref="BI816">ROUND(SUM(INDEX(MO_CFSum_Acquisition,0,COLUMN()),INDEX(MO_CFSum_Capex,0,COLUMN()),INDEX(MO_CFSum_Divestiture,0,COLUMN()),INDEX(MO_CFSum_Dividend,0,COLUMN()))-SUM(BE501,BF501,BG501,BH501,BE502,BF502,BG502,BH502,BE503,BF503,BG503,BH503)-SUM(BE499,BF499,BG499,BH499),6)</f>
        <v>0</v>
      </c>
      <c r="BJ816" s="328"/>
      <c r="BK816" s="328"/>
      <c r="BL816" s="328"/>
      <c r="BM816" s="328"/>
      <c r="BN816" s="328">
        <f t="array" aca="1" ref="BN816" ca="1">ROUND(SUM(INDEX(MO_CFSum_Acquisition,0,COLUMN()),INDEX(MO_CFSum_Capex,0,COLUMN()),INDEX(MO_CFSum_Divestiture,0,COLUMN()),INDEX(MO_CFSum_Dividend,0,COLUMN()))-SUM(BJ501,BK501,BL501,BM501,BJ502,BK502,BL502,BM502,BJ503,BK503,BL503,BM503)-SUM(BJ499,BK499,BL499,BM499),6)</f>
        <v>0</v>
      </c>
      <c r="BO816" s="328"/>
      <c r="BP816" s="328"/>
      <c r="BQ816" s="328"/>
      <c r="BR816" s="328"/>
      <c r="BS816" s="328">
        <f t="array" aca="1" ref="BS816" ca="1">ROUND(SUM(INDEX(MO_CFSum_Acquisition,0,COLUMN()),INDEX(MO_CFSum_Capex,0,COLUMN()),INDEX(MO_CFSum_Divestiture,0,COLUMN()),INDEX(MO_CFSum_Dividend,0,COLUMN()))-SUM(BO501,BP501,BQ501,BR501,BO502,BP502,BQ502,BR502,BO503,BP503,BQ503,BR503)-SUM(BO499,BP499,BQ499,BR499),6)</f>
        <v>0</v>
      </c>
      <c r="BT816" s="328"/>
      <c r="BU816" s="328"/>
      <c r="BV816" s="328"/>
      <c r="BW816" s="4"/>
    </row>
    <row r="817" spans="1:75"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3"/>
      <c r="BJ817" s="2"/>
      <c r="BK817" s="2"/>
      <c r="BL817" s="2"/>
      <c r="BM817" s="2"/>
      <c r="BN817" s="2"/>
      <c r="BO817" s="2"/>
      <c r="BP817" s="2"/>
      <c r="BQ817" s="2"/>
      <c r="BR817" s="2"/>
      <c r="BS817" s="2"/>
      <c r="BT817" s="2"/>
      <c r="BU817" s="2"/>
      <c r="BV817" s="2"/>
      <c r="BW817" s="4"/>
    </row>
    <row r="818" spans="1:75" ht="15.75" customHeight="1" x14ac:dyDescent="0.2">
      <c r="A818" s="81" t="s">
        <v>890</v>
      </c>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c r="AI818" s="81"/>
      <c r="AJ818" s="81"/>
      <c r="AK818" s="81"/>
      <c r="AL818" s="81"/>
      <c r="AM818" s="81"/>
      <c r="AN818" s="81"/>
      <c r="AO818" s="81"/>
      <c r="AP818" s="81"/>
      <c r="AQ818" s="81"/>
      <c r="AR818" s="81"/>
      <c r="AS818" s="81"/>
      <c r="AT818" s="81"/>
      <c r="AU818" s="81"/>
      <c r="AV818" s="81"/>
      <c r="AW818" s="81"/>
      <c r="AX818" s="81"/>
      <c r="AY818" s="81"/>
      <c r="AZ818" s="81"/>
      <c r="BA818" s="81"/>
      <c r="BB818" s="81"/>
      <c r="BC818" s="81"/>
      <c r="BD818" s="81"/>
      <c r="BE818" s="81"/>
      <c r="BF818" s="81"/>
      <c r="BG818" s="81"/>
      <c r="BH818" s="81"/>
      <c r="BI818" s="82"/>
      <c r="BJ818" s="81"/>
      <c r="BK818" s="81"/>
      <c r="BL818" s="81"/>
      <c r="BM818" s="81"/>
      <c r="BN818" s="81"/>
      <c r="BO818" s="81"/>
      <c r="BP818" s="81"/>
      <c r="BQ818" s="81"/>
      <c r="BR818" s="81"/>
      <c r="BS818" s="81"/>
      <c r="BT818" s="81"/>
      <c r="BU818" s="81"/>
      <c r="BV818" s="81"/>
      <c r="BW818" s="83"/>
    </row>
    <row r="819" spans="1:75" ht="15.75" customHeight="1" x14ac:dyDescent="0.2">
      <c r="A819" s="9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3"/>
      <c r="BJ819" s="2"/>
      <c r="BK819" s="2"/>
      <c r="BL819" s="2"/>
      <c r="BM819" s="2"/>
      <c r="BN819" s="2"/>
      <c r="BO819" s="2"/>
      <c r="BP819" s="2"/>
      <c r="BQ819" s="2"/>
      <c r="BR819" s="2"/>
      <c r="BS819" s="2"/>
      <c r="BT819" s="2"/>
      <c r="BU819" s="2"/>
      <c r="BV819" s="2"/>
      <c r="BW819" s="4"/>
    </row>
    <row r="820" spans="1:75" ht="15.75" customHeight="1" x14ac:dyDescent="0.2">
      <c r="A820" s="502" t="s">
        <v>891</v>
      </c>
      <c r="B820" s="503"/>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c r="AL820" s="121"/>
      <c r="AM820" s="121"/>
      <c r="AN820" s="121"/>
      <c r="AO820" s="121"/>
      <c r="AP820" s="121"/>
      <c r="AQ820" s="121"/>
      <c r="AR820" s="121"/>
      <c r="AS820" s="121"/>
      <c r="AT820" s="121"/>
      <c r="AU820" s="121"/>
      <c r="AV820" s="121"/>
      <c r="AW820" s="121"/>
      <c r="AX820" s="121"/>
      <c r="AY820" s="121"/>
      <c r="AZ820" s="121"/>
      <c r="BA820" s="121"/>
      <c r="BB820" s="121"/>
      <c r="BC820" s="121"/>
      <c r="BD820" s="121"/>
      <c r="BE820" s="121"/>
      <c r="BF820" s="121"/>
      <c r="BG820" s="121"/>
      <c r="BH820" s="121"/>
      <c r="BI820" s="504"/>
      <c r="BJ820" s="121"/>
      <c r="BK820" s="121"/>
      <c r="BL820" s="121"/>
      <c r="BM820" s="121"/>
      <c r="BN820" s="121"/>
      <c r="BO820" s="121"/>
      <c r="BP820" s="121"/>
      <c r="BQ820" s="121"/>
      <c r="BR820" s="121"/>
      <c r="BS820" s="121"/>
      <c r="BT820" s="121"/>
      <c r="BU820" s="121"/>
      <c r="BV820" s="121"/>
      <c r="BW820" s="120"/>
    </row>
    <row r="821" spans="1:75" ht="15.75" customHeight="1" x14ac:dyDescent="0.2">
      <c r="A821" s="505" t="s">
        <v>892</v>
      </c>
      <c r="B821" s="506"/>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c r="AB821" s="154"/>
      <c r="AC821" s="154"/>
      <c r="AD821" s="154"/>
      <c r="AE821" s="154"/>
      <c r="AF821" s="154"/>
      <c r="AG821" s="154"/>
      <c r="AH821" s="154"/>
      <c r="AI821" s="154"/>
      <c r="AJ821" s="154"/>
      <c r="AK821" s="154"/>
      <c r="AL821" s="154"/>
      <c r="AM821" s="154"/>
      <c r="AN821" s="154"/>
      <c r="AO821" s="154"/>
      <c r="AP821" s="154"/>
      <c r="AQ821" s="154"/>
      <c r="AR821" s="154"/>
      <c r="AS821" s="154"/>
      <c r="AT821" s="154"/>
      <c r="AU821" s="154"/>
      <c r="AV821" s="154"/>
      <c r="AW821" s="154"/>
      <c r="AX821" s="154"/>
      <c r="AY821" s="154"/>
      <c r="AZ821" s="154"/>
      <c r="BA821" s="154"/>
      <c r="BB821" s="154"/>
      <c r="BC821" s="154"/>
      <c r="BD821" s="154"/>
      <c r="BE821" s="154"/>
      <c r="BF821" s="154"/>
      <c r="BG821" s="154"/>
      <c r="BH821" s="154"/>
      <c r="BI821" s="507"/>
      <c r="BJ821" s="154"/>
      <c r="BK821" s="154"/>
      <c r="BL821" s="154"/>
      <c r="BM821" s="154"/>
      <c r="BN821" s="154"/>
      <c r="BO821" s="154"/>
      <c r="BP821" s="154"/>
      <c r="BQ821" s="154"/>
      <c r="BR821" s="154"/>
      <c r="BS821" s="154"/>
      <c r="BT821" s="154"/>
      <c r="BU821" s="154"/>
      <c r="BV821" s="154"/>
      <c r="BW821" s="120"/>
    </row>
    <row r="822" spans="1:75" ht="15.75" customHeight="1" x14ac:dyDescent="0.2">
      <c r="A822" s="508" t="s">
        <v>893</v>
      </c>
      <c r="B822" s="506"/>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c r="AB822" s="154"/>
      <c r="AC822" s="154"/>
      <c r="AD822" s="154"/>
      <c r="AE822" s="154"/>
      <c r="AF822" s="154"/>
      <c r="AG822" s="154"/>
      <c r="AH822" s="154"/>
      <c r="AI822" s="154"/>
      <c r="AJ822" s="154"/>
      <c r="AK822" s="154"/>
      <c r="AL822" s="154"/>
      <c r="AM822" s="154"/>
      <c r="AN822" s="154"/>
      <c r="AO822" s="154"/>
      <c r="AP822" s="154"/>
      <c r="AQ822" s="154"/>
      <c r="AR822" s="154"/>
      <c r="AS822" s="154"/>
      <c r="AT822" s="154"/>
      <c r="AU822" s="154"/>
      <c r="AV822" s="154"/>
      <c r="AW822" s="154"/>
      <c r="AX822" s="154"/>
      <c r="AY822" s="154"/>
      <c r="AZ822" s="154"/>
      <c r="BA822" s="154"/>
      <c r="BB822" s="154"/>
      <c r="BC822" s="154"/>
      <c r="BD822" s="154"/>
      <c r="BE822" s="154"/>
      <c r="BF822" s="154"/>
      <c r="BG822" s="154"/>
      <c r="BH822" s="154"/>
      <c r="BI822" s="507"/>
      <c r="BJ822" s="154"/>
      <c r="BK822" s="154"/>
      <c r="BL822" s="154"/>
      <c r="BM822" s="154"/>
      <c r="BN822" s="154"/>
      <c r="BO822" s="154"/>
      <c r="BP822" s="154"/>
      <c r="BQ822" s="154"/>
      <c r="BR822" s="154"/>
      <c r="BS822" s="154"/>
      <c r="BT822" s="154"/>
      <c r="BU822" s="154"/>
      <c r="BV822" s="154"/>
      <c r="BW822" s="131"/>
    </row>
    <row r="823" spans="1:75" ht="15.75" customHeight="1" x14ac:dyDescent="0.2">
      <c r="A823" s="509" t="s">
        <v>894</v>
      </c>
      <c r="B823" s="506"/>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c r="AB823" s="154"/>
      <c r="AC823" s="154"/>
      <c r="AD823" s="154"/>
      <c r="AE823" s="154"/>
      <c r="AF823" s="154"/>
      <c r="AG823" s="154"/>
      <c r="AH823" s="154"/>
      <c r="AI823" s="154"/>
      <c r="AJ823" s="154"/>
      <c r="AK823" s="154"/>
      <c r="AL823" s="154"/>
      <c r="AM823" s="154"/>
      <c r="AN823" s="154"/>
      <c r="AO823" s="154"/>
      <c r="AP823" s="154"/>
      <c r="AQ823" s="154"/>
      <c r="AR823" s="154"/>
      <c r="AS823" s="154"/>
      <c r="AT823" s="154"/>
      <c r="AU823" s="154"/>
      <c r="AV823" s="154"/>
      <c r="AW823" s="154"/>
      <c r="AX823" s="154"/>
      <c r="AY823" s="154"/>
      <c r="AZ823" s="154"/>
      <c r="BA823" s="154"/>
      <c r="BB823" s="154"/>
      <c r="BC823" s="154"/>
      <c r="BD823" s="154"/>
      <c r="BE823" s="154"/>
      <c r="BF823" s="154"/>
      <c r="BG823" s="154"/>
      <c r="BH823" s="154"/>
      <c r="BI823" s="507"/>
      <c r="BJ823" s="154"/>
      <c r="BK823" s="154"/>
      <c r="BL823" s="154"/>
      <c r="BM823" s="154"/>
      <c r="BN823" s="154"/>
      <c r="BO823" s="154"/>
      <c r="BP823" s="154"/>
      <c r="BQ823" s="154"/>
      <c r="BR823" s="154"/>
      <c r="BS823" s="154"/>
      <c r="BT823" s="154"/>
      <c r="BU823" s="154"/>
      <c r="BV823" s="154"/>
      <c r="BW823" s="131"/>
    </row>
    <row r="824" spans="1:75" ht="15.75" customHeight="1" x14ac:dyDescent="0.2">
      <c r="A824" s="510" t="s">
        <v>895</v>
      </c>
      <c r="B824" s="506"/>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c r="AB824" s="154"/>
      <c r="AC824" s="154"/>
      <c r="AD824" s="154"/>
      <c r="AE824" s="154"/>
      <c r="AF824" s="154"/>
      <c r="AG824" s="154"/>
      <c r="AH824" s="154"/>
      <c r="AI824" s="154"/>
      <c r="AJ824" s="154"/>
      <c r="AK824" s="154"/>
      <c r="AL824" s="154"/>
      <c r="AM824" s="154"/>
      <c r="AN824" s="154"/>
      <c r="AO824" s="154"/>
      <c r="AP824" s="154"/>
      <c r="AQ824" s="154"/>
      <c r="AR824" s="154"/>
      <c r="AS824" s="154"/>
      <c r="AT824" s="154"/>
      <c r="AU824" s="154"/>
      <c r="AV824" s="154"/>
      <c r="AW824" s="154"/>
      <c r="AX824" s="154"/>
      <c r="AY824" s="154"/>
      <c r="AZ824" s="154"/>
      <c r="BA824" s="154"/>
      <c r="BB824" s="154"/>
      <c r="BC824" s="154"/>
      <c r="BD824" s="154"/>
      <c r="BE824" s="154"/>
      <c r="BF824" s="154"/>
      <c r="BG824" s="154"/>
      <c r="BH824" s="154"/>
      <c r="BI824" s="507"/>
      <c r="BJ824" s="154"/>
      <c r="BK824" s="154"/>
      <c r="BL824" s="154"/>
      <c r="BM824" s="154"/>
      <c r="BN824" s="154"/>
      <c r="BO824" s="154"/>
      <c r="BP824" s="154"/>
      <c r="BQ824" s="154"/>
      <c r="BR824" s="154"/>
      <c r="BS824" s="154"/>
      <c r="BT824" s="154"/>
      <c r="BU824" s="154"/>
      <c r="BV824" s="154"/>
      <c r="BW824" s="131"/>
    </row>
    <row r="825" spans="1:75" ht="15.75" customHeight="1" x14ac:dyDescent="0.2">
      <c r="A825" s="511" t="s">
        <v>896</v>
      </c>
      <c r="B825" s="506"/>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c r="AB825" s="154"/>
      <c r="AC825" s="154"/>
      <c r="AD825" s="154"/>
      <c r="AE825" s="154"/>
      <c r="AF825" s="154"/>
      <c r="AG825" s="154"/>
      <c r="AH825" s="154"/>
      <c r="AI825" s="154"/>
      <c r="AJ825" s="154"/>
      <c r="AK825" s="154"/>
      <c r="AL825" s="154"/>
      <c r="AM825" s="154"/>
      <c r="AN825" s="154"/>
      <c r="AO825" s="154"/>
      <c r="AP825" s="154"/>
      <c r="AQ825" s="154"/>
      <c r="AR825" s="154"/>
      <c r="AS825" s="154"/>
      <c r="AT825" s="154"/>
      <c r="AU825" s="154"/>
      <c r="AV825" s="154"/>
      <c r="AW825" s="154"/>
      <c r="AX825" s="154"/>
      <c r="AY825" s="154"/>
      <c r="AZ825" s="154"/>
      <c r="BA825" s="154"/>
      <c r="BB825" s="154"/>
      <c r="BC825" s="154"/>
      <c r="BD825" s="154"/>
      <c r="BE825" s="154"/>
      <c r="BF825" s="154"/>
      <c r="BG825" s="154"/>
      <c r="BH825" s="154"/>
      <c r="BI825" s="507"/>
      <c r="BJ825" s="154"/>
      <c r="BK825" s="154"/>
      <c r="BL825" s="154"/>
      <c r="BM825" s="154"/>
      <c r="BN825" s="154"/>
      <c r="BO825" s="154"/>
      <c r="BP825" s="154"/>
      <c r="BQ825" s="154"/>
      <c r="BR825" s="154"/>
      <c r="BS825" s="154"/>
      <c r="BT825" s="154"/>
      <c r="BU825" s="154"/>
      <c r="BV825" s="154"/>
      <c r="BW825" s="131"/>
    </row>
    <row r="826" spans="1:75" ht="15.75" customHeight="1" x14ac:dyDescent="0.2">
      <c r="A826" s="347"/>
      <c r="B826" s="17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c r="AB826" s="154"/>
      <c r="AC826" s="154"/>
      <c r="AD826" s="154"/>
      <c r="AE826" s="154"/>
      <c r="AF826" s="154"/>
      <c r="AG826" s="154"/>
      <c r="AH826" s="154"/>
      <c r="AI826" s="154"/>
      <c r="AJ826" s="154"/>
      <c r="AK826" s="154"/>
      <c r="AL826" s="154"/>
      <c r="AM826" s="154"/>
      <c r="AN826" s="154"/>
      <c r="AO826" s="154"/>
      <c r="AP826" s="154"/>
      <c r="AQ826" s="154"/>
      <c r="AR826" s="154"/>
      <c r="AS826" s="154"/>
      <c r="AT826" s="154"/>
      <c r="AU826" s="154"/>
      <c r="AV826" s="154"/>
      <c r="AW826" s="154"/>
      <c r="AX826" s="154"/>
      <c r="AY826" s="154"/>
      <c r="AZ826" s="154"/>
      <c r="BA826" s="154"/>
      <c r="BB826" s="154"/>
      <c r="BC826" s="154"/>
      <c r="BD826" s="154"/>
      <c r="BE826" s="154"/>
      <c r="BF826" s="154"/>
      <c r="BG826" s="154"/>
      <c r="BH826" s="154"/>
      <c r="BI826" s="507"/>
      <c r="BJ826" s="154"/>
      <c r="BK826" s="154"/>
      <c r="BL826" s="154"/>
      <c r="BM826" s="154"/>
      <c r="BN826" s="154"/>
      <c r="BO826" s="154"/>
      <c r="BP826" s="154"/>
      <c r="BQ826" s="154"/>
      <c r="BR826" s="154"/>
      <c r="BS826" s="154"/>
      <c r="BT826" s="154"/>
      <c r="BU826" s="154"/>
      <c r="BV826" s="154"/>
      <c r="BW826" s="131"/>
    </row>
    <row r="827" spans="1:75" ht="15.75" customHeight="1" x14ac:dyDescent="0.2">
      <c r="A827" s="512" t="s">
        <v>897</v>
      </c>
      <c r="B827" s="513"/>
      <c r="C827" s="514"/>
      <c r="D827" s="514"/>
      <c r="E827" s="514"/>
      <c r="F827" s="514"/>
      <c r="G827" s="514"/>
      <c r="H827" s="514"/>
      <c r="I827" s="514"/>
      <c r="J827" s="514"/>
      <c r="K827" s="514"/>
      <c r="L827" s="514"/>
      <c r="M827" s="514"/>
      <c r="N827" s="514"/>
      <c r="O827" s="514"/>
      <c r="P827" s="514"/>
      <c r="Q827" s="514"/>
      <c r="R827" s="514"/>
      <c r="S827" s="514"/>
      <c r="T827" s="514"/>
      <c r="U827" s="514"/>
      <c r="V827" s="514"/>
      <c r="W827" s="514"/>
      <c r="X827" s="514"/>
      <c r="Y827" s="514"/>
      <c r="Z827" s="514"/>
      <c r="AA827" s="514"/>
      <c r="AB827" s="514"/>
      <c r="AC827" s="514"/>
      <c r="AD827" s="514"/>
      <c r="AE827" s="514"/>
      <c r="AF827" s="514"/>
      <c r="AG827" s="514"/>
      <c r="AH827" s="514"/>
      <c r="AI827" s="514"/>
      <c r="AJ827" s="514"/>
      <c r="AK827" s="514"/>
      <c r="AL827" s="514"/>
      <c r="AM827" s="514"/>
      <c r="AN827" s="514"/>
      <c r="AO827" s="514"/>
      <c r="AP827" s="514"/>
      <c r="AQ827" s="514"/>
      <c r="AR827" s="514"/>
      <c r="AS827" s="514"/>
      <c r="AT827" s="514"/>
      <c r="AU827" s="514"/>
      <c r="AV827" s="514"/>
      <c r="AW827" s="514"/>
      <c r="AX827" s="514"/>
      <c r="AY827" s="514"/>
      <c r="AZ827" s="514"/>
      <c r="BA827" s="514"/>
      <c r="BB827" s="514"/>
      <c r="BC827" s="514"/>
      <c r="BD827" s="514"/>
      <c r="BE827" s="514"/>
      <c r="BF827" s="514"/>
      <c r="BG827" s="514"/>
      <c r="BH827" s="514"/>
      <c r="BI827" s="515"/>
      <c r="BJ827" s="514"/>
      <c r="BK827" s="514"/>
      <c r="BL827" s="514"/>
      <c r="BM827" s="514"/>
      <c r="BN827" s="514"/>
      <c r="BO827" s="514"/>
      <c r="BP827" s="514"/>
      <c r="BQ827" s="514"/>
      <c r="BR827" s="514"/>
      <c r="BS827" s="514"/>
      <c r="BT827" s="514"/>
      <c r="BU827" s="514"/>
      <c r="BV827" s="514"/>
      <c r="BW827" s="11"/>
    </row>
    <row r="828" spans="1:75" ht="15.75" customHeight="1" x14ac:dyDescent="0.2">
      <c r="A828" s="516" t="s">
        <v>479</v>
      </c>
      <c r="B828" s="517">
        <v>1</v>
      </c>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c r="AB828" s="154"/>
      <c r="AC828" s="154"/>
      <c r="AD828" s="154"/>
      <c r="AE828" s="154"/>
      <c r="AF828" s="154"/>
      <c r="AG828" s="154"/>
      <c r="AH828" s="154"/>
      <c r="AI828" s="154"/>
      <c r="AJ828" s="154"/>
      <c r="AK828" s="154"/>
      <c r="AL828" s="154"/>
      <c r="AM828" s="154"/>
      <c r="AN828" s="154"/>
      <c r="AO828" s="154"/>
      <c r="AP828" s="154"/>
      <c r="AQ828" s="154"/>
      <c r="AR828" s="154"/>
      <c r="AS828" s="154"/>
      <c r="AT828" s="154"/>
      <c r="AU828" s="154"/>
      <c r="AV828" s="154"/>
      <c r="AW828" s="154"/>
      <c r="AX828" s="154"/>
      <c r="AY828" s="154"/>
      <c r="AZ828" s="154"/>
      <c r="BA828" s="154"/>
      <c r="BB828" s="154"/>
      <c r="BC828" s="154"/>
      <c r="BD828" s="154"/>
      <c r="BE828" s="154"/>
      <c r="BF828" s="154"/>
      <c r="BG828" s="154"/>
      <c r="BH828" s="154"/>
      <c r="BI828" s="507"/>
      <c r="BJ828" s="154"/>
      <c r="BK828" s="154"/>
      <c r="BL828" s="154"/>
      <c r="BM828" s="154"/>
      <c r="BN828" s="154"/>
      <c r="BO828" s="154"/>
      <c r="BP828" s="154"/>
      <c r="BQ828" s="154"/>
      <c r="BR828" s="154"/>
      <c r="BS828" s="154"/>
      <c r="BT828" s="154"/>
      <c r="BU828" s="154"/>
      <c r="BV828" s="154"/>
      <c r="BW828" s="131"/>
    </row>
    <row r="829" spans="1:75" ht="15.75" customHeight="1" x14ac:dyDescent="0.2">
      <c r="A829" s="516" t="s">
        <v>480</v>
      </c>
      <c r="B829" s="517">
        <v>2</v>
      </c>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c r="AB829" s="154"/>
      <c r="AC829" s="154"/>
      <c r="AD829" s="154"/>
      <c r="AE829" s="154"/>
      <c r="AF829" s="154"/>
      <c r="AG829" s="154"/>
      <c r="AH829" s="154"/>
      <c r="AI829" s="154"/>
      <c r="AJ829" s="154"/>
      <c r="AK829" s="154"/>
      <c r="AL829" s="154"/>
      <c r="AM829" s="154"/>
      <c r="AN829" s="154"/>
      <c r="AO829" s="154"/>
      <c r="AP829" s="154"/>
      <c r="AQ829" s="154"/>
      <c r="AR829" s="154"/>
      <c r="AS829" s="154"/>
      <c r="AT829" s="154"/>
      <c r="AU829" s="154"/>
      <c r="AV829" s="154"/>
      <c r="AW829" s="154"/>
      <c r="AX829" s="154"/>
      <c r="AY829" s="154"/>
      <c r="AZ829" s="154"/>
      <c r="BA829" s="154"/>
      <c r="BB829" s="154"/>
      <c r="BC829" s="154"/>
      <c r="BD829" s="154"/>
      <c r="BE829" s="154"/>
      <c r="BF829" s="154"/>
      <c r="BG829" s="154"/>
      <c r="BH829" s="154"/>
      <c r="BI829" s="507"/>
      <c r="BJ829" s="154"/>
      <c r="BK829" s="154"/>
      <c r="BL829" s="154"/>
      <c r="BM829" s="154"/>
      <c r="BN829" s="154"/>
      <c r="BO829" s="154"/>
      <c r="BP829" s="154"/>
      <c r="BQ829" s="154"/>
      <c r="BR829" s="154"/>
      <c r="BS829" s="154"/>
      <c r="BT829" s="154"/>
      <c r="BU829" s="154"/>
      <c r="BV829" s="154"/>
      <c r="BW829" s="131"/>
    </row>
    <row r="830" spans="1:75" ht="15.75" customHeight="1" x14ac:dyDescent="0.2">
      <c r="A830" s="516" t="s">
        <v>898</v>
      </c>
      <c r="B830" s="517">
        <v>3</v>
      </c>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c r="AB830" s="154"/>
      <c r="AC830" s="154"/>
      <c r="AD830" s="154"/>
      <c r="AE830" s="154"/>
      <c r="AF830" s="154"/>
      <c r="AG830" s="154"/>
      <c r="AH830" s="154"/>
      <c r="AI830" s="154"/>
      <c r="AJ830" s="154"/>
      <c r="AK830" s="154"/>
      <c r="AL830" s="154"/>
      <c r="AM830" s="154"/>
      <c r="AN830" s="154"/>
      <c r="AO830" s="154"/>
      <c r="AP830" s="154"/>
      <c r="AQ830" s="154"/>
      <c r="AR830" s="154"/>
      <c r="AS830" s="154"/>
      <c r="AT830" s="154"/>
      <c r="AU830" s="154"/>
      <c r="AV830" s="154"/>
      <c r="AW830" s="154"/>
      <c r="AX830" s="154"/>
      <c r="AY830" s="154"/>
      <c r="AZ830" s="154"/>
      <c r="BA830" s="154"/>
      <c r="BB830" s="154"/>
      <c r="BC830" s="154"/>
      <c r="BD830" s="154"/>
      <c r="BE830" s="154"/>
      <c r="BF830" s="154"/>
      <c r="BG830" s="154"/>
      <c r="BH830" s="154"/>
      <c r="BI830" s="507"/>
      <c r="BJ830" s="154"/>
      <c r="BK830" s="154"/>
      <c r="BL830" s="154"/>
      <c r="BM830" s="154"/>
      <c r="BN830" s="154"/>
      <c r="BO830" s="154"/>
      <c r="BP830" s="154"/>
      <c r="BQ830" s="154"/>
      <c r="BR830" s="154"/>
      <c r="BS830" s="154"/>
      <c r="BT830" s="154"/>
      <c r="BU830" s="154"/>
      <c r="BV830" s="154"/>
      <c r="BW830" s="131"/>
    </row>
    <row r="831" spans="1:75" ht="15.75" customHeight="1" x14ac:dyDescent="0.2">
      <c r="A831" s="518" t="s">
        <v>817</v>
      </c>
      <c r="B831" s="519">
        <v>4</v>
      </c>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c r="AB831" s="154"/>
      <c r="AC831" s="154"/>
      <c r="AD831" s="154"/>
      <c r="AE831" s="154"/>
      <c r="AF831" s="154"/>
      <c r="AG831" s="154"/>
      <c r="AH831" s="154"/>
      <c r="AI831" s="154"/>
      <c r="AJ831" s="154"/>
      <c r="AK831" s="154"/>
      <c r="AL831" s="154"/>
      <c r="AM831" s="154"/>
      <c r="AN831" s="154"/>
      <c r="AO831" s="154"/>
      <c r="AP831" s="154"/>
      <c r="AQ831" s="154"/>
      <c r="AR831" s="154"/>
      <c r="AS831" s="154"/>
      <c r="AT831" s="154"/>
      <c r="AU831" s="154"/>
      <c r="AV831" s="154"/>
      <c r="AW831" s="154"/>
      <c r="AX831" s="154"/>
      <c r="AY831" s="154"/>
      <c r="AZ831" s="154"/>
      <c r="BA831" s="154"/>
      <c r="BB831" s="154"/>
      <c r="BC831" s="154"/>
      <c r="BD831" s="154"/>
      <c r="BE831" s="154"/>
      <c r="BF831" s="154"/>
      <c r="BG831" s="154"/>
      <c r="BH831" s="154"/>
      <c r="BI831" s="507"/>
      <c r="BJ831" s="154"/>
      <c r="BK831" s="154"/>
      <c r="BL831" s="154"/>
      <c r="BM831" s="154"/>
      <c r="BN831" s="154"/>
      <c r="BO831" s="154"/>
      <c r="BP831" s="154"/>
      <c r="BQ831" s="154"/>
      <c r="BR831" s="154"/>
      <c r="BS831" s="154"/>
      <c r="BT831" s="154"/>
      <c r="BU831" s="154"/>
      <c r="BV831" s="154"/>
      <c r="BW831" s="131"/>
    </row>
    <row r="832" spans="1:75" ht="15.75" customHeight="1" x14ac:dyDescent="0.2">
      <c r="A832" s="353"/>
      <c r="B832" s="520"/>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c r="AB832" s="154"/>
      <c r="AC832" s="154"/>
      <c r="AD832" s="154"/>
      <c r="AE832" s="154"/>
      <c r="AF832" s="154"/>
      <c r="AG832" s="154"/>
      <c r="AH832" s="154"/>
      <c r="AI832" s="154"/>
      <c r="AJ832" s="154"/>
      <c r="AK832" s="154"/>
      <c r="AL832" s="154"/>
      <c r="AM832" s="154"/>
      <c r="AN832" s="154"/>
      <c r="AO832" s="154"/>
      <c r="AP832" s="154"/>
      <c r="AQ832" s="154"/>
      <c r="AR832" s="154"/>
      <c r="AS832" s="154"/>
      <c r="AT832" s="154"/>
      <c r="AU832" s="154"/>
      <c r="AV832" s="154"/>
      <c r="AW832" s="154"/>
      <c r="AX832" s="154"/>
      <c r="AY832" s="154"/>
      <c r="AZ832" s="154"/>
      <c r="BA832" s="154"/>
      <c r="BB832" s="154"/>
      <c r="BC832" s="154"/>
      <c r="BD832" s="154"/>
      <c r="BE832" s="154"/>
      <c r="BF832" s="154"/>
      <c r="BG832" s="154"/>
      <c r="BH832" s="154"/>
      <c r="BI832" s="507"/>
      <c r="BJ832" s="154"/>
      <c r="BK832" s="154"/>
      <c r="BL832" s="154"/>
      <c r="BM832" s="154"/>
      <c r="BN832" s="154"/>
      <c r="BO832" s="154"/>
      <c r="BP832" s="154"/>
      <c r="BQ832" s="154"/>
      <c r="BR832" s="154"/>
      <c r="BS832" s="154"/>
      <c r="BT832" s="154"/>
      <c r="BU832" s="154"/>
      <c r="BV832" s="154"/>
      <c r="BW832" s="131"/>
    </row>
    <row r="833" spans="1:75" ht="15.75" customHeight="1" x14ac:dyDescent="0.2">
      <c r="A833" s="521" t="s">
        <v>899</v>
      </c>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c r="AB833" s="154"/>
      <c r="AC833" s="154"/>
      <c r="AD833" s="154"/>
      <c r="AE833" s="154"/>
      <c r="AF833" s="154"/>
      <c r="AG833" s="154"/>
      <c r="AH833" s="154"/>
      <c r="AI833" s="154"/>
      <c r="AJ833" s="154"/>
      <c r="AK833" s="154"/>
      <c r="AL833" s="154"/>
      <c r="AM833" s="154"/>
      <c r="AN833" s="154"/>
      <c r="AO833" s="154"/>
      <c r="AP833" s="154"/>
      <c r="AQ833" s="154"/>
      <c r="AR833" s="154"/>
      <c r="AS833" s="154"/>
      <c r="AT833" s="154"/>
      <c r="AU833" s="154"/>
      <c r="AV833" s="154"/>
      <c r="AW833" s="154"/>
      <c r="AX833" s="154"/>
      <c r="AY833" s="154"/>
      <c r="AZ833" s="154"/>
      <c r="BA833" s="154"/>
      <c r="BB833" s="154"/>
      <c r="BC833" s="154"/>
      <c r="BD833" s="154"/>
      <c r="BE833" s="154"/>
      <c r="BF833" s="154"/>
      <c r="BG833" s="154"/>
      <c r="BH833" s="154"/>
      <c r="BI833" s="507"/>
      <c r="BJ833" s="154"/>
      <c r="BK833" s="154"/>
      <c r="BL833" s="154"/>
      <c r="BM833" s="154"/>
      <c r="BN833" s="154"/>
      <c r="BO833" s="154"/>
      <c r="BP833" s="154"/>
      <c r="BQ833" s="154"/>
      <c r="BR833" s="154"/>
      <c r="BS833" s="154"/>
      <c r="BT833" s="154"/>
      <c r="BU833" s="154"/>
      <c r="BV833" s="154"/>
      <c r="BW833" s="131"/>
    </row>
    <row r="834" spans="1:75" ht="15.75" customHeight="1" x14ac:dyDescent="0.2">
      <c r="A834" s="522" t="str">
        <f>MO_RIS_REV</f>
        <v>Total Revenue</v>
      </c>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c r="AB834" s="154"/>
      <c r="AC834" s="154"/>
      <c r="AD834" s="154"/>
      <c r="AE834" s="154"/>
      <c r="AF834" s="154"/>
      <c r="AG834" s="154"/>
      <c r="AH834" s="154"/>
      <c r="AI834" s="154"/>
      <c r="AJ834" s="154"/>
      <c r="AK834" s="154"/>
      <c r="AL834" s="154"/>
      <c r="AM834" s="154"/>
      <c r="AN834" s="154"/>
      <c r="AO834" s="154"/>
      <c r="AP834" s="154"/>
      <c r="AQ834" s="154"/>
      <c r="AR834" s="154"/>
      <c r="AS834" s="154"/>
      <c r="AT834" s="154"/>
      <c r="AU834" s="154"/>
      <c r="AV834" s="154"/>
      <c r="AW834" s="154"/>
      <c r="AX834" s="154"/>
      <c r="AY834" s="154"/>
      <c r="AZ834" s="154"/>
      <c r="BA834" s="154"/>
      <c r="BB834" s="154"/>
      <c r="BC834" s="154"/>
      <c r="BD834" s="154"/>
      <c r="BE834" s="154"/>
      <c r="BF834" s="154"/>
      <c r="BG834" s="154"/>
      <c r="BH834" s="154"/>
      <c r="BI834" s="507"/>
      <c r="BJ834" s="154"/>
      <c r="BK834" s="154"/>
      <c r="BL834" s="154"/>
      <c r="BM834" s="154"/>
      <c r="BN834" s="154"/>
      <c r="BO834" s="154"/>
      <c r="BP834" s="154"/>
      <c r="BQ834" s="154"/>
      <c r="BR834" s="154"/>
      <c r="BS834" s="154"/>
      <c r="BT834" s="154"/>
      <c r="BU834" s="154"/>
      <c r="BV834" s="154"/>
      <c r="BW834" s="131"/>
    </row>
    <row r="835" spans="1:75" ht="15.75" customHeight="1" x14ac:dyDescent="0.2">
      <c r="A835" s="522" t="str">
        <f>MO_RIS_EBITDA_Adj</f>
        <v>Adjusted EBITDA (No Adjustments)</v>
      </c>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c r="AB835" s="154"/>
      <c r="AC835" s="154"/>
      <c r="AD835" s="154"/>
      <c r="AE835" s="154"/>
      <c r="AF835" s="154"/>
      <c r="AG835" s="154"/>
      <c r="AH835" s="154"/>
      <c r="AI835" s="154"/>
      <c r="AJ835" s="154"/>
      <c r="AK835" s="154"/>
      <c r="AL835" s="154"/>
      <c r="AM835" s="154"/>
      <c r="AN835" s="154"/>
      <c r="AO835" s="154"/>
      <c r="AP835" s="154"/>
      <c r="AQ835" s="154"/>
      <c r="AR835" s="154"/>
      <c r="AS835" s="154"/>
      <c r="AT835" s="154"/>
      <c r="AU835" s="154"/>
      <c r="AV835" s="154"/>
      <c r="AW835" s="154"/>
      <c r="AX835" s="154"/>
      <c r="AY835" s="154"/>
      <c r="AZ835" s="154"/>
      <c r="BA835" s="154"/>
      <c r="BB835" s="154"/>
      <c r="BC835" s="154"/>
      <c r="BD835" s="154"/>
      <c r="BE835" s="154"/>
      <c r="BF835" s="154"/>
      <c r="BG835" s="154"/>
      <c r="BH835" s="154"/>
      <c r="BI835" s="507"/>
      <c r="BJ835" s="154"/>
      <c r="BK835" s="154"/>
      <c r="BL835" s="154"/>
      <c r="BM835" s="154"/>
      <c r="BN835" s="154"/>
      <c r="BO835" s="154"/>
      <c r="BP835" s="154"/>
      <c r="BQ835" s="154"/>
      <c r="BR835" s="154"/>
      <c r="BS835" s="154"/>
      <c r="BT835" s="154"/>
      <c r="BU835" s="154"/>
      <c r="BV835" s="154"/>
      <c r="BW835" s="131"/>
    </row>
    <row r="836" spans="1:75" ht="15.75" customHeight="1" x14ac:dyDescent="0.2">
      <c r="A836" s="522" t="str">
        <f>MO_RIS_EBIT_Adj</f>
        <v>Adjusted EBIT (No Adjustments)</v>
      </c>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c r="AB836" s="154"/>
      <c r="AC836" s="154"/>
      <c r="AD836" s="154"/>
      <c r="AE836" s="154"/>
      <c r="AF836" s="154"/>
      <c r="AG836" s="154"/>
      <c r="AH836" s="154"/>
      <c r="AI836" s="154"/>
      <c r="AJ836" s="154"/>
      <c r="AK836" s="154"/>
      <c r="AL836" s="154"/>
      <c r="AM836" s="154"/>
      <c r="AN836" s="154"/>
      <c r="AO836" s="154"/>
      <c r="AP836" s="154"/>
      <c r="AQ836" s="154"/>
      <c r="AR836" s="154"/>
      <c r="AS836" s="154"/>
      <c r="AT836" s="154"/>
      <c r="AU836" s="154"/>
      <c r="AV836" s="154"/>
      <c r="AW836" s="154"/>
      <c r="AX836" s="154"/>
      <c r="AY836" s="154"/>
      <c r="AZ836" s="154"/>
      <c r="BA836" s="154"/>
      <c r="BB836" s="154"/>
      <c r="BC836" s="154"/>
      <c r="BD836" s="154"/>
      <c r="BE836" s="154"/>
      <c r="BF836" s="154"/>
      <c r="BG836" s="154"/>
      <c r="BH836" s="154"/>
      <c r="BI836" s="507"/>
      <c r="BJ836" s="154"/>
      <c r="BK836" s="154"/>
      <c r="BL836" s="154"/>
      <c r="BM836" s="154"/>
      <c r="BN836" s="154"/>
      <c r="BO836" s="154"/>
      <c r="BP836" s="154"/>
      <c r="BQ836" s="154"/>
      <c r="BR836" s="154"/>
      <c r="BS836" s="154"/>
      <c r="BT836" s="154"/>
      <c r="BU836" s="154"/>
      <c r="BV836" s="154"/>
      <c r="BW836" s="131"/>
    </row>
    <row r="837" spans="1:75" ht="15.75" customHeight="1" x14ac:dyDescent="0.2">
      <c r="A837" s="522" t="str">
        <f>MO_RIS_EPS_WAD_Adj</f>
        <v>Adjusted Earnings Per Share - WAD</v>
      </c>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c r="AB837" s="154"/>
      <c r="AC837" s="154"/>
      <c r="AD837" s="154"/>
      <c r="AE837" s="154"/>
      <c r="AF837" s="154"/>
      <c r="AG837" s="154"/>
      <c r="AH837" s="154"/>
      <c r="AI837" s="154"/>
      <c r="AJ837" s="154"/>
      <c r="AK837" s="154"/>
      <c r="AL837" s="154"/>
      <c r="AM837" s="154"/>
      <c r="AN837" s="154"/>
      <c r="AO837" s="154"/>
      <c r="AP837" s="154"/>
      <c r="AQ837" s="154"/>
      <c r="AR837" s="154"/>
      <c r="AS837" s="154"/>
      <c r="AT837" s="154"/>
      <c r="AU837" s="154"/>
      <c r="AV837" s="154"/>
      <c r="AW837" s="154"/>
      <c r="AX837" s="154"/>
      <c r="AY837" s="154"/>
      <c r="AZ837" s="154"/>
      <c r="BA837" s="154"/>
      <c r="BB837" s="154"/>
      <c r="BC837" s="154"/>
      <c r="BD837" s="154"/>
      <c r="BE837" s="154"/>
      <c r="BF837" s="154"/>
      <c r="BG837" s="154"/>
      <c r="BH837" s="154"/>
      <c r="BI837" s="507"/>
      <c r="BJ837" s="154"/>
      <c r="BK837" s="154"/>
      <c r="BL837" s="154"/>
      <c r="BM837" s="154"/>
      <c r="BN837" s="154"/>
      <c r="BO837" s="154"/>
      <c r="BP837" s="154"/>
      <c r="BQ837" s="154"/>
      <c r="BR837" s="154"/>
      <c r="BS837" s="154"/>
      <c r="BT837" s="154"/>
      <c r="BU837" s="154"/>
      <c r="BV837" s="154"/>
      <c r="BW837" s="131"/>
    </row>
    <row r="838" spans="1:75" ht="15.75" customHeight="1" x14ac:dyDescent="0.2">
      <c r="A838" s="522" t="str">
        <f>MO_VA_EV_ToEBITDA</f>
        <v>EV/EBITDA - EoP</v>
      </c>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c r="AB838" s="154"/>
      <c r="AC838" s="154"/>
      <c r="AD838" s="154"/>
      <c r="AE838" s="154"/>
      <c r="AF838" s="154"/>
      <c r="AG838" s="154"/>
      <c r="AH838" s="154"/>
      <c r="AI838" s="154"/>
      <c r="AJ838" s="154"/>
      <c r="AK838" s="154"/>
      <c r="AL838" s="154"/>
      <c r="AM838" s="154"/>
      <c r="AN838" s="154"/>
      <c r="AO838" s="154"/>
      <c r="AP838" s="154"/>
      <c r="AQ838" s="154"/>
      <c r="AR838" s="154"/>
      <c r="AS838" s="154"/>
      <c r="AT838" s="154"/>
      <c r="AU838" s="154"/>
      <c r="AV838" s="154"/>
      <c r="AW838" s="154"/>
      <c r="AX838" s="154"/>
      <c r="AY838" s="154"/>
      <c r="AZ838" s="154"/>
      <c r="BA838" s="154"/>
      <c r="BB838" s="154"/>
      <c r="BC838" s="154"/>
      <c r="BD838" s="154"/>
      <c r="BE838" s="154"/>
      <c r="BF838" s="154"/>
      <c r="BG838" s="154"/>
      <c r="BH838" s="154"/>
      <c r="BI838" s="507"/>
      <c r="BJ838" s="154"/>
      <c r="BK838" s="154"/>
      <c r="BL838" s="154"/>
      <c r="BM838" s="154"/>
      <c r="BN838" s="154"/>
      <c r="BO838" s="154"/>
      <c r="BP838" s="154"/>
      <c r="BQ838" s="154"/>
      <c r="BR838" s="154"/>
      <c r="BS838" s="154"/>
      <c r="BT838" s="154"/>
      <c r="BU838" s="154"/>
      <c r="BV838" s="154"/>
      <c r="BW838" s="131"/>
    </row>
    <row r="839" spans="1:75" ht="15.75" customHeight="1" x14ac:dyDescent="0.2">
      <c r="A839" s="522" t="str">
        <f>MO_VA_P_ToE</f>
        <v>P/E - EoP</v>
      </c>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c r="AB839" s="154"/>
      <c r="AC839" s="154"/>
      <c r="AD839" s="154"/>
      <c r="AE839" s="154"/>
      <c r="AF839" s="154"/>
      <c r="AG839" s="154"/>
      <c r="AH839" s="154"/>
      <c r="AI839" s="154"/>
      <c r="AJ839" s="154"/>
      <c r="AK839" s="154"/>
      <c r="AL839" s="154"/>
      <c r="AM839" s="154"/>
      <c r="AN839" s="154"/>
      <c r="AO839" s="154"/>
      <c r="AP839" s="154"/>
      <c r="AQ839" s="154"/>
      <c r="AR839" s="154"/>
      <c r="AS839" s="154"/>
      <c r="AT839" s="154"/>
      <c r="AU839" s="154"/>
      <c r="AV839" s="154"/>
      <c r="AW839" s="154"/>
      <c r="AX839" s="154"/>
      <c r="AY839" s="154"/>
      <c r="AZ839" s="154"/>
      <c r="BA839" s="154"/>
      <c r="BB839" s="154"/>
      <c r="BC839" s="154"/>
      <c r="BD839" s="154"/>
      <c r="BE839" s="154"/>
      <c r="BF839" s="154"/>
      <c r="BG839" s="154"/>
      <c r="BH839" s="154"/>
      <c r="BI839" s="507"/>
      <c r="BJ839" s="154"/>
      <c r="BK839" s="154"/>
      <c r="BL839" s="154"/>
      <c r="BM839" s="154"/>
      <c r="BN839" s="154"/>
      <c r="BO839" s="154"/>
      <c r="BP839" s="154"/>
      <c r="BQ839" s="154"/>
      <c r="BR839" s="154"/>
      <c r="BS839" s="154"/>
      <c r="BT839" s="154"/>
      <c r="BU839" s="154"/>
      <c r="BV839" s="154"/>
      <c r="BW839" s="131"/>
    </row>
    <row r="840" spans="1:75" ht="15.75" customHeight="1" x14ac:dyDescent="0.2">
      <c r="A840" s="523"/>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c r="BG840" s="154"/>
      <c r="BH840" s="154"/>
      <c r="BI840" s="507"/>
      <c r="BJ840" s="154"/>
      <c r="BK840" s="154"/>
      <c r="BL840" s="154"/>
      <c r="BM840" s="154"/>
      <c r="BN840" s="154"/>
      <c r="BO840" s="154"/>
      <c r="BP840" s="154"/>
      <c r="BQ840" s="154"/>
      <c r="BR840" s="154"/>
      <c r="BS840" s="154"/>
      <c r="BT840" s="154"/>
      <c r="BU840" s="154"/>
      <c r="BV840" s="154"/>
      <c r="BW840" s="131"/>
    </row>
    <row r="841" spans="1:75" ht="15.75" customHeight="1" x14ac:dyDescent="0.2">
      <c r="A841" s="85"/>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c r="AY841" s="154"/>
      <c r="AZ841" s="154"/>
      <c r="BA841" s="154"/>
      <c r="BB841" s="154"/>
      <c r="BC841" s="154"/>
      <c r="BD841" s="154"/>
      <c r="BE841" s="154"/>
      <c r="BF841" s="154"/>
      <c r="BG841" s="154"/>
      <c r="BH841" s="154"/>
      <c r="BI841" s="507"/>
      <c r="BJ841" s="154"/>
      <c r="BK841" s="154"/>
      <c r="BL841" s="154"/>
      <c r="BM841" s="154"/>
      <c r="BN841" s="154"/>
      <c r="BO841" s="154"/>
      <c r="BP841" s="154"/>
      <c r="BQ841" s="154"/>
      <c r="BR841" s="154"/>
      <c r="BS841" s="154"/>
      <c r="BT841" s="154"/>
      <c r="BU841" s="154"/>
      <c r="BV841" s="154"/>
      <c r="BW841" s="131"/>
    </row>
    <row r="842" spans="1:75" ht="15.75" customHeight="1" x14ac:dyDescent="0.2">
      <c r="A842" s="524" t="s">
        <v>900</v>
      </c>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c r="AY842" s="154"/>
      <c r="AZ842" s="154"/>
      <c r="BA842" s="154"/>
      <c r="BB842" s="154"/>
      <c r="BC842" s="154"/>
      <c r="BD842" s="154"/>
      <c r="BE842" s="154"/>
      <c r="BF842" s="154"/>
      <c r="BG842" s="154"/>
      <c r="BH842" s="154"/>
      <c r="BI842" s="507"/>
      <c r="BJ842" s="154"/>
      <c r="BK842" s="154"/>
      <c r="BL842" s="154"/>
      <c r="BM842" s="154"/>
      <c r="BN842" s="154"/>
      <c r="BO842" s="154"/>
      <c r="BP842" s="154"/>
      <c r="BQ842" s="154"/>
      <c r="BR842" s="154"/>
      <c r="BS842" s="154"/>
      <c r="BT842" s="154"/>
      <c r="BU842" s="154"/>
      <c r="BV842" s="154"/>
      <c r="BW842" s="131"/>
    </row>
    <row r="843" spans="1:75" ht="15.75" customHeight="1" x14ac:dyDescent="0.2">
      <c r="A843" s="525" t="s">
        <v>901</v>
      </c>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c r="AB843" s="154"/>
      <c r="AC843" s="154"/>
      <c r="AD843" s="154"/>
      <c r="AE843" s="154"/>
      <c r="AF843" s="154"/>
      <c r="AG843" s="154"/>
      <c r="AH843" s="154"/>
      <c r="AI843" s="154"/>
      <c r="AJ843" s="154"/>
      <c r="AK843" s="154"/>
      <c r="AL843" s="154"/>
      <c r="AM843" s="154"/>
      <c r="AN843" s="154"/>
      <c r="AO843" s="154"/>
      <c r="AP843" s="154"/>
      <c r="AQ843" s="154"/>
      <c r="AR843" s="154"/>
      <c r="AS843" s="154"/>
      <c r="AT843" s="154"/>
      <c r="AU843" s="154"/>
      <c r="AV843" s="154"/>
      <c r="AW843" s="154"/>
      <c r="AX843" s="154"/>
      <c r="AY843" s="154"/>
      <c r="AZ843" s="154"/>
      <c r="BA843" s="154"/>
      <c r="BB843" s="154"/>
      <c r="BC843" s="154"/>
      <c r="BD843" s="154"/>
      <c r="BE843" s="154"/>
      <c r="BF843" s="154"/>
      <c r="BG843" s="154"/>
      <c r="BH843" s="154"/>
      <c r="BI843" s="507"/>
      <c r="BJ843" s="154"/>
      <c r="BK843" s="154"/>
      <c r="BL843" s="154"/>
      <c r="BM843" s="154"/>
      <c r="BN843" s="154"/>
      <c r="BO843" s="154"/>
      <c r="BP843" s="154"/>
      <c r="BQ843" s="154"/>
      <c r="BR843" s="154"/>
      <c r="BS843" s="154"/>
      <c r="BT843" s="154"/>
      <c r="BU843" s="154"/>
      <c r="BV843" s="154"/>
      <c r="BW843" s="131"/>
    </row>
    <row r="844" spans="1:75" ht="15.75" customHeight="1" x14ac:dyDescent="0.2">
      <c r="A844" s="525" t="s">
        <v>902</v>
      </c>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c r="AB844" s="154"/>
      <c r="AC844" s="154"/>
      <c r="AD844" s="154"/>
      <c r="AE844" s="154"/>
      <c r="AF844" s="154"/>
      <c r="AG844" s="154"/>
      <c r="AH844" s="154"/>
      <c r="AI844" s="154"/>
      <c r="AJ844" s="154"/>
      <c r="AK844" s="154"/>
      <c r="AL844" s="154"/>
      <c r="AM844" s="154"/>
      <c r="AN844" s="154"/>
      <c r="AO844" s="154"/>
      <c r="AP844" s="154"/>
      <c r="AQ844" s="154"/>
      <c r="AR844" s="154"/>
      <c r="AS844" s="154"/>
      <c r="AT844" s="154"/>
      <c r="AU844" s="154"/>
      <c r="AV844" s="154"/>
      <c r="AW844" s="154"/>
      <c r="AX844" s="154"/>
      <c r="AY844" s="154"/>
      <c r="AZ844" s="154"/>
      <c r="BA844" s="154"/>
      <c r="BB844" s="154"/>
      <c r="BC844" s="154"/>
      <c r="BD844" s="154"/>
      <c r="BE844" s="154"/>
      <c r="BF844" s="154"/>
      <c r="BG844" s="154"/>
      <c r="BH844" s="154"/>
      <c r="BI844" s="507"/>
      <c r="BJ844" s="154"/>
      <c r="BK844" s="154"/>
      <c r="BL844" s="154"/>
      <c r="BM844" s="154"/>
      <c r="BN844" s="154"/>
      <c r="BO844" s="154"/>
      <c r="BP844" s="154"/>
      <c r="BQ844" s="154"/>
      <c r="BR844" s="154"/>
      <c r="BS844" s="154"/>
      <c r="BT844" s="154"/>
      <c r="BU844" s="154"/>
      <c r="BV844" s="154"/>
      <c r="BW844" s="131"/>
    </row>
    <row r="845" spans="1:75" ht="15.75" customHeight="1" x14ac:dyDescent="0.2">
      <c r="A845" s="525" t="s">
        <v>903</v>
      </c>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c r="AY845" s="154"/>
      <c r="AZ845" s="154"/>
      <c r="BA845" s="154"/>
      <c r="BB845" s="154"/>
      <c r="BC845" s="154"/>
      <c r="BD845" s="154"/>
      <c r="BE845" s="154"/>
      <c r="BF845" s="154"/>
      <c r="BG845" s="154"/>
      <c r="BH845" s="154"/>
      <c r="BI845" s="507"/>
      <c r="BJ845" s="154"/>
      <c r="BK845" s="154"/>
      <c r="BL845" s="154"/>
      <c r="BM845" s="154"/>
      <c r="BN845" s="154"/>
      <c r="BO845" s="154"/>
      <c r="BP845" s="154"/>
      <c r="BQ845" s="154"/>
      <c r="BR845" s="154"/>
      <c r="BS845" s="154"/>
      <c r="BT845" s="154"/>
      <c r="BU845" s="154"/>
      <c r="BV845" s="154"/>
      <c r="BW845" s="131"/>
    </row>
    <row r="846" spans="1:75" ht="15.75" customHeight="1" x14ac:dyDescent="0.2">
      <c r="A846" s="525" t="s">
        <v>904</v>
      </c>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c r="AY846" s="154"/>
      <c r="AZ846" s="154"/>
      <c r="BA846" s="154"/>
      <c r="BB846" s="154"/>
      <c r="BC846" s="154"/>
      <c r="BD846" s="154"/>
      <c r="BE846" s="154"/>
      <c r="BF846" s="154"/>
      <c r="BG846" s="154"/>
      <c r="BH846" s="154"/>
      <c r="BI846" s="507"/>
      <c r="BJ846" s="154"/>
      <c r="BK846" s="154"/>
      <c r="BL846" s="154"/>
      <c r="BM846" s="154"/>
      <c r="BN846" s="154"/>
      <c r="BO846" s="154"/>
      <c r="BP846" s="154"/>
      <c r="BQ846" s="154"/>
      <c r="BR846" s="154"/>
      <c r="BS846" s="154"/>
      <c r="BT846" s="154"/>
      <c r="BU846" s="154"/>
      <c r="BV846" s="154"/>
      <c r="BW846" s="131"/>
    </row>
    <row r="847" spans="1:75" ht="15.75" customHeight="1" x14ac:dyDescent="0.2">
      <c r="A847" s="525" t="s">
        <v>905</v>
      </c>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c r="AY847" s="154"/>
      <c r="AZ847" s="154"/>
      <c r="BA847" s="154"/>
      <c r="BB847" s="154"/>
      <c r="BC847" s="154"/>
      <c r="BD847" s="154"/>
      <c r="BE847" s="154"/>
      <c r="BF847" s="154"/>
      <c r="BG847" s="154"/>
      <c r="BH847" s="154"/>
      <c r="BI847" s="507"/>
      <c r="BJ847" s="154"/>
      <c r="BK847" s="154"/>
      <c r="BL847" s="154"/>
      <c r="BM847" s="154"/>
      <c r="BN847" s="154"/>
      <c r="BO847" s="154"/>
      <c r="BP847" s="154"/>
      <c r="BQ847" s="154"/>
      <c r="BR847" s="154"/>
      <c r="BS847" s="154"/>
      <c r="BT847" s="154"/>
      <c r="BU847" s="154"/>
      <c r="BV847" s="154"/>
      <c r="BW847" s="131"/>
    </row>
    <row r="848" spans="1:75" ht="15.75" customHeight="1" x14ac:dyDescent="0.2">
      <c r="A848" s="525" t="s">
        <v>906</v>
      </c>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c r="AY848" s="154"/>
      <c r="AZ848" s="154"/>
      <c r="BA848" s="154"/>
      <c r="BB848" s="154"/>
      <c r="BC848" s="154"/>
      <c r="BD848" s="154"/>
      <c r="BE848" s="154"/>
      <c r="BF848" s="154"/>
      <c r="BG848" s="154"/>
      <c r="BH848" s="154"/>
      <c r="BI848" s="507"/>
      <c r="BJ848" s="154"/>
      <c r="BK848" s="154"/>
      <c r="BL848" s="154"/>
      <c r="BM848" s="154"/>
      <c r="BN848" s="154"/>
      <c r="BO848" s="154"/>
      <c r="BP848" s="154"/>
      <c r="BQ848" s="154"/>
      <c r="BR848" s="154"/>
      <c r="BS848" s="154"/>
      <c r="BT848" s="154"/>
      <c r="BU848" s="154"/>
      <c r="BV848" s="154"/>
      <c r="BW848" s="131"/>
    </row>
    <row r="849" spans="1:75" ht="15.75" customHeight="1" x14ac:dyDescent="0.2">
      <c r="A849" s="525" t="s">
        <v>907</v>
      </c>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c r="AY849" s="154"/>
      <c r="AZ849" s="154"/>
      <c r="BA849" s="154"/>
      <c r="BB849" s="154"/>
      <c r="BC849" s="154"/>
      <c r="BD849" s="154"/>
      <c r="BE849" s="154"/>
      <c r="BF849" s="154"/>
      <c r="BG849" s="154"/>
      <c r="BH849" s="154"/>
      <c r="BI849" s="507"/>
      <c r="BJ849" s="154"/>
      <c r="BK849" s="154"/>
      <c r="BL849" s="154"/>
      <c r="BM849" s="154"/>
      <c r="BN849" s="154"/>
      <c r="BO849" s="154"/>
      <c r="BP849" s="154"/>
      <c r="BQ849" s="154"/>
      <c r="BR849" s="154"/>
      <c r="BS849" s="154"/>
      <c r="BT849" s="154"/>
      <c r="BU849" s="154"/>
      <c r="BV849" s="154"/>
      <c r="BW849" s="131"/>
    </row>
    <row r="850" spans="1:75" ht="15.75" customHeight="1" x14ac:dyDescent="0.2">
      <c r="A850" s="525" t="s">
        <v>908</v>
      </c>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c r="AB850" s="154"/>
      <c r="AC850" s="154"/>
      <c r="AD850" s="154"/>
      <c r="AE850" s="154"/>
      <c r="AF850" s="154"/>
      <c r="AG850" s="154"/>
      <c r="AH850" s="154"/>
      <c r="AI850" s="154"/>
      <c r="AJ850" s="154"/>
      <c r="AK850" s="154"/>
      <c r="AL850" s="154"/>
      <c r="AM850" s="154"/>
      <c r="AN850" s="154"/>
      <c r="AO850" s="154"/>
      <c r="AP850" s="154"/>
      <c r="AQ850" s="154"/>
      <c r="AR850" s="154"/>
      <c r="AS850" s="154"/>
      <c r="AT850" s="154"/>
      <c r="AU850" s="154"/>
      <c r="AV850" s="154"/>
      <c r="AW850" s="154"/>
      <c r="AX850" s="154"/>
      <c r="AY850" s="154"/>
      <c r="AZ850" s="154"/>
      <c r="BA850" s="154"/>
      <c r="BB850" s="154"/>
      <c r="BC850" s="154"/>
      <c r="BD850" s="154"/>
      <c r="BE850" s="154"/>
      <c r="BF850" s="154"/>
      <c r="BG850" s="154"/>
      <c r="BH850" s="154"/>
      <c r="BI850" s="507"/>
      <c r="BJ850" s="154"/>
      <c r="BK850" s="154"/>
      <c r="BL850" s="154"/>
      <c r="BM850" s="154"/>
      <c r="BN850" s="154"/>
      <c r="BO850" s="154"/>
      <c r="BP850" s="154"/>
      <c r="BQ850" s="154"/>
      <c r="BR850" s="154"/>
      <c r="BS850" s="154"/>
      <c r="BT850" s="154"/>
      <c r="BU850" s="154"/>
      <c r="BV850" s="154"/>
      <c r="BW850" s="131"/>
    </row>
    <row r="851" spans="1:75" ht="15.75" customHeight="1" x14ac:dyDescent="0.2">
      <c r="A851" s="525" t="s">
        <v>909</v>
      </c>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c r="AB851" s="154"/>
      <c r="AC851" s="154"/>
      <c r="AD851" s="154"/>
      <c r="AE851" s="154"/>
      <c r="AF851" s="154"/>
      <c r="AG851" s="154"/>
      <c r="AH851" s="154"/>
      <c r="AI851" s="154"/>
      <c r="AJ851" s="154"/>
      <c r="AK851" s="154"/>
      <c r="AL851" s="154"/>
      <c r="AM851" s="154"/>
      <c r="AN851" s="154"/>
      <c r="AO851" s="154"/>
      <c r="AP851" s="154"/>
      <c r="AQ851" s="154"/>
      <c r="AR851" s="154"/>
      <c r="AS851" s="154"/>
      <c r="AT851" s="154"/>
      <c r="AU851" s="154"/>
      <c r="AV851" s="154"/>
      <c r="AW851" s="154"/>
      <c r="AX851" s="154"/>
      <c r="AY851" s="154"/>
      <c r="AZ851" s="154"/>
      <c r="BA851" s="154"/>
      <c r="BB851" s="154"/>
      <c r="BC851" s="154"/>
      <c r="BD851" s="154"/>
      <c r="BE851" s="154"/>
      <c r="BF851" s="154"/>
      <c r="BG851" s="154"/>
      <c r="BH851" s="154"/>
      <c r="BI851" s="507"/>
      <c r="BJ851" s="154"/>
      <c r="BK851" s="154"/>
      <c r="BL851" s="154"/>
      <c r="BM851" s="154"/>
      <c r="BN851" s="154"/>
      <c r="BO851" s="154"/>
      <c r="BP851" s="154"/>
      <c r="BQ851" s="154"/>
      <c r="BR851" s="154"/>
      <c r="BS851" s="154"/>
      <c r="BT851" s="154"/>
      <c r="BU851" s="154"/>
      <c r="BV851" s="154"/>
      <c r="BW851" s="131"/>
    </row>
    <row r="852" spans="1:75" ht="15.75" customHeight="1" x14ac:dyDescent="0.2">
      <c r="A852" s="525" t="s">
        <v>910</v>
      </c>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c r="AP852" s="154"/>
      <c r="AQ852" s="154"/>
      <c r="AR852" s="154"/>
      <c r="AS852" s="154"/>
      <c r="AT852" s="154"/>
      <c r="AU852" s="154"/>
      <c r="AV852" s="154"/>
      <c r="AW852" s="154"/>
      <c r="AX852" s="154"/>
      <c r="AY852" s="154"/>
      <c r="AZ852" s="154"/>
      <c r="BA852" s="154"/>
      <c r="BB852" s="154"/>
      <c r="BC852" s="154"/>
      <c r="BD852" s="154"/>
      <c r="BE852" s="154"/>
      <c r="BF852" s="154"/>
      <c r="BG852" s="154"/>
      <c r="BH852" s="154"/>
      <c r="BI852" s="507"/>
      <c r="BJ852" s="154"/>
      <c r="BK852" s="154"/>
      <c r="BL852" s="154"/>
      <c r="BM852" s="154"/>
      <c r="BN852" s="154"/>
      <c r="BO852" s="154"/>
      <c r="BP852" s="154"/>
      <c r="BQ852" s="154"/>
      <c r="BR852" s="154"/>
      <c r="BS852" s="154"/>
      <c r="BT852" s="154"/>
      <c r="BU852" s="154"/>
      <c r="BV852" s="154"/>
      <c r="BW852" s="131"/>
    </row>
    <row r="853" spans="1:75" ht="15.75" customHeight="1" x14ac:dyDescent="0.2">
      <c r="A853" s="525" t="s">
        <v>911</v>
      </c>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c r="AR853" s="154"/>
      <c r="AS853" s="154"/>
      <c r="AT853" s="154"/>
      <c r="AU853" s="154"/>
      <c r="AV853" s="154"/>
      <c r="AW853" s="154"/>
      <c r="AX853" s="154"/>
      <c r="AY853" s="154"/>
      <c r="AZ853" s="154"/>
      <c r="BA853" s="154"/>
      <c r="BB853" s="154"/>
      <c r="BC853" s="154"/>
      <c r="BD853" s="154"/>
      <c r="BE853" s="154"/>
      <c r="BF853" s="154"/>
      <c r="BG853" s="154"/>
      <c r="BH853" s="154"/>
      <c r="BI853" s="507"/>
      <c r="BJ853" s="154"/>
      <c r="BK853" s="154"/>
      <c r="BL853" s="154"/>
      <c r="BM853" s="154"/>
      <c r="BN853" s="154"/>
      <c r="BO853" s="154"/>
      <c r="BP853" s="154"/>
      <c r="BQ853" s="154"/>
      <c r="BR853" s="154"/>
      <c r="BS853" s="154"/>
      <c r="BT853" s="154"/>
      <c r="BU853" s="154"/>
      <c r="BV853" s="154"/>
      <c r="BW853" s="131"/>
    </row>
    <row r="854" spans="1:75" ht="15.75" customHeight="1" x14ac:dyDescent="0.2">
      <c r="A854" s="525" t="s">
        <v>912</v>
      </c>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c r="AR854" s="154"/>
      <c r="AS854" s="154"/>
      <c r="AT854" s="154"/>
      <c r="AU854" s="154"/>
      <c r="AV854" s="154"/>
      <c r="AW854" s="154"/>
      <c r="AX854" s="154"/>
      <c r="AY854" s="154"/>
      <c r="AZ854" s="154"/>
      <c r="BA854" s="154"/>
      <c r="BB854" s="154"/>
      <c r="BC854" s="154"/>
      <c r="BD854" s="154"/>
      <c r="BE854" s="154"/>
      <c r="BF854" s="154"/>
      <c r="BG854" s="154"/>
      <c r="BH854" s="154"/>
      <c r="BI854" s="507"/>
      <c r="BJ854" s="154"/>
      <c r="BK854" s="154"/>
      <c r="BL854" s="154"/>
      <c r="BM854" s="154"/>
      <c r="BN854" s="154"/>
      <c r="BO854" s="154"/>
      <c r="BP854" s="154"/>
      <c r="BQ854" s="154"/>
      <c r="BR854" s="154"/>
      <c r="BS854" s="154"/>
      <c r="BT854" s="154"/>
      <c r="BU854" s="154"/>
      <c r="BV854" s="154"/>
      <c r="BW854" s="131"/>
    </row>
    <row r="855" spans="1:75" ht="15.75" customHeight="1" x14ac:dyDescent="0.2">
      <c r="A855" s="525" t="s">
        <v>913</v>
      </c>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c r="AY855" s="154"/>
      <c r="AZ855" s="154"/>
      <c r="BA855" s="154"/>
      <c r="BB855" s="154"/>
      <c r="BC855" s="154"/>
      <c r="BD855" s="154"/>
      <c r="BE855" s="154"/>
      <c r="BF855" s="154"/>
      <c r="BG855" s="154"/>
      <c r="BH855" s="154"/>
      <c r="BI855" s="507"/>
      <c r="BJ855" s="154"/>
      <c r="BK855" s="154"/>
      <c r="BL855" s="154"/>
      <c r="BM855" s="154"/>
      <c r="BN855" s="154"/>
      <c r="BO855" s="154"/>
      <c r="BP855" s="154"/>
      <c r="BQ855" s="154"/>
      <c r="BR855" s="154"/>
      <c r="BS855" s="154"/>
      <c r="BT855" s="154"/>
      <c r="BU855" s="154"/>
      <c r="BV855" s="154"/>
      <c r="BW855" s="131"/>
    </row>
    <row r="856" spans="1:75" ht="15.75" customHeight="1" x14ac:dyDescent="0.2">
      <c r="A856" s="525" t="s">
        <v>914</v>
      </c>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c r="AS856" s="154"/>
      <c r="AT856" s="154"/>
      <c r="AU856" s="154"/>
      <c r="AV856" s="154"/>
      <c r="AW856" s="154"/>
      <c r="AX856" s="154"/>
      <c r="AY856" s="154"/>
      <c r="AZ856" s="154"/>
      <c r="BA856" s="154"/>
      <c r="BB856" s="154"/>
      <c r="BC856" s="154"/>
      <c r="BD856" s="154"/>
      <c r="BE856" s="154"/>
      <c r="BF856" s="154"/>
      <c r="BG856" s="154"/>
      <c r="BH856" s="154"/>
      <c r="BI856" s="507"/>
      <c r="BJ856" s="154"/>
      <c r="BK856" s="154"/>
      <c r="BL856" s="154"/>
      <c r="BM856" s="154"/>
      <c r="BN856" s="154"/>
      <c r="BO856" s="154"/>
      <c r="BP856" s="154"/>
      <c r="BQ856" s="154"/>
      <c r="BR856" s="154"/>
      <c r="BS856" s="154"/>
      <c r="BT856" s="154"/>
      <c r="BU856" s="154"/>
      <c r="BV856" s="154"/>
      <c r="BW856" s="131"/>
    </row>
    <row r="857" spans="1:75" ht="15.75" customHeight="1" x14ac:dyDescent="0.2">
      <c r="A857" s="525" t="s">
        <v>915</v>
      </c>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c r="AB857" s="154"/>
      <c r="AC857" s="154"/>
      <c r="AD857" s="154"/>
      <c r="AE857" s="154"/>
      <c r="AF857" s="154"/>
      <c r="AG857" s="154"/>
      <c r="AH857" s="154"/>
      <c r="AI857" s="154"/>
      <c r="AJ857" s="154"/>
      <c r="AK857" s="154"/>
      <c r="AL857" s="154"/>
      <c r="AM857" s="154"/>
      <c r="AN857" s="154"/>
      <c r="AO857" s="154"/>
      <c r="AP857" s="154"/>
      <c r="AQ857" s="154"/>
      <c r="AR857" s="154"/>
      <c r="AS857" s="154"/>
      <c r="AT857" s="154"/>
      <c r="AU857" s="154"/>
      <c r="AV857" s="154"/>
      <c r="AW857" s="154"/>
      <c r="AX857" s="154"/>
      <c r="AY857" s="154"/>
      <c r="AZ857" s="154"/>
      <c r="BA857" s="154"/>
      <c r="BB857" s="154"/>
      <c r="BC857" s="154"/>
      <c r="BD857" s="154"/>
      <c r="BE857" s="154"/>
      <c r="BF857" s="154"/>
      <c r="BG857" s="154"/>
      <c r="BH857" s="154"/>
      <c r="BI857" s="507"/>
      <c r="BJ857" s="154"/>
      <c r="BK857" s="154"/>
      <c r="BL857" s="154"/>
      <c r="BM857" s="154"/>
      <c r="BN857" s="154"/>
      <c r="BO857" s="154"/>
      <c r="BP857" s="154"/>
      <c r="BQ857" s="154"/>
      <c r="BR857" s="154"/>
      <c r="BS857" s="154"/>
      <c r="BT857" s="154"/>
      <c r="BU857" s="154"/>
      <c r="BV857" s="154"/>
      <c r="BW857" s="131"/>
    </row>
    <row r="858" spans="1:75" ht="15.75" customHeight="1" x14ac:dyDescent="0.2">
      <c r="A858" s="525" t="s">
        <v>916</v>
      </c>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c r="AB858" s="154"/>
      <c r="AC858" s="154"/>
      <c r="AD858" s="154"/>
      <c r="AE858" s="154"/>
      <c r="AF858" s="154"/>
      <c r="AG858" s="154"/>
      <c r="AH858" s="154"/>
      <c r="AI858" s="154"/>
      <c r="AJ858" s="154"/>
      <c r="AK858" s="154"/>
      <c r="AL858" s="154"/>
      <c r="AM858" s="154"/>
      <c r="AN858" s="154"/>
      <c r="AO858" s="154"/>
      <c r="AP858" s="154"/>
      <c r="AQ858" s="154"/>
      <c r="AR858" s="154"/>
      <c r="AS858" s="154"/>
      <c r="AT858" s="154"/>
      <c r="AU858" s="154"/>
      <c r="AV858" s="154"/>
      <c r="AW858" s="154"/>
      <c r="AX858" s="154"/>
      <c r="AY858" s="154"/>
      <c r="AZ858" s="154"/>
      <c r="BA858" s="154"/>
      <c r="BB858" s="154"/>
      <c r="BC858" s="154"/>
      <c r="BD858" s="154"/>
      <c r="BE858" s="154"/>
      <c r="BF858" s="154"/>
      <c r="BG858" s="154"/>
      <c r="BH858" s="154"/>
      <c r="BI858" s="507"/>
      <c r="BJ858" s="154"/>
      <c r="BK858" s="154"/>
      <c r="BL858" s="154"/>
      <c r="BM858" s="154"/>
      <c r="BN858" s="154"/>
      <c r="BO858" s="154"/>
      <c r="BP858" s="154"/>
      <c r="BQ858" s="154"/>
      <c r="BR858" s="154"/>
      <c r="BS858" s="154"/>
      <c r="BT858" s="154"/>
      <c r="BU858" s="154"/>
      <c r="BV858" s="154"/>
      <c r="BW858" s="131"/>
    </row>
    <row r="859" spans="1:75" ht="15.75" customHeight="1" x14ac:dyDescent="0.2">
      <c r="A859" s="525" t="s">
        <v>917</v>
      </c>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c r="AB859" s="154"/>
      <c r="AC859" s="154"/>
      <c r="AD859" s="154"/>
      <c r="AE859" s="154"/>
      <c r="AF859" s="154"/>
      <c r="AG859" s="154"/>
      <c r="AH859" s="154"/>
      <c r="AI859" s="154"/>
      <c r="AJ859" s="154"/>
      <c r="AK859" s="154"/>
      <c r="AL859" s="154"/>
      <c r="AM859" s="154"/>
      <c r="AN859" s="154"/>
      <c r="AO859" s="154"/>
      <c r="AP859" s="154"/>
      <c r="AQ859" s="154"/>
      <c r="AR859" s="154"/>
      <c r="AS859" s="154"/>
      <c r="AT859" s="154"/>
      <c r="AU859" s="154"/>
      <c r="AV859" s="154"/>
      <c r="AW859" s="154"/>
      <c r="AX859" s="154"/>
      <c r="AY859" s="154"/>
      <c r="AZ859" s="154"/>
      <c r="BA859" s="154"/>
      <c r="BB859" s="154"/>
      <c r="BC859" s="154"/>
      <c r="BD859" s="154"/>
      <c r="BE859" s="154"/>
      <c r="BF859" s="154"/>
      <c r="BG859" s="154"/>
      <c r="BH859" s="154"/>
      <c r="BI859" s="507"/>
      <c r="BJ859" s="154"/>
      <c r="BK859" s="154"/>
      <c r="BL859" s="154"/>
      <c r="BM859" s="154"/>
      <c r="BN859" s="154"/>
      <c r="BO859" s="154"/>
      <c r="BP859" s="154"/>
      <c r="BQ859" s="154"/>
      <c r="BR859" s="154"/>
      <c r="BS859" s="154"/>
      <c r="BT859" s="154"/>
      <c r="BU859" s="154"/>
      <c r="BV859" s="154"/>
      <c r="BW859" s="131"/>
    </row>
    <row r="860" spans="1:75" ht="15.75" customHeight="1" x14ac:dyDescent="0.2">
      <c r="A860" s="525" t="s">
        <v>918</v>
      </c>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154"/>
      <c r="BH860" s="154"/>
      <c r="BI860" s="507"/>
      <c r="BJ860" s="154"/>
      <c r="BK860" s="154"/>
      <c r="BL860" s="154"/>
      <c r="BM860" s="154"/>
      <c r="BN860" s="154"/>
      <c r="BO860" s="154"/>
      <c r="BP860" s="154"/>
      <c r="BQ860" s="154"/>
      <c r="BR860" s="154"/>
      <c r="BS860" s="154"/>
      <c r="BT860" s="154"/>
      <c r="BU860" s="154"/>
      <c r="BV860" s="154"/>
      <c r="BW860" s="131"/>
    </row>
    <row r="861" spans="1:75" ht="15.75" customHeight="1" x14ac:dyDescent="0.2">
      <c r="A861" s="525" t="s">
        <v>919</v>
      </c>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c r="AY861" s="154"/>
      <c r="AZ861" s="154"/>
      <c r="BA861" s="154"/>
      <c r="BB861" s="154"/>
      <c r="BC861" s="154"/>
      <c r="BD861" s="154"/>
      <c r="BE861" s="154"/>
      <c r="BF861" s="154"/>
      <c r="BG861" s="154"/>
      <c r="BH861" s="154"/>
      <c r="BI861" s="507"/>
      <c r="BJ861" s="154"/>
      <c r="BK861" s="154"/>
      <c r="BL861" s="154"/>
      <c r="BM861" s="154"/>
      <c r="BN861" s="154"/>
      <c r="BO861" s="154"/>
      <c r="BP861" s="154"/>
      <c r="BQ861" s="154"/>
      <c r="BR861" s="154"/>
      <c r="BS861" s="154"/>
      <c r="BT861" s="154"/>
      <c r="BU861" s="154"/>
      <c r="BV861" s="154"/>
      <c r="BW861" s="131"/>
    </row>
    <row r="862" spans="1:75" ht="15.75" customHeight="1" x14ac:dyDescent="0.2">
      <c r="A862" s="525" t="s">
        <v>920</v>
      </c>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c r="AY862" s="154"/>
      <c r="AZ862" s="154"/>
      <c r="BA862" s="154"/>
      <c r="BB862" s="154"/>
      <c r="BC862" s="154"/>
      <c r="BD862" s="154"/>
      <c r="BE862" s="154"/>
      <c r="BF862" s="154"/>
      <c r="BG862" s="154"/>
      <c r="BH862" s="154"/>
      <c r="BI862" s="507"/>
      <c r="BJ862" s="154"/>
      <c r="BK862" s="154"/>
      <c r="BL862" s="154"/>
      <c r="BM862" s="154"/>
      <c r="BN862" s="154"/>
      <c r="BO862" s="154"/>
      <c r="BP862" s="154"/>
      <c r="BQ862" s="154"/>
      <c r="BR862" s="154"/>
      <c r="BS862" s="154"/>
      <c r="BT862" s="154"/>
      <c r="BU862" s="154"/>
      <c r="BV862" s="154"/>
      <c r="BW862" s="131"/>
    </row>
    <row r="863" spans="1:75" ht="15.75" customHeight="1" x14ac:dyDescent="0.2">
      <c r="A863" s="525" t="s">
        <v>921</v>
      </c>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c r="AY863" s="154"/>
      <c r="AZ863" s="154"/>
      <c r="BA863" s="154"/>
      <c r="BB863" s="154"/>
      <c r="BC863" s="154"/>
      <c r="BD863" s="154"/>
      <c r="BE863" s="154"/>
      <c r="BF863" s="154"/>
      <c r="BG863" s="154"/>
      <c r="BH863" s="154"/>
      <c r="BI863" s="507"/>
      <c r="BJ863" s="154"/>
      <c r="BK863" s="154"/>
      <c r="BL863" s="154"/>
      <c r="BM863" s="154"/>
      <c r="BN863" s="154"/>
      <c r="BO863" s="154"/>
      <c r="BP863" s="154"/>
      <c r="BQ863" s="154"/>
      <c r="BR863" s="154"/>
      <c r="BS863" s="154"/>
      <c r="BT863" s="154"/>
      <c r="BU863" s="154"/>
      <c r="BV863" s="154"/>
      <c r="BW863" s="131"/>
    </row>
    <row r="864" spans="1:75" ht="15.75" customHeight="1" x14ac:dyDescent="0.2">
      <c r="A864" s="525" t="s">
        <v>922</v>
      </c>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154"/>
      <c r="BH864" s="154"/>
      <c r="BI864" s="507"/>
      <c r="BJ864" s="154"/>
      <c r="BK864" s="154"/>
      <c r="BL864" s="154"/>
      <c r="BM864" s="154"/>
      <c r="BN864" s="154"/>
      <c r="BO864" s="154"/>
      <c r="BP864" s="154"/>
      <c r="BQ864" s="154"/>
      <c r="BR864" s="154"/>
      <c r="BS864" s="154"/>
      <c r="BT864" s="154"/>
      <c r="BU864" s="154"/>
      <c r="BV864" s="154"/>
      <c r="BW864" s="131"/>
    </row>
    <row r="865" spans="1:75" ht="15.75" customHeight="1" x14ac:dyDescent="0.2">
      <c r="A865" s="523"/>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c r="AB865" s="154"/>
      <c r="AC865" s="154"/>
      <c r="AD865" s="154"/>
      <c r="AE865" s="154"/>
      <c r="AF865" s="154"/>
      <c r="AG865" s="154"/>
      <c r="AH865" s="154"/>
      <c r="AI865" s="154"/>
      <c r="AJ865" s="154"/>
      <c r="AK865" s="154"/>
      <c r="AL865" s="154"/>
      <c r="AM865" s="154"/>
      <c r="AN865" s="154"/>
      <c r="AO865" s="154"/>
      <c r="AP865" s="154"/>
      <c r="AQ865" s="154"/>
      <c r="AR865" s="154"/>
      <c r="AS865" s="154"/>
      <c r="AT865" s="154"/>
      <c r="AU865" s="154"/>
      <c r="AV865" s="154"/>
      <c r="AW865" s="154"/>
      <c r="AX865" s="154"/>
      <c r="AY865" s="154"/>
      <c r="AZ865" s="154"/>
      <c r="BA865" s="154"/>
      <c r="BB865" s="154"/>
      <c r="BC865" s="154"/>
      <c r="BD865" s="154"/>
      <c r="BE865" s="154"/>
      <c r="BF865" s="154"/>
      <c r="BG865" s="154"/>
      <c r="BH865" s="154"/>
      <c r="BI865" s="507"/>
      <c r="BJ865" s="154"/>
      <c r="BK865" s="154"/>
      <c r="BL865" s="154"/>
      <c r="BM865" s="154"/>
      <c r="BN865" s="154"/>
      <c r="BO865" s="154"/>
      <c r="BP865" s="154"/>
      <c r="BQ865" s="154"/>
      <c r="BR865" s="154"/>
      <c r="BS865" s="154"/>
      <c r="BT865" s="154"/>
      <c r="BU865" s="154"/>
      <c r="BV865" s="154"/>
      <c r="BW865" s="131"/>
    </row>
    <row r="866" spans="1:75" ht="15.75" customHeight="1" x14ac:dyDescent="0.2">
      <c r="A866" s="92"/>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526"/>
      <c r="BJ866" s="174"/>
      <c r="BK866" s="174"/>
      <c r="BL866" s="174"/>
      <c r="BM866" s="174"/>
      <c r="BN866" s="174"/>
      <c r="BO866" s="174"/>
      <c r="BP866" s="174"/>
      <c r="BQ866" s="174"/>
      <c r="BR866" s="174"/>
      <c r="BS866" s="174"/>
      <c r="BT866" s="174"/>
      <c r="BU866" s="174"/>
      <c r="BV866" s="174"/>
      <c r="BW866" s="131"/>
    </row>
    <row r="867" spans="1:75" ht="15.75" customHeight="1" x14ac:dyDescent="0.2">
      <c r="A867" s="102" t="s">
        <v>923</v>
      </c>
      <c r="B867" s="520"/>
      <c r="C867" s="520"/>
      <c r="D867" s="520"/>
      <c r="E867" s="520"/>
      <c r="F867" s="520"/>
      <c r="G867" s="520"/>
      <c r="H867" s="520"/>
      <c r="I867" s="520"/>
      <c r="J867" s="520"/>
      <c r="K867" s="520"/>
      <c r="L867" s="520"/>
      <c r="M867" s="520"/>
      <c r="N867" s="520"/>
      <c r="O867" s="520"/>
      <c r="P867" s="520"/>
      <c r="Q867" s="520"/>
      <c r="R867" s="520"/>
      <c r="S867" s="520"/>
      <c r="T867" s="520"/>
      <c r="U867" s="520"/>
      <c r="V867" s="520"/>
      <c r="W867" s="520"/>
      <c r="X867" s="520"/>
      <c r="Y867" s="520"/>
      <c r="Z867" s="520"/>
      <c r="AA867" s="520"/>
      <c r="AB867" s="520"/>
      <c r="AC867" s="520"/>
      <c r="AD867" s="520"/>
      <c r="AE867" s="520"/>
      <c r="AF867" s="520"/>
      <c r="AG867" s="520"/>
      <c r="AH867" s="520"/>
      <c r="AI867" s="520"/>
      <c r="AJ867" s="520"/>
      <c r="AK867" s="520"/>
      <c r="AL867" s="520"/>
      <c r="AM867" s="520"/>
      <c r="AN867" s="520"/>
      <c r="AO867" s="520"/>
      <c r="AP867" s="520"/>
      <c r="AQ867" s="520"/>
      <c r="AR867" s="520"/>
      <c r="AS867" s="520"/>
      <c r="AT867" s="520"/>
      <c r="AU867" s="520"/>
      <c r="AV867" s="520"/>
      <c r="AW867" s="520"/>
      <c r="AX867" s="520"/>
      <c r="AY867" s="520"/>
      <c r="AZ867" s="520"/>
      <c r="BA867" s="520"/>
      <c r="BB867" s="520"/>
      <c r="BC867" s="520"/>
      <c r="BD867" s="520"/>
      <c r="BE867" s="520"/>
      <c r="BF867" s="520"/>
      <c r="BG867" s="520"/>
      <c r="BH867" s="520"/>
      <c r="BI867" s="527"/>
      <c r="BJ867" s="520"/>
      <c r="BK867" s="520"/>
      <c r="BL867" s="520"/>
      <c r="BM867" s="520"/>
      <c r="BN867" s="520"/>
      <c r="BO867" s="520"/>
      <c r="BP867" s="520"/>
      <c r="BQ867" s="520"/>
      <c r="BR867" s="520"/>
      <c r="BS867" s="520"/>
      <c r="BT867" s="520"/>
      <c r="BU867" s="520"/>
      <c r="BV867" s="528"/>
      <c r="BW867" s="131"/>
    </row>
    <row r="868" spans="1:75" ht="15.75" customHeight="1" x14ac:dyDescent="0.2">
      <c r="A868" s="108" t="s">
        <v>924</v>
      </c>
      <c r="B868" s="154"/>
      <c r="C868" s="529"/>
      <c r="D868" s="529"/>
      <c r="E868" s="529"/>
      <c r="F868" s="529"/>
      <c r="G868" s="529"/>
      <c r="H868" s="529"/>
      <c r="I868" s="529"/>
      <c r="J868" s="529"/>
      <c r="K868" s="529"/>
      <c r="L868" s="529"/>
      <c r="M868" s="529"/>
      <c r="N868" s="529"/>
      <c r="O868" s="529"/>
      <c r="P868" s="529"/>
      <c r="Q868" s="529"/>
      <c r="R868" s="529"/>
      <c r="S868" s="529"/>
      <c r="T868" s="529"/>
      <c r="U868" s="529"/>
      <c r="V868" s="529"/>
      <c r="W868" s="529"/>
      <c r="X868" s="529"/>
      <c r="Y868" s="529"/>
      <c r="Z868" s="529"/>
      <c r="AA868" s="529"/>
      <c r="AB868" s="529"/>
      <c r="AC868" s="530">
        <v>43040</v>
      </c>
      <c r="AD868" s="530">
        <v>43165</v>
      </c>
      <c r="AE868" s="530">
        <v>43165</v>
      </c>
      <c r="AF868" s="530">
        <v>43231</v>
      </c>
      <c r="AG868" s="530">
        <v>43312</v>
      </c>
      <c r="AH868" s="529"/>
      <c r="AI868" s="530">
        <v>43516</v>
      </c>
      <c r="AJ868" s="530">
        <v>43516</v>
      </c>
      <c r="AK868" s="530">
        <v>43586</v>
      </c>
      <c r="AL868" s="530">
        <v>43677</v>
      </c>
      <c r="AM868" s="530">
        <v>43768</v>
      </c>
      <c r="AN868" s="530">
        <v>43880</v>
      </c>
      <c r="AO868" s="530">
        <v>43880</v>
      </c>
      <c r="AP868" s="529"/>
      <c r="AQ868" s="529"/>
      <c r="AR868" s="530">
        <v>44133</v>
      </c>
      <c r="AS868" s="530">
        <v>44251</v>
      </c>
      <c r="AT868" s="530">
        <v>44251</v>
      </c>
      <c r="AU868" s="530">
        <v>44319</v>
      </c>
      <c r="AV868" s="530">
        <v>44412</v>
      </c>
      <c r="AW868" s="530">
        <v>44505</v>
      </c>
      <c r="AX868" s="529"/>
      <c r="AY868" s="529"/>
      <c r="AZ868" s="530">
        <v>44678</v>
      </c>
      <c r="BA868" s="530">
        <v>44769</v>
      </c>
      <c r="BB868" s="530">
        <v>44866</v>
      </c>
      <c r="BC868" s="530">
        <v>44979</v>
      </c>
      <c r="BD868" s="530">
        <v>44979</v>
      </c>
      <c r="BE868" s="530">
        <v>45056</v>
      </c>
      <c r="BF868" s="530">
        <v>45140</v>
      </c>
      <c r="BG868" s="530">
        <v>45231</v>
      </c>
      <c r="BH868" s="530">
        <v>45343</v>
      </c>
      <c r="BI868" s="531">
        <v>45343</v>
      </c>
      <c r="BJ868" s="529"/>
      <c r="BK868" s="529"/>
      <c r="BL868" s="529"/>
      <c r="BM868" s="529"/>
      <c r="BN868" s="529"/>
      <c r="BO868" s="529"/>
      <c r="BP868" s="529"/>
      <c r="BQ868" s="529"/>
      <c r="BR868" s="529"/>
      <c r="BS868" s="529"/>
      <c r="BT868" s="529"/>
      <c r="BU868" s="529"/>
      <c r="BV868" s="532"/>
      <c r="BW868" s="131"/>
    </row>
    <row r="869" spans="1:75" ht="15.75" customHeight="1" x14ac:dyDescent="0.2">
      <c r="A869" s="108" t="s">
        <v>925</v>
      </c>
      <c r="B869" s="154"/>
      <c r="C869" s="533"/>
      <c r="D869" s="533"/>
      <c r="E869" s="533"/>
      <c r="F869" s="533"/>
      <c r="G869" s="533"/>
      <c r="H869" s="533"/>
      <c r="I869" s="533"/>
      <c r="J869" s="533"/>
      <c r="K869" s="533"/>
      <c r="L869" s="533"/>
      <c r="M869" s="533"/>
      <c r="N869" s="533"/>
      <c r="O869" s="533"/>
      <c r="P869" s="533"/>
      <c r="Q869" s="533"/>
      <c r="R869" s="533"/>
      <c r="S869" s="533"/>
      <c r="T869" s="533"/>
      <c r="U869" s="533"/>
      <c r="V869" s="533"/>
      <c r="W869" s="533"/>
      <c r="X869" s="533"/>
      <c r="Y869" s="533"/>
      <c r="Z869" s="533"/>
      <c r="AA869" s="533"/>
      <c r="AB869" s="533"/>
      <c r="AC869" s="533" t="str">
        <f>AD$5</f>
        <v>Q4-2017</v>
      </c>
      <c r="AD869" s="533" t="str">
        <f>AF$5</f>
        <v>Q1-2018</v>
      </c>
      <c r="AE869" s="533" t="str">
        <f t="shared" ref="AE869:AH869" si="1802">AF$5</f>
        <v>Q1-2018</v>
      </c>
      <c r="AF869" s="533" t="str">
        <f t="shared" si="1802"/>
        <v>Q2-2018</v>
      </c>
      <c r="AG869" s="533" t="str">
        <f t="shared" si="1802"/>
        <v>Q3-2018</v>
      </c>
      <c r="AH869" s="533" t="str">
        <f t="shared" si="1802"/>
        <v>Q4-2018</v>
      </c>
      <c r="AI869" s="533" t="str">
        <f>AK$5</f>
        <v>Q1-2019</v>
      </c>
      <c r="AJ869" s="533" t="str">
        <f t="shared" ref="AJ869:AM869" si="1803">AK$5</f>
        <v>Q1-2019</v>
      </c>
      <c r="AK869" s="533" t="str">
        <f t="shared" si="1803"/>
        <v>Q2-2019</v>
      </c>
      <c r="AL869" s="533" t="str">
        <f t="shared" si="1803"/>
        <v>Q3-2019</v>
      </c>
      <c r="AM869" s="533" t="str">
        <f t="shared" si="1803"/>
        <v>Q4-2019</v>
      </c>
      <c r="AN869" s="533" t="str">
        <f>AP$5</f>
        <v>Q1-2020</v>
      </c>
      <c r="AO869" s="533" t="str">
        <f t="shared" ref="AO869:AR869" si="1804">AP$5</f>
        <v>Q1-2020</v>
      </c>
      <c r="AP869" s="533" t="str">
        <f t="shared" si="1804"/>
        <v>Q2-2020</v>
      </c>
      <c r="AQ869" s="533" t="str">
        <f t="shared" si="1804"/>
        <v>Q3-2020</v>
      </c>
      <c r="AR869" s="533" t="str">
        <f t="shared" si="1804"/>
        <v>Q4-2020</v>
      </c>
      <c r="AS869" s="533" t="str">
        <f>AU$5</f>
        <v>Q1-2021</v>
      </c>
      <c r="AT869" s="533" t="str">
        <f t="shared" ref="AT869:AW869" si="1805">AU$5</f>
        <v>Q1-2021</v>
      </c>
      <c r="AU869" s="533" t="str">
        <f t="shared" si="1805"/>
        <v>Q2-2021</v>
      </c>
      <c r="AV869" s="533" t="str">
        <f t="shared" si="1805"/>
        <v>Q3-2021</v>
      </c>
      <c r="AW869" s="533" t="str">
        <f t="shared" si="1805"/>
        <v>Q4-2021</v>
      </c>
      <c r="AX869" s="533" t="str">
        <f>AZ$5</f>
        <v>Q1-2022</v>
      </c>
      <c r="AY869" s="533" t="str">
        <f t="shared" ref="AY869:BB869" si="1806">AZ$5</f>
        <v>Q1-2022</v>
      </c>
      <c r="AZ869" s="533" t="str">
        <f t="shared" si="1806"/>
        <v>Q2-2022</v>
      </c>
      <c r="BA869" s="533" t="str">
        <f t="shared" si="1806"/>
        <v>Q3-2022</v>
      </c>
      <c r="BB869" s="533" t="str">
        <f t="shared" si="1806"/>
        <v>Q4-2022</v>
      </c>
      <c r="BC869" s="533" t="str">
        <f>BE$5</f>
        <v>Q1-2023</v>
      </c>
      <c r="BD869" s="533" t="str">
        <f t="shared" ref="BD869:BG869" si="1807">BE$5</f>
        <v>Q1-2023</v>
      </c>
      <c r="BE869" s="533" t="str">
        <f t="shared" si="1807"/>
        <v>Q2-2023</v>
      </c>
      <c r="BF869" s="533" t="str">
        <f t="shared" si="1807"/>
        <v>Q3-2023</v>
      </c>
      <c r="BG869" s="533" t="str">
        <f t="shared" si="1807"/>
        <v>Q4-2023</v>
      </c>
      <c r="BH869" s="533" t="str">
        <f>BJ$5</f>
        <v>Q1-2024</v>
      </c>
      <c r="BI869" s="534" t="str">
        <f>BJ$5</f>
        <v>Q1-2024</v>
      </c>
      <c r="BJ869" s="533"/>
      <c r="BK869" s="533"/>
      <c r="BL869" s="533"/>
      <c r="BM869" s="533"/>
      <c r="BN869" s="533"/>
      <c r="BO869" s="533"/>
      <c r="BP869" s="533"/>
      <c r="BQ869" s="533"/>
      <c r="BR869" s="533"/>
      <c r="BS869" s="533"/>
      <c r="BT869" s="533"/>
      <c r="BU869" s="533"/>
      <c r="BV869" s="535"/>
      <c r="BW869" s="131"/>
    </row>
    <row r="870" spans="1:75" ht="15.75" customHeight="1" x14ac:dyDescent="0.2">
      <c r="A870" s="536"/>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526"/>
      <c r="BJ870" s="174"/>
      <c r="BK870" s="174"/>
      <c r="BL870" s="174"/>
      <c r="BM870" s="174"/>
      <c r="BN870" s="174"/>
      <c r="BO870" s="174"/>
      <c r="BP870" s="174"/>
      <c r="BQ870" s="174"/>
      <c r="BR870" s="174"/>
      <c r="BS870" s="174"/>
      <c r="BT870" s="174"/>
      <c r="BU870" s="174"/>
      <c r="BV870" s="537"/>
      <c r="BW870" s="131"/>
    </row>
    <row r="871" spans="1:75" ht="15.75" customHeight="1" x14ac:dyDescent="0.2">
      <c r="A871" s="92"/>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526"/>
      <c r="BJ871" s="174"/>
      <c r="BK871" s="174"/>
      <c r="BL871" s="174"/>
      <c r="BM871" s="174"/>
      <c r="BN871" s="174"/>
      <c r="BO871" s="174"/>
      <c r="BP871" s="174"/>
      <c r="BQ871" s="174"/>
      <c r="BR871" s="174"/>
      <c r="BS871" s="174"/>
      <c r="BT871" s="174"/>
      <c r="BU871" s="174"/>
      <c r="BV871" s="174"/>
      <c r="BW871" s="131"/>
    </row>
    <row r="872" spans="1:75" ht="15.75" customHeight="1" x14ac:dyDescent="0.2">
      <c r="A872" s="102" t="s">
        <v>926</v>
      </c>
      <c r="B872" s="520"/>
      <c r="C872" s="520"/>
      <c r="D872" s="520"/>
      <c r="E872" s="520"/>
      <c r="F872" s="520"/>
      <c r="G872" s="520"/>
      <c r="H872" s="520"/>
      <c r="I872" s="520"/>
      <c r="J872" s="520"/>
      <c r="K872" s="520"/>
      <c r="L872" s="520"/>
      <c r="M872" s="520"/>
      <c r="N872" s="520"/>
      <c r="O872" s="520"/>
      <c r="P872" s="520"/>
      <c r="Q872" s="520"/>
      <c r="R872" s="520"/>
      <c r="S872" s="520"/>
      <c r="T872" s="520"/>
      <c r="U872" s="520"/>
      <c r="V872" s="520"/>
      <c r="W872" s="520"/>
      <c r="X872" s="520"/>
      <c r="Y872" s="520"/>
      <c r="Z872" s="520"/>
      <c r="AA872" s="520"/>
      <c r="AB872" s="520"/>
      <c r="AC872" s="520"/>
      <c r="AD872" s="520"/>
      <c r="AE872" s="520"/>
      <c r="AF872" s="520"/>
      <c r="AG872" s="520"/>
      <c r="AH872" s="520"/>
      <c r="AI872" s="520"/>
      <c r="AJ872" s="520"/>
      <c r="AK872" s="520"/>
      <c r="AL872" s="520"/>
      <c r="AM872" s="520"/>
      <c r="AN872" s="520"/>
      <c r="AO872" s="520"/>
      <c r="AP872" s="520"/>
      <c r="AQ872" s="520"/>
      <c r="AR872" s="520"/>
      <c r="AS872" s="520"/>
      <c r="AT872" s="520"/>
      <c r="AU872" s="520"/>
      <c r="AV872" s="520"/>
      <c r="AW872" s="520"/>
      <c r="AX872" s="520"/>
      <c r="AY872" s="520"/>
      <c r="AZ872" s="520"/>
      <c r="BA872" s="520"/>
      <c r="BB872" s="520"/>
      <c r="BC872" s="520"/>
      <c r="BD872" s="520"/>
      <c r="BE872" s="520"/>
      <c r="BF872" s="520"/>
      <c r="BG872" s="520"/>
      <c r="BH872" s="520"/>
      <c r="BI872" s="527"/>
      <c r="BJ872" s="520"/>
      <c r="BK872" s="520"/>
      <c r="BL872" s="520"/>
      <c r="BM872" s="520"/>
      <c r="BN872" s="520"/>
      <c r="BO872" s="520"/>
      <c r="BP872" s="520"/>
      <c r="BQ872" s="520"/>
      <c r="BR872" s="520"/>
      <c r="BS872" s="520"/>
      <c r="BT872" s="520"/>
      <c r="BU872" s="520"/>
      <c r="BV872" s="528"/>
      <c r="BW872" s="131"/>
    </row>
    <row r="873" spans="1:75" ht="15.75" customHeight="1" x14ac:dyDescent="0.2">
      <c r="A873" s="108" t="s">
        <v>924</v>
      </c>
      <c r="B873" s="154"/>
      <c r="C873" s="529"/>
      <c r="D873" s="529"/>
      <c r="E873" s="529"/>
      <c r="F873" s="529"/>
      <c r="G873" s="529"/>
      <c r="H873" s="529"/>
      <c r="I873" s="529"/>
      <c r="J873" s="529"/>
      <c r="K873" s="529"/>
      <c r="L873" s="529"/>
      <c r="M873" s="529"/>
      <c r="N873" s="529"/>
      <c r="O873" s="529"/>
      <c r="P873" s="529"/>
      <c r="Q873" s="529"/>
      <c r="R873" s="529"/>
      <c r="S873" s="529"/>
      <c r="T873" s="529"/>
      <c r="U873" s="529"/>
      <c r="V873" s="529"/>
      <c r="W873" s="529"/>
      <c r="X873" s="529"/>
      <c r="Y873" s="529"/>
      <c r="Z873" s="529"/>
      <c r="AA873" s="529"/>
      <c r="AB873" s="529"/>
      <c r="AC873" s="529">
        <f t="shared" ref="AC873:AG873" si="1808">AC868</f>
        <v>43040</v>
      </c>
      <c r="AD873" s="529">
        <f t="shared" si="1808"/>
        <v>43165</v>
      </c>
      <c r="AE873" s="529">
        <f t="shared" si="1808"/>
        <v>43165</v>
      </c>
      <c r="AF873" s="529">
        <f t="shared" si="1808"/>
        <v>43231</v>
      </c>
      <c r="AG873" s="529">
        <f t="shared" si="1808"/>
        <v>43312</v>
      </c>
      <c r="AH873" s="529"/>
      <c r="AI873" s="529">
        <f t="shared" ref="AI873:AO873" si="1809">AI868</f>
        <v>43516</v>
      </c>
      <c r="AJ873" s="529">
        <f t="shared" si="1809"/>
        <v>43516</v>
      </c>
      <c r="AK873" s="529">
        <f t="shared" si="1809"/>
        <v>43586</v>
      </c>
      <c r="AL873" s="529">
        <f t="shared" si="1809"/>
        <v>43677</v>
      </c>
      <c r="AM873" s="529">
        <f t="shared" si="1809"/>
        <v>43768</v>
      </c>
      <c r="AN873" s="529">
        <f t="shared" si="1809"/>
        <v>43880</v>
      </c>
      <c r="AO873" s="529">
        <f t="shared" si="1809"/>
        <v>43880</v>
      </c>
      <c r="AP873" s="529"/>
      <c r="AQ873" s="529"/>
      <c r="AR873" s="529">
        <f t="shared" ref="AR873:AW873" si="1810">AR868</f>
        <v>44133</v>
      </c>
      <c r="AS873" s="529">
        <f t="shared" si="1810"/>
        <v>44251</v>
      </c>
      <c r="AT873" s="529">
        <f t="shared" si="1810"/>
        <v>44251</v>
      </c>
      <c r="AU873" s="529">
        <f t="shared" si="1810"/>
        <v>44319</v>
      </c>
      <c r="AV873" s="529">
        <f t="shared" si="1810"/>
        <v>44412</v>
      </c>
      <c r="AW873" s="529">
        <f t="shared" si="1810"/>
        <v>44505</v>
      </c>
      <c r="AX873" s="529"/>
      <c r="AY873" s="529"/>
      <c r="AZ873" s="529">
        <f t="shared" ref="AZ873:BI873" si="1811">AZ868</f>
        <v>44678</v>
      </c>
      <c r="BA873" s="529">
        <f t="shared" si="1811"/>
        <v>44769</v>
      </c>
      <c r="BB873" s="529">
        <f t="shared" si="1811"/>
        <v>44866</v>
      </c>
      <c r="BC873" s="529">
        <f t="shared" si="1811"/>
        <v>44979</v>
      </c>
      <c r="BD873" s="529">
        <f t="shared" si="1811"/>
        <v>44979</v>
      </c>
      <c r="BE873" s="529">
        <f t="shared" si="1811"/>
        <v>45056</v>
      </c>
      <c r="BF873" s="529">
        <f t="shared" si="1811"/>
        <v>45140</v>
      </c>
      <c r="BG873" s="529">
        <f t="shared" si="1811"/>
        <v>45231</v>
      </c>
      <c r="BH873" s="529">
        <f t="shared" si="1811"/>
        <v>45343</v>
      </c>
      <c r="BI873" s="538">
        <f t="shared" si="1811"/>
        <v>45343</v>
      </c>
      <c r="BJ873" s="529"/>
      <c r="BK873" s="529"/>
      <c r="BL873" s="529"/>
      <c r="BM873" s="529"/>
      <c r="BN873" s="529"/>
      <c r="BO873" s="529"/>
      <c r="BP873" s="529"/>
      <c r="BQ873" s="529"/>
      <c r="BR873" s="529"/>
      <c r="BS873" s="529"/>
      <c r="BT873" s="529"/>
      <c r="BU873" s="529"/>
      <c r="BV873" s="532"/>
      <c r="BW873" s="131"/>
    </row>
    <row r="874" spans="1:75" ht="15.75" customHeight="1" x14ac:dyDescent="0.2">
      <c r="A874" s="108" t="s">
        <v>927</v>
      </c>
      <c r="B874" s="154"/>
      <c r="C874" s="533"/>
      <c r="D874" s="533"/>
      <c r="E874" s="533"/>
      <c r="F874" s="533"/>
      <c r="G874" s="533"/>
      <c r="H874" s="533"/>
      <c r="I874" s="533"/>
      <c r="J874" s="533"/>
      <c r="K874" s="533"/>
      <c r="L874" s="533"/>
      <c r="M874" s="533"/>
      <c r="N874" s="533"/>
      <c r="O874" s="533"/>
      <c r="P874" s="533"/>
      <c r="Q874" s="533"/>
      <c r="R874" s="533"/>
      <c r="S874" s="533"/>
      <c r="T874" s="533"/>
      <c r="U874" s="533"/>
      <c r="V874" s="533"/>
      <c r="W874" s="533"/>
      <c r="X874" s="533"/>
      <c r="Y874" s="533"/>
      <c r="Z874" s="533"/>
      <c r="AA874" s="533"/>
      <c r="AB874" s="533"/>
      <c r="AC874" s="533" t="str">
        <f t="shared" ref="AC874:BI874" si="1812">IF(AC875=AD875,"",AC875)</f>
        <v>FY2017</v>
      </c>
      <c r="AD874" s="533" t="str">
        <f t="shared" si="1812"/>
        <v/>
      </c>
      <c r="AE874" s="533" t="str">
        <f t="shared" si="1812"/>
        <v/>
      </c>
      <c r="AF874" s="533" t="str">
        <f t="shared" si="1812"/>
        <v/>
      </c>
      <c r="AG874" s="533" t="str">
        <f t="shared" si="1812"/>
        <v/>
      </c>
      <c r="AH874" s="533" t="str">
        <f t="shared" si="1812"/>
        <v>FY2018</v>
      </c>
      <c r="AI874" s="533" t="str">
        <f t="shared" si="1812"/>
        <v/>
      </c>
      <c r="AJ874" s="533" t="str">
        <f t="shared" si="1812"/>
        <v/>
      </c>
      <c r="AK874" s="533" t="str">
        <f t="shared" si="1812"/>
        <v/>
      </c>
      <c r="AL874" s="533" t="str">
        <f t="shared" si="1812"/>
        <v/>
      </c>
      <c r="AM874" s="533" t="str">
        <f t="shared" si="1812"/>
        <v>FY2019</v>
      </c>
      <c r="AN874" s="533" t="str">
        <f t="shared" si="1812"/>
        <v/>
      </c>
      <c r="AO874" s="533" t="str">
        <f t="shared" si="1812"/>
        <v/>
      </c>
      <c r="AP874" s="533" t="str">
        <f t="shared" si="1812"/>
        <v/>
      </c>
      <c r="AQ874" s="533" t="str">
        <f t="shared" si="1812"/>
        <v/>
      </c>
      <c r="AR874" s="533" t="str">
        <f t="shared" si="1812"/>
        <v>FY2020</v>
      </c>
      <c r="AS874" s="533" t="str">
        <f t="shared" si="1812"/>
        <v/>
      </c>
      <c r="AT874" s="533" t="str">
        <f t="shared" si="1812"/>
        <v/>
      </c>
      <c r="AU874" s="533" t="str">
        <f t="shared" si="1812"/>
        <v/>
      </c>
      <c r="AV874" s="533" t="str">
        <f t="shared" si="1812"/>
        <v/>
      </c>
      <c r="AW874" s="533" t="str">
        <f t="shared" si="1812"/>
        <v>FY2021</v>
      </c>
      <c r="AX874" s="533" t="str">
        <f t="shared" si="1812"/>
        <v/>
      </c>
      <c r="AY874" s="533" t="str">
        <f t="shared" si="1812"/>
        <v/>
      </c>
      <c r="AZ874" s="533" t="str">
        <f t="shared" si="1812"/>
        <v/>
      </c>
      <c r="BA874" s="533" t="str">
        <f t="shared" si="1812"/>
        <v/>
      </c>
      <c r="BB874" s="533" t="str">
        <f t="shared" si="1812"/>
        <v>FY2022</v>
      </c>
      <c r="BC874" s="533" t="str">
        <f t="shared" si="1812"/>
        <v/>
      </c>
      <c r="BD874" s="533" t="str">
        <f t="shared" si="1812"/>
        <v/>
      </c>
      <c r="BE874" s="533" t="str">
        <f t="shared" si="1812"/>
        <v/>
      </c>
      <c r="BF874" s="533" t="str">
        <f t="shared" si="1812"/>
        <v/>
      </c>
      <c r="BG874" s="533" t="str">
        <f t="shared" si="1812"/>
        <v>FY2023</v>
      </c>
      <c r="BH874" s="533" t="str">
        <f t="shared" si="1812"/>
        <v/>
      </c>
      <c r="BI874" s="534" t="str">
        <f t="shared" si="1812"/>
        <v>FY2024</v>
      </c>
      <c r="BJ874" s="533"/>
      <c r="BK874" s="533"/>
      <c r="BL874" s="533"/>
      <c r="BM874" s="533"/>
      <c r="BN874" s="533"/>
      <c r="BO874" s="533"/>
      <c r="BP874" s="533"/>
      <c r="BQ874" s="533"/>
      <c r="BR874" s="533"/>
      <c r="BS874" s="533"/>
      <c r="BT874" s="533"/>
      <c r="BU874" s="533"/>
      <c r="BV874" s="535"/>
      <c r="BW874" s="131"/>
    </row>
    <row r="875" spans="1:75" ht="15.75" customHeight="1" x14ac:dyDescent="0.2">
      <c r="A875" s="108" t="s">
        <v>925</v>
      </c>
      <c r="B875" s="154"/>
      <c r="C875" s="533"/>
      <c r="D875" s="533"/>
      <c r="E875" s="533"/>
      <c r="F875" s="533"/>
      <c r="G875" s="533"/>
      <c r="H875" s="533"/>
      <c r="I875" s="533"/>
      <c r="J875" s="533"/>
      <c r="K875" s="533"/>
      <c r="L875" s="533"/>
      <c r="M875" s="533"/>
      <c r="N875" s="533"/>
      <c r="O875" s="533"/>
      <c r="P875" s="533"/>
      <c r="Q875" s="533"/>
      <c r="R875" s="533"/>
      <c r="S875" s="533"/>
      <c r="T875" s="533"/>
      <c r="U875" s="533"/>
      <c r="V875" s="533"/>
      <c r="W875" s="533"/>
      <c r="X875" s="533"/>
      <c r="Y875" s="533"/>
      <c r="Z875" s="533"/>
      <c r="AA875" s="533"/>
      <c r="AB875" s="533"/>
      <c r="AC875" s="533" t="str">
        <f>AE$5</f>
        <v>FY2017</v>
      </c>
      <c r="AD875" s="533" t="str">
        <f>AJ$5</f>
        <v>FY2018</v>
      </c>
      <c r="AE875" s="533" t="str">
        <f>AJ$5</f>
        <v>FY2018</v>
      </c>
      <c r="AF875" s="533" t="str">
        <f>AJ$5</f>
        <v>FY2018</v>
      </c>
      <c r="AG875" s="533" t="str">
        <f>AJ$5</f>
        <v>FY2018</v>
      </c>
      <c r="AH875" s="533" t="str">
        <f>AJ$5</f>
        <v>FY2018</v>
      </c>
      <c r="AI875" s="533" t="str">
        <f>AO$5</f>
        <v>FY2019</v>
      </c>
      <c r="AJ875" s="533" t="str">
        <f>AO$5</f>
        <v>FY2019</v>
      </c>
      <c r="AK875" s="533" t="str">
        <f>AO$5</f>
        <v>FY2019</v>
      </c>
      <c r="AL875" s="533" t="str">
        <f>AO$5</f>
        <v>FY2019</v>
      </c>
      <c r="AM875" s="533" t="str">
        <f>AO$5</f>
        <v>FY2019</v>
      </c>
      <c r="AN875" s="533" t="str">
        <f>AT$5</f>
        <v>FY2020</v>
      </c>
      <c r="AO875" s="533" t="str">
        <f>AT$5</f>
        <v>FY2020</v>
      </c>
      <c r="AP875" s="533" t="str">
        <f>AT$5</f>
        <v>FY2020</v>
      </c>
      <c r="AQ875" s="533" t="str">
        <f>AT$5</f>
        <v>FY2020</v>
      </c>
      <c r="AR875" s="533" t="str">
        <f>AT$5</f>
        <v>FY2020</v>
      </c>
      <c r="AS875" s="533" t="str">
        <f>AY$5</f>
        <v>FY2021</v>
      </c>
      <c r="AT875" s="533" t="str">
        <f>AY$5</f>
        <v>FY2021</v>
      </c>
      <c r="AU875" s="533" t="str">
        <f>AY$5</f>
        <v>FY2021</v>
      </c>
      <c r="AV875" s="533" t="str">
        <f>AY$5</f>
        <v>FY2021</v>
      </c>
      <c r="AW875" s="533" t="str">
        <f>AY$5</f>
        <v>FY2021</v>
      </c>
      <c r="AX875" s="533" t="str">
        <f>BD$5</f>
        <v>FY2022</v>
      </c>
      <c r="AY875" s="533" t="str">
        <f>BD$5</f>
        <v>FY2022</v>
      </c>
      <c r="AZ875" s="533" t="str">
        <f>BD$5</f>
        <v>FY2022</v>
      </c>
      <c r="BA875" s="533" t="str">
        <f>BD$5</f>
        <v>FY2022</v>
      </c>
      <c r="BB875" s="533" t="str">
        <f>BD$5</f>
        <v>FY2022</v>
      </c>
      <c r="BC875" s="533" t="str">
        <f>BI$5</f>
        <v>FY2023</v>
      </c>
      <c r="BD875" s="533" t="str">
        <f>BI$5</f>
        <v>FY2023</v>
      </c>
      <c r="BE875" s="533" t="str">
        <f>BI$5</f>
        <v>FY2023</v>
      </c>
      <c r="BF875" s="533" t="str">
        <f>BI$5</f>
        <v>FY2023</v>
      </c>
      <c r="BG875" s="533" t="str">
        <f>BI$5</f>
        <v>FY2023</v>
      </c>
      <c r="BH875" s="533" t="str">
        <f>BN$5</f>
        <v>FY2024</v>
      </c>
      <c r="BI875" s="534" t="str">
        <f>BN$5</f>
        <v>FY2024</v>
      </c>
      <c r="BJ875" s="533"/>
      <c r="BK875" s="533"/>
      <c r="BL875" s="533"/>
      <c r="BM875" s="533"/>
      <c r="BN875" s="533"/>
      <c r="BO875" s="533"/>
      <c r="BP875" s="533"/>
      <c r="BQ875" s="533"/>
      <c r="BR875" s="533"/>
      <c r="BS875" s="533"/>
      <c r="BT875" s="533"/>
      <c r="BU875" s="533"/>
      <c r="BV875" s="535"/>
      <c r="BW875" s="131"/>
    </row>
    <row r="876" spans="1:75" ht="15.75" customHeight="1" x14ac:dyDescent="0.2">
      <c r="A876" s="536"/>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526"/>
      <c r="BJ876" s="174"/>
      <c r="BK876" s="174"/>
      <c r="BL876" s="174"/>
      <c r="BM876" s="174"/>
      <c r="BN876" s="174"/>
      <c r="BO876" s="174"/>
      <c r="BP876" s="174"/>
      <c r="BQ876" s="174"/>
      <c r="BR876" s="174"/>
      <c r="BS876" s="174"/>
      <c r="BT876" s="174"/>
      <c r="BU876" s="174"/>
      <c r="BV876" s="537"/>
      <c r="BW876" s="131"/>
    </row>
    <row r="877" spans="1:75" ht="15.75" customHeight="1" x14ac:dyDescent="0.2">
      <c r="A877" s="92"/>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526"/>
      <c r="BJ877" s="174"/>
      <c r="BK877" s="174"/>
      <c r="BL877" s="174"/>
      <c r="BM877" s="174"/>
      <c r="BN877" s="174"/>
      <c r="BO877" s="174"/>
      <c r="BP877" s="174"/>
      <c r="BQ877" s="174"/>
      <c r="BR877" s="174"/>
      <c r="BS877" s="174"/>
      <c r="BT877" s="174"/>
      <c r="BU877" s="174"/>
      <c r="BV877" s="174"/>
      <c r="BW877" s="131"/>
    </row>
    <row r="878" spans="1:75" ht="15.75" customHeight="1" x14ac:dyDescent="0.2">
      <c r="A878" s="512" t="s">
        <v>928</v>
      </c>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c r="AZ878" s="106"/>
      <c r="BA878" s="106"/>
      <c r="BB878" s="106"/>
      <c r="BC878" s="106"/>
      <c r="BD878" s="106"/>
      <c r="BE878" s="106"/>
      <c r="BF878" s="106"/>
      <c r="BG878" s="106"/>
      <c r="BH878" s="106"/>
      <c r="BI878" s="539"/>
      <c r="BJ878" s="106" t="str">
        <f t="shared" ref="BJ878:BV878" si="1813">BJ5</f>
        <v>Q1-2024</v>
      </c>
      <c r="BK878" s="106" t="str">
        <f t="shared" si="1813"/>
        <v>Q2-2024</v>
      </c>
      <c r="BL878" s="106" t="str">
        <f t="shared" si="1813"/>
        <v>Q3-2024</v>
      </c>
      <c r="BM878" s="106" t="str">
        <f t="shared" si="1813"/>
        <v>Q4-2024</v>
      </c>
      <c r="BN878" s="106" t="str">
        <f t="shared" si="1813"/>
        <v>FY2024</v>
      </c>
      <c r="BO878" s="106" t="str">
        <f t="shared" si="1813"/>
        <v>Q1-2025</v>
      </c>
      <c r="BP878" s="106" t="str">
        <f t="shared" si="1813"/>
        <v>Q2-2025</v>
      </c>
      <c r="BQ878" s="106" t="str">
        <f t="shared" si="1813"/>
        <v>Q3-2025</v>
      </c>
      <c r="BR878" s="106" t="str">
        <f t="shared" si="1813"/>
        <v>Q4-2025</v>
      </c>
      <c r="BS878" s="106" t="str">
        <f t="shared" si="1813"/>
        <v>FY2025</v>
      </c>
      <c r="BT878" s="106" t="str">
        <f t="shared" si="1813"/>
        <v>FY2026</v>
      </c>
      <c r="BU878" s="106" t="str">
        <f t="shared" si="1813"/>
        <v>FY2027</v>
      </c>
      <c r="BV878" s="540" t="str">
        <f t="shared" si="1813"/>
        <v>FY2028</v>
      </c>
      <c r="BW878" s="541"/>
    </row>
    <row r="879" spans="1:75" ht="15.75" customHeight="1" x14ac:dyDescent="0.2">
      <c r="A879" s="542" t="s">
        <v>929</v>
      </c>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c r="AI879" s="110"/>
      <c r="AJ879" s="110"/>
      <c r="AK879" s="110"/>
      <c r="AL879" s="110"/>
      <c r="AM879" s="110"/>
      <c r="AN879" s="110"/>
      <c r="AO879" s="110"/>
      <c r="AP879" s="110"/>
      <c r="AQ879" s="110"/>
      <c r="AR879" s="110"/>
      <c r="AS879" s="110"/>
      <c r="AT879" s="110"/>
      <c r="AU879" s="110"/>
      <c r="AV879" s="110"/>
      <c r="AW879" s="110"/>
      <c r="AX879" s="110"/>
      <c r="AY879" s="110"/>
      <c r="AZ879" s="110"/>
      <c r="BA879" s="110"/>
      <c r="BB879" s="110"/>
      <c r="BC879" s="110"/>
      <c r="BD879" s="110"/>
      <c r="BE879" s="110"/>
      <c r="BF879" s="110"/>
      <c r="BG879" s="110"/>
      <c r="BH879" s="110"/>
      <c r="BI879" s="543"/>
      <c r="BJ879" s="110" t="str">
        <f t="shared" ref="BJ879:BV879" ca="1" si="1814">IF(MO.DataSourceIndex=3,IF(LEFT(INDIRECT(ADDRESS(ROW()-1,COLUMN())),2)="FY","ANNUAL",IF(LEFT(INDIRECT(ADDRESS(ROW()-1,COLUMN())),1)="Q","QUARTERLY","")),IF(LEFT(INDIRECT(ADDRESS(ROW()-1,COLUMN())),2)="FY","FY",IF(LEFT(INDIRECT(ADDRESS(ROW()-1,COLUMN())),1)="Q","FQ","FH")))</f>
        <v>FQ</v>
      </c>
      <c r="BK879" s="110" t="str">
        <f t="shared" ca="1" si="1814"/>
        <v>FQ</v>
      </c>
      <c r="BL879" s="110" t="str">
        <f t="shared" ca="1" si="1814"/>
        <v>FQ</v>
      </c>
      <c r="BM879" s="110" t="str">
        <f t="shared" ca="1" si="1814"/>
        <v>FQ</v>
      </c>
      <c r="BN879" s="110" t="str">
        <f t="shared" ca="1" si="1814"/>
        <v>FY</v>
      </c>
      <c r="BO879" s="110" t="str">
        <f t="shared" ca="1" si="1814"/>
        <v>FQ</v>
      </c>
      <c r="BP879" s="110" t="str">
        <f t="shared" ca="1" si="1814"/>
        <v>FQ</v>
      </c>
      <c r="BQ879" s="110" t="str">
        <f t="shared" ca="1" si="1814"/>
        <v>FQ</v>
      </c>
      <c r="BR879" s="110" t="str">
        <f t="shared" ca="1" si="1814"/>
        <v>FQ</v>
      </c>
      <c r="BS879" s="110" t="str">
        <f t="shared" ca="1" si="1814"/>
        <v>FY</v>
      </c>
      <c r="BT879" s="110" t="str">
        <f t="shared" ca="1" si="1814"/>
        <v>FY</v>
      </c>
      <c r="BU879" s="110" t="str">
        <f t="shared" ca="1" si="1814"/>
        <v>FY</v>
      </c>
      <c r="BV879" s="544" t="str">
        <f t="shared" ca="1" si="1814"/>
        <v>FY</v>
      </c>
      <c r="BW879" s="541"/>
    </row>
    <row r="880" spans="1:75" ht="15.75" customHeight="1" x14ac:dyDescent="0.2">
      <c r="A880" s="542" t="s">
        <v>930</v>
      </c>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c r="AI880" s="110"/>
      <c r="AJ880" s="110"/>
      <c r="AK880" s="110"/>
      <c r="AL880" s="110"/>
      <c r="AM880" s="110"/>
      <c r="AN880" s="110"/>
      <c r="AO880" s="110"/>
      <c r="AP880" s="110"/>
      <c r="AQ880" s="110"/>
      <c r="AR880" s="110"/>
      <c r="AS880" s="110"/>
      <c r="AT880" s="110"/>
      <c r="AU880" s="110"/>
      <c r="AV880" s="110"/>
      <c r="AW880" s="110"/>
      <c r="AX880" s="110"/>
      <c r="AY880" s="110"/>
      <c r="AZ880" s="110"/>
      <c r="BA880" s="110"/>
      <c r="BB880" s="110"/>
      <c r="BC880" s="110"/>
      <c r="BD880" s="110"/>
      <c r="BE880" s="110"/>
      <c r="BF880" s="110"/>
      <c r="BG880" s="110"/>
      <c r="BH880" s="110"/>
      <c r="BI880" s="543"/>
      <c r="BJ880" s="110">
        <f t="array" aca="1" ref="BJ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1</v>
      </c>
      <c r="BK880" s="110">
        <f t="array" aca="1" ref="BK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2</v>
      </c>
      <c r="BL880" s="110">
        <f t="array" aca="1" ref="BL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3</v>
      </c>
      <c r="BM880" s="110">
        <f t="array" aca="1" ref="BM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4</v>
      </c>
      <c r="BN880" s="110">
        <f t="array" aca="1" ref="BN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1</v>
      </c>
      <c r="BO880" s="110">
        <f t="array" aca="1" ref="BO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5</v>
      </c>
      <c r="BP880" s="110">
        <f t="array" aca="1" ref="BP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6</v>
      </c>
      <c r="BQ880" s="110">
        <f t="array" aca="1" ref="BQ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7</v>
      </c>
      <c r="BR880" s="110">
        <f t="array" aca="1" ref="BR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8</v>
      </c>
      <c r="BS880" s="110">
        <f t="array" aca="1" ref="BS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2</v>
      </c>
      <c r="BT880" s="110">
        <f t="array" aca="1" ref="BT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3</v>
      </c>
      <c r="BU880" s="110">
        <f t="array" aca="1" ref="BU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4</v>
      </c>
      <c r="BV880" s="544">
        <f t="array" aca="1" ref="BV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5</v>
      </c>
      <c r="BW880" s="541"/>
    </row>
    <row r="881" spans="1:75" ht="15.75" customHeight="1" x14ac:dyDescent="0.2">
      <c r="A881" s="516" t="str">
        <f>$A$383</f>
        <v>Consensus Estimates - Total Revenue</v>
      </c>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3"/>
      <c r="BJ881" s="2" t="str">
        <f t="array" aca="1" ref="BJ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K881" s="2" t="str">
        <f t="array" aca="1" ref="BK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L881" s="2" t="str">
        <f t="array" aca="1" ref="BL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M881" s="2" t="str">
        <f t="array" aca="1" ref="BM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N881" s="2" t="str">
        <f t="array" aca="1" ref="BN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O881" s="2" t="str">
        <f t="array" aca="1" ref="BO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P881" s="2" t="str">
        <f t="array" aca="1" ref="BP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Q881" s="2" t="str">
        <f t="array" aca="1" ref="BQ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R881" s="2" t="str">
        <f t="array" aca="1" ref="BR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S881" s="2" t="str">
        <f t="array" aca="1" ref="BS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T881" s="2" t="str">
        <f t="array" aca="1" ref="BT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U881" s="2" t="str">
        <f t="array" aca="1" ref="BU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V881" s="545" t="str">
        <f t="array" aca="1" ref="BV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W881" s="546"/>
    </row>
    <row r="882" spans="1:75" ht="15.75" customHeight="1" x14ac:dyDescent="0.2">
      <c r="A882" s="516" t="str">
        <f>$A$396</f>
        <v xml:space="preserve">Consensus Estimates - Adjusted EBITDA </v>
      </c>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3"/>
      <c r="BJ882" s="2" t="str">
        <f t="array" aca="1" ref="BJ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K882" s="2" t="str">
        <f t="array" aca="1" ref="BK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L882" s="2" t="str">
        <f t="array" aca="1" ref="BL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M882" s="2" t="str">
        <f t="array" aca="1" ref="BM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N882" s="2" t="str">
        <f t="array" aca="1" ref="BN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O882" s="2" t="str">
        <f t="array" aca="1" ref="BO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P882" s="2" t="str">
        <f t="array" aca="1" ref="BP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Q882" s="2" t="str">
        <f t="array" aca="1" ref="BQ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R882" s="2" t="str">
        <f t="array" aca="1" ref="BR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S882" s="2" t="str">
        <f t="array" aca="1" ref="BS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T882" s="2" t="str">
        <f t="array" aca="1" ref="BT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U882" s="2" t="str">
        <f t="array" aca="1" ref="BU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V882" s="545" t="str">
        <f t="array" aca="1" ref="BV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W882" s="546"/>
    </row>
    <row r="883" spans="1:75" ht="15.75" customHeight="1" x14ac:dyDescent="0.2">
      <c r="A883" s="516" t="str">
        <f>$A$390</f>
        <v>Consensus Estimates - Adjusted EBIT</v>
      </c>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3"/>
      <c r="BJ883" s="2" t="str">
        <f t="array" aca="1" ref="BJ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K883" s="2" t="str">
        <f t="array" aca="1" ref="BK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L883" s="2" t="str">
        <f t="array" aca="1" ref="BL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M883" s="2" t="str">
        <f t="array" aca="1" ref="BM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N883" s="2" t="str">
        <f t="array" aca="1" ref="BN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O883" s="2" t="str">
        <f t="array" aca="1" ref="BO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P883" s="2" t="str">
        <f t="array" aca="1" ref="BP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Q883" s="2" t="str">
        <f t="array" aca="1" ref="BQ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R883" s="2" t="str">
        <f t="array" aca="1" ref="BR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S883" s="2" t="str">
        <f t="array" aca="1" ref="BS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T883" s="2" t="str">
        <f t="array" aca="1" ref="BT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U883" s="2" t="str">
        <f t="array" aca="1" ref="BU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V883" s="545" t="str">
        <f t="array" aca="1" ref="BV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W883" s="546"/>
    </row>
    <row r="884" spans="1:75" ht="15.75" customHeight="1" x14ac:dyDescent="0.2">
      <c r="A884" s="516" t="str">
        <f>$A$422</f>
        <v>Consensus Estimates - Adjusted Earnings Per Share - WAD</v>
      </c>
      <c r="B884" s="2"/>
      <c r="C884" s="547"/>
      <c r="D884" s="547"/>
      <c r="E884" s="547"/>
      <c r="F884" s="547"/>
      <c r="G884" s="547"/>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3"/>
      <c r="BJ884" s="2" t="str">
        <f t="array" aca="1" ref="BJ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K884" s="2" t="str">
        <f t="array" aca="1" ref="BK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L884" s="2" t="str">
        <f t="array" aca="1" ref="BL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M884" s="2" t="str">
        <f t="array" aca="1" ref="BM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N884" s="2" t="str">
        <f t="array" aca="1" ref="BN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O884" s="2" t="str">
        <f t="array" aca="1" ref="BO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P884" s="2" t="str">
        <f t="array" aca="1" ref="BP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Q884" s="2" t="str">
        <f t="array" aca="1" ref="BQ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R884" s="2" t="str">
        <f t="array" aca="1" ref="BR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S884" s="2" t="str">
        <f t="array" aca="1" ref="BS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T884" s="2" t="str">
        <f t="array" aca="1" ref="BT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U884" s="2" t="str">
        <f t="array" aca="1" ref="BU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V884" s="545" t="str">
        <f t="array" aca="1" ref="BV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W884" s="546"/>
    </row>
    <row r="885" spans="1:75" ht="15.75" customHeight="1" x14ac:dyDescent="0.2">
      <c r="A885" s="516" t="str">
        <f>$A$498</f>
        <v>Consensus Estimates - Cash Flow Per Diluted Share</v>
      </c>
      <c r="B885" s="2"/>
      <c r="C885" s="547"/>
      <c r="D885" s="547"/>
      <c r="E885" s="547"/>
      <c r="F885" s="547"/>
      <c r="G885" s="547"/>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3"/>
      <c r="BJ885" s="2" t="str">
        <f t="array" aca="1" ref="BJ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K885" s="2" t="str">
        <f t="array" aca="1" ref="BK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L885" s="2" t="str">
        <f t="array" aca="1" ref="BL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M885" s="2" t="str">
        <f t="array" aca="1" ref="BM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N885" s="2" t="str">
        <f t="array" aca="1" ref="BN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O885" s="2" t="str">
        <f t="array" aca="1" ref="BO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P885" s="2" t="str">
        <f t="array" aca="1" ref="BP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Q885" s="2" t="str">
        <f t="array" aca="1" ref="BQ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R885" s="2" t="str">
        <f t="array" aca="1" ref="BR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S885" s="2" t="str">
        <f t="array" aca="1" ref="BS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T885" s="2" t="str">
        <f t="array" aca="1" ref="BT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U885" s="2" t="str">
        <f t="array" aca="1" ref="BU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V885" s="545" t="str">
        <f t="array" aca="1" ref="BV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W885" s="546"/>
    </row>
    <row r="886" spans="1:75" ht="15.75" customHeight="1" x14ac:dyDescent="0.2">
      <c r="A886" s="516" t="str">
        <f>A500</f>
        <v>Consensus Estimates - Capex</v>
      </c>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3"/>
      <c r="BJ886" s="2" t="str">
        <f t="array" aca="1" ref="BJ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K886" s="2" t="str">
        <f t="array" aca="1" ref="BK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L886" s="2" t="str">
        <f t="array" aca="1" ref="BL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M886" s="2" t="str">
        <f t="array" aca="1" ref="BM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N886" s="2" t="str">
        <f t="array" aca="1" ref="BN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O886" s="2" t="str">
        <f t="array" aca="1" ref="BO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P886" s="2" t="str">
        <f t="array" aca="1" ref="BP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Q886" s="2" t="str">
        <f t="array" aca="1" ref="BQ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R886" s="2" t="str">
        <f t="array" aca="1" ref="BR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S886" s="2" t="str">
        <f t="array" aca="1" ref="BS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T886" s="2" t="str">
        <f t="array" aca="1" ref="BT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U886" s="2" t="str">
        <f t="array" aca="1" ref="BU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V886" s="545" t="str">
        <f t="array" aca="1" ref="BV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W886" s="546"/>
    </row>
    <row r="887" spans="1:75" ht="15.75" customHeight="1" x14ac:dyDescent="0.2">
      <c r="A887" s="548"/>
      <c r="B887" s="549"/>
      <c r="C887" s="549"/>
      <c r="D887" s="549"/>
      <c r="E887" s="549"/>
      <c r="F887" s="549"/>
      <c r="G887" s="549"/>
      <c r="H887" s="549"/>
      <c r="I887" s="549"/>
      <c r="J887" s="549"/>
      <c r="K887" s="549"/>
      <c r="L887" s="549"/>
      <c r="M887" s="549"/>
      <c r="N887" s="549"/>
      <c r="O887" s="549"/>
      <c r="P887" s="549"/>
      <c r="Q887" s="549"/>
      <c r="R887" s="549"/>
      <c r="S887" s="549"/>
      <c r="T887" s="549"/>
      <c r="U887" s="549"/>
      <c r="V887" s="549"/>
      <c r="W887" s="549"/>
      <c r="X887" s="549"/>
      <c r="Y887" s="549"/>
      <c r="Z887" s="549"/>
      <c r="AA887" s="549"/>
      <c r="AB887" s="549"/>
      <c r="AC887" s="549"/>
      <c r="AD887" s="549"/>
      <c r="AE887" s="549"/>
      <c r="AF887" s="549"/>
      <c r="AG887" s="549"/>
      <c r="AH887" s="549"/>
      <c r="AI887" s="549"/>
      <c r="AJ887" s="549"/>
      <c r="AK887" s="549"/>
      <c r="AL887" s="549"/>
      <c r="AM887" s="549"/>
      <c r="AN887" s="549"/>
      <c r="AO887" s="549"/>
      <c r="AP887" s="549"/>
      <c r="AQ887" s="549"/>
      <c r="AR887" s="549"/>
      <c r="AS887" s="549"/>
      <c r="AT887" s="549"/>
      <c r="AU887" s="549"/>
      <c r="AV887" s="549"/>
      <c r="AW887" s="549"/>
      <c r="AX887" s="549"/>
      <c r="AY887" s="549"/>
      <c r="AZ887" s="549"/>
      <c r="BA887" s="549"/>
      <c r="BB887" s="549"/>
      <c r="BC887" s="549"/>
      <c r="BD887" s="549"/>
      <c r="BE887" s="549"/>
      <c r="BF887" s="549"/>
      <c r="BG887" s="549"/>
      <c r="BH887" s="549"/>
      <c r="BI887" s="550"/>
      <c r="BJ887" s="549"/>
      <c r="BK887" s="549"/>
      <c r="BL887" s="549"/>
      <c r="BM887" s="549"/>
      <c r="BN887" s="549"/>
      <c r="BO887" s="549"/>
      <c r="BP887" s="549"/>
      <c r="BQ887" s="549"/>
      <c r="BR887" s="549"/>
      <c r="BS887" s="549"/>
      <c r="BT887" s="549"/>
      <c r="BU887" s="549"/>
      <c r="BV887" s="551"/>
      <c r="BW887" s="552"/>
    </row>
    <row r="888" spans="1:75" ht="15.75" customHeight="1" x14ac:dyDescent="0.2">
      <c r="A888" s="553"/>
      <c r="B888" s="553"/>
      <c r="C888" s="553"/>
      <c r="D888" s="553"/>
      <c r="E888" s="553"/>
      <c r="F888" s="553"/>
      <c r="G888" s="553"/>
      <c r="H888" s="553"/>
      <c r="I888" s="553"/>
      <c r="J888" s="553"/>
      <c r="K888" s="553"/>
      <c r="L888" s="553"/>
      <c r="M888" s="553"/>
      <c r="N888" s="553"/>
      <c r="O888" s="553"/>
      <c r="P888" s="553"/>
      <c r="Q888" s="553"/>
      <c r="R888" s="553"/>
      <c r="S888" s="553"/>
      <c r="T888" s="553"/>
      <c r="U888" s="553"/>
      <c r="V888" s="553"/>
      <c r="W888" s="553"/>
      <c r="X888" s="553"/>
      <c r="Y888" s="553"/>
      <c r="Z888" s="553"/>
      <c r="AA888" s="553"/>
      <c r="AB888" s="553"/>
      <c r="AC888" s="553"/>
      <c r="AD888" s="553"/>
      <c r="AE888" s="553"/>
      <c r="AF888" s="553"/>
      <c r="AG888" s="553"/>
      <c r="AH888" s="553"/>
      <c r="AI888" s="553"/>
      <c r="AJ888" s="553"/>
      <c r="AK888" s="553"/>
      <c r="AL888" s="553"/>
      <c r="AM888" s="553"/>
      <c r="AN888" s="553"/>
      <c r="AO888" s="553"/>
      <c r="AP888" s="553"/>
      <c r="AQ888" s="553"/>
      <c r="AR888" s="553"/>
      <c r="AS888" s="553"/>
      <c r="AT888" s="553"/>
      <c r="AU888" s="553"/>
      <c r="AV888" s="553"/>
      <c r="AW888" s="553"/>
      <c r="AX888" s="553"/>
      <c r="AY888" s="553"/>
      <c r="AZ888" s="553"/>
      <c r="BA888" s="553"/>
      <c r="BB888" s="553"/>
      <c r="BC888" s="553"/>
      <c r="BD888" s="553"/>
      <c r="BE888" s="553"/>
      <c r="BF888" s="553"/>
      <c r="BG888" s="553"/>
      <c r="BH888" s="553"/>
      <c r="BI888" s="554"/>
      <c r="BJ888" s="553"/>
      <c r="BK888" s="553"/>
      <c r="BL888" s="553"/>
      <c r="BM888" s="553"/>
      <c r="BN888" s="553"/>
      <c r="BO888" s="553"/>
      <c r="BP888" s="553"/>
      <c r="BQ888" s="553"/>
      <c r="BR888" s="553"/>
      <c r="BS888" s="553"/>
      <c r="BT888" s="553"/>
      <c r="BU888" s="553"/>
      <c r="BV888" s="553"/>
      <c r="BW888" s="29"/>
    </row>
    <row r="889" spans="1:75" ht="15.75" customHeight="1" x14ac:dyDescent="0.2">
      <c r="A889" s="555" t="s">
        <v>931</v>
      </c>
      <c r="B889" s="556"/>
      <c r="C889" s="556"/>
      <c r="D889" s="556"/>
      <c r="E889" s="556"/>
      <c r="F889" s="556"/>
      <c r="G889" s="556"/>
      <c r="H889" s="556"/>
      <c r="I889" s="556"/>
      <c r="J889" s="556"/>
      <c r="K889" s="556"/>
      <c r="L889" s="556"/>
      <c r="M889" s="556"/>
      <c r="N889" s="556"/>
      <c r="O889" s="556"/>
      <c r="P889" s="556"/>
      <c r="Q889" s="556"/>
      <c r="R889" s="556"/>
      <c r="S889" s="556"/>
      <c r="T889" s="556"/>
      <c r="U889" s="556"/>
      <c r="V889" s="556"/>
      <c r="W889" s="556"/>
      <c r="X889" s="556"/>
      <c r="Y889" s="556"/>
      <c r="Z889" s="556"/>
      <c r="AA889" s="556"/>
      <c r="AB889" s="556"/>
      <c r="AC889" s="556"/>
      <c r="AD889" s="556"/>
      <c r="AE889" s="556"/>
      <c r="AF889" s="556"/>
      <c r="AG889" s="556"/>
      <c r="AH889" s="556"/>
      <c r="AI889" s="556"/>
      <c r="AJ889" s="556"/>
      <c r="AK889" s="556"/>
      <c r="AL889" s="556"/>
      <c r="AM889" s="556"/>
      <c r="AN889" s="556"/>
      <c r="AO889" s="556"/>
      <c r="AP889" s="556"/>
      <c r="AQ889" s="556"/>
      <c r="AR889" s="556"/>
      <c r="AS889" s="556"/>
      <c r="AT889" s="556"/>
      <c r="AU889" s="556"/>
      <c r="AV889" s="556"/>
      <c r="AW889" s="556"/>
      <c r="AX889" s="556"/>
      <c r="AY889" s="556"/>
      <c r="AZ889" s="556"/>
      <c r="BA889" s="556"/>
      <c r="BB889" s="556"/>
      <c r="BC889" s="556"/>
      <c r="BD889" s="556"/>
      <c r="BE889" s="556"/>
      <c r="BF889" s="556"/>
      <c r="BG889" s="556"/>
      <c r="BH889" s="556"/>
      <c r="BI889" s="557"/>
      <c r="BJ889" s="556"/>
      <c r="BK889" s="556"/>
      <c r="BL889" s="556"/>
      <c r="BM889" s="556"/>
      <c r="BN889" s="556"/>
      <c r="BO889" s="556"/>
      <c r="BP889" s="556"/>
      <c r="BQ889" s="556"/>
      <c r="BR889" s="556"/>
      <c r="BS889" s="556"/>
      <c r="BT889" s="556"/>
      <c r="BU889" s="556"/>
      <c r="BV889" s="558"/>
      <c r="BW889" s="552"/>
    </row>
    <row r="890" spans="1:75" ht="15.75" customHeight="1" x14ac:dyDescent="0.2">
      <c r="A890" s="559" t="s">
        <v>932</v>
      </c>
      <c r="B890" s="9"/>
      <c r="C890" s="560">
        <f t="array" ref="C890">INDEX(MO_Common_QEndDate,0,COLUMN())-INDEX(MO_Common_FPDays,0,COLUMN())+1</f>
        <v>39813</v>
      </c>
      <c r="D890" s="560">
        <f t="array" ref="D890">INDEX(MO_Common_QEndDate,0,COLUMN())-INDEX(MO_Common_FPDays,0,COLUMN())+1</f>
        <v>40177</v>
      </c>
      <c r="E890" s="560">
        <f t="array" ref="E890">INDEX(MO_Common_QEndDate,0,COLUMN())-INDEX(MO_Common_FPDays,0,COLUMN())+1</f>
        <v>40541</v>
      </c>
      <c r="F890" s="560">
        <f t="array" ref="F890">INDEX(MO_Common_QEndDate,0,COLUMN())-INDEX(MO_Common_FPDays,0,COLUMN())+1</f>
        <v>40912</v>
      </c>
      <c r="G890" s="560">
        <f t="array" ref="G890">INDEX(MO_Common_QEndDate,0,COLUMN())-INDEX(MO_Common_FPDays,0,COLUMN())+1</f>
        <v>41276</v>
      </c>
      <c r="H890" s="560">
        <f t="array" ref="H890">INDEX(MO_Common_QEndDate,0,COLUMN())-INDEX(MO_Common_FPDays,0,COLUMN())+1</f>
        <v>41367</v>
      </c>
      <c r="I890" s="560">
        <f t="array" ref="I890">INDEX(MO_Common_QEndDate,0,COLUMN())-INDEX(MO_Common_FPDays,0,COLUMN())+1</f>
        <v>41458</v>
      </c>
      <c r="J890" s="560">
        <f t="array" ref="J890">INDEX(MO_Common_QEndDate,0,COLUMN())-INDEX(MO_Common_FPDays,0,COLUMN())+1</f>
        <v>41549</v>
      </c>
      <c r="K890" s="560">
        <f t="array" ref="K890">INDEX(MO_Common_QEndDate,0,COLUMN())-INDEX(MO_Common_FPDays,0,COLUMN())+1</f>
        <v>41276</v>
      </c>
      <c r="L890" s="560">
        <f t="array" ref="L890">INDEX(MO_Common_QEndDate,0,COLUMN())-INDEX(MO_Common_FPDays,0,COLUMN())+1</f>
        <v>41640</v>
      </c>
      <c r="M890" s="560">
        <f t="array" ref="M890">INDEX(MO_Common_QEndDate,0,COLUMN())-INDEX(MO_Common_FPDays,0,COLUMN())+1</f>
        <v>41731</v>
      </c>
      <c r="N890" s="560">
        <f t="array" ref="N890">INDEX(MO_Common_QEndDate,0,COLUMN())-INDEX(MO_Common_FPDays,0,COLUMN())+1</f>
        <v>41822</v>
      </c>
      <c r="O890" s="560">
        <f t="array" ref="O890">INDEX(MO_Common_QEndDate,0,COLUMN())-INDEX(MO_Common_FPDays,0,COLUMN())+1</f>
        <v>41913</v>
      </c>
      <c r="P890" s="560">
        <f t="array" ref="P890">INDEX(MO_Common_QEndDate,0,COLUMN())-INDEX(MO_Common_FPDays,0,COLUMN())+1</f>
        <v>41640</v>
      </c>
      <c r="Q890" s="560">
        <f t="array" ref="Q890">INDEX(MO_Common_QEndDate,0,COLUMN())-INDEX(MO_Common_FPDays,0,COLUMN())+1</f>
        <v>42004</v>
      </c>
      <c r="R890" s="560">
        <f t="array" ref="R890">INDEX(MO_Common_QEndDate,0,COLUMN())-INDEX(MO_Common_FPDays,0,COLUMN())+1</f>
        <v>42095</v>
      </c>
      <c r="S890" s="560">
        <f t="array" ref="S890">INDEX(MO_Common_QEndDate,0,COLUMN())-INDEX(MO_Common_FPDays,0,COLUMN())+1</f>
        <v>42186</v>
      </c>
      <c r="T890" s="560">
        <f t="array" ref="T890">INDEX(MO_Common_QEndDate,0,COLUMN())-INDEX(MO_Common_FPDays,0,COLUMN())+1</f>
        <v>42277</v>
      </c>
      <c r="U890" s="560">
        <f t="array" ref="U890">INDEX(MO_Common_QEndDate,0,COLUMN())-INDEX(MO_Common_FPDays,0,COLUMN())+1</f>
        <v>42004</v>
      </c>
      <c r="V890" s="560">
        <f t="array" ref="V890">INDEX(MO_Common_QEndDate,0,COLUMN())-INDEX(MO_Common_FPDays,0,COLUMN())+1</f>
        <v>42368</v>
      </c>
      <c r="W890" s="560">
        <f t="array" ref="W890">INDEX(MO_Common_QEndDate,0,COLUMN())-INDEX(MO_Common_FPDays,0,COLUMN())+1</f>
        <v>42459</v>
      </c>
      <c r="X890" s="560">
        <f t="array" ref="X890">INDEX(MO_Common_QEndDate,0,COLUMN())-INDEX(MO_Common_FPDays,0,COLUMN())+1</f>
        <v>42550</v>
      </c>
      <c r="Y890" s="560">
        <f t="array" ref="Y890">INDEX(MO_Common_QEndDate,0,COLUMN())-INDEX(MO_Common_FPDays,0,COLUMN())+1</f>
        <v>42641</v>
      </c>
      <c r="Z890" s="560">
        <f t="array" ref="Z890">INDEX(MO_Common_QEndDate,0,COLUMN())-INDEX(MO_Common_FPDays,0,COLUMN())+1</f>
        <v>42368</v>
      </c>
      <c r="AA890" s="560">
        <f t="array" ref="AA890">INDEX(MO_Common_QEndDate,0,COLUMN())-INDEX(MO_Common_FPDays,0,COLUMN())+1</f>
        <v>42739</v>
      </c>
      <c r="AB890" s="560">
        <f t="array" ref="AB890">INDEX(MO_Common_QEndDate,0,COLUMN())-INDEX(MO_Common_FPDays,0,COLUMN())+1</f>
        <v>42830</v>
      </c>
      <c r="AC890" s="560">
        <f t="array" ref="AC890">INDEX(MO_Common_QEndDate,0,COLUMN())-INDEX(MO_Common_FPDays,0,COLUMN())+1</f>
        <v>42921</v>
      </c>
      <c r="AD890" s="560">
        <f t="array" ref="AD890">INDEX(MO_Common_QEndDate,0,COLUMN())-INDEX(MO_Common_FPDays,0,COLUMN())+1</f>
        <v>43012</v>
      </c>
      <c r="AE890" s="560">
        <f t="array" ref="AE890">INDEX(MO_Common_QEndDate,0,COLUMN())-INDEX(MO_Common_FPDays,0,COLUMN())+1</f>
        <v>42739</v>
      </c>
      <c r="AF890" s="560">
        <f t="array" ref="AF890">INDEX(MO_Common_QEndDate,0,COLUMN())-INDEX(MO_Common_FPDays,0,COLUMN())+1</f>
        <v>43103</v>
      </c>
      <c r="AG890" s="560">
        <f t="array" ref="AG890">INDEX(MO_Common_QEndDate,0,COLUMN())-INDEX(MO_Common_FPDays,0,COLUMN())+1</f>
        <v>43194</v>
      </c>
      <c r="AH890" s="560">
        <f t="array" ref="AH890">INDEX(MO_Common_QEndDate,0,COLUMN())-INDEX(MO_Common_FPDays,0,COLUMN())+1</f>
        <v>43285</v>
      </c>
      <c r="AI890" s="560">
        <f t="array" ref="AI890">INDEX(MO_Common_QEndDate,0,COLUMN())-INDEX(MO_Common_FPDays,0,COLUMN())+1</f>
        <v>43376</v>
      </c>
      <c r="AJ890" s="560">
        <f t="array" ref="AJ890">INDEX(MO_Common_QEndDate,0,COLUMN())-INDEX(MO_Common_FPDays,0,COLUMN())+1</f>
        <v>43103</v>
      </c>
      <c r="AK890" s="560">
        <f t="array" ref="AK890">INDEX(MO_Common_QEndDate,0,COLUMN())-INDEX(MO_Common_FPDays,0,COLUMN())+1</f>
        <v>43467</v>
      </c>
      <c r="AL890" s="560">
        <f t="array" ref="AL890">INDEX(MO_Common_QEndDate,0,COLUMN())-INDEX(MO_Common_FPDays,0,COLUMN())+1</f>
        <v>43558</v>
      </c>
      <c r="AM890" s="560">
        <f t="array" ref="AM890">INDEX(MO_Common_QEndDate,0,COLUMN())-INDEX(MO_Common_FPDays,0,COLUMN())+1</f>
        <v>43649</v>
      </c>
      <c r="AN890" s="560">
        <f t="array" ref="AN890">INDEX(MO_Common_QEndDate,0,COLUMN())-INDEX(MO_Common_FPDays,0,COLUMN())+1</f>
        <v>43740</v>
      </c>
      <c r="AO890" s="560">
        <f t="array" ref="AO890">INDEX(MO_Common_QEndDate,0,COLUMN())-INDEX(MO_Common_FPDays,0,COLUMN())+1</f>
        <v>43467</v>
      </c>
      <c r="AP890" s="560">
        <f t="array" ref="AP890">INDEX(MO_Common_QEndDate,0,COLUMN())-INDEX(MO_Common_FPDays,0,COLUMN())+1</f>
        <v>43831</v>
      </c>
      <c r="AQ890" s="560">
        <f t="array" ref="AQ890">INDEX(MO_Common_QEndDate,0,COLUMN())-INDEX(MO_Common_FPDays,0,COLUMN())+1</f>
        <v>43922</v>
      </c>
      <c r="AR890" s="560">
        <f t="array" ref="AR890">INDEX(MO_Common_QEndDate,0,COLUMN())-INDEX(MO_Common_FPDays,0,COLUMN())+1</f>
        <v>44013</v>
      </c>
      <c r="AS890" s="560">
        <f t="array" ref="AS890">INDEX(MO_Common_QEndDate,0,COLUMN())-INDEX(MO_Common_FPDays,0,COLUMN())+1</f>
        <v>44104</v>
      </c>
      <c r="AT890" s="560">
        <f t="array" ref="AT890">INDEX(MO_Common_QEndDate,0,COLUMN())-INDEX(MO_Common_FPDays,0,COLUMN())+1</f>
        <v>43831</v>
      </c>
      <c r="AU890" s="560">
        <f t="array" ref="AU890">INDEX(MO_Common_QEndDate,0,COLUMN())-INDEX(MO_Common_FPDays,0,COLUMN())+1</f>
        <v>44195</v>
      </c>
      <c r="AV890" s="560">
        <f t="array" ref="AV890">INDEX(MO_Common_QEndDate,0,COLUMN())-INDEX(MO_Common_FPDays,0,COLUMN())+1</f>
        <v>44286</v>
      </c>
      <c r="AW890" s="560">
        <f t="array" ref="AW890">INDEX(MO_Common_QEndDate,0,COLUMN())-INDEX(MO_Common_FPDays,0,COLUMN())+1</f>
        <v>44377</v>
      </c>
      <c r="AX890" s="560">
        <f t="array" ref="AX890">INDEX(MO_Common_QEndDate,0,COLUMN())-INDEX(MO_Common_FPDays,0,COLUMN())+1</f>
        <v>44468</v>
      </c>
      <c r="AY890" s="560">
        <f t="array" ref="AY890">INDEX(MO_Common_QEndDate,0,COLUMN())-INDEX(MO_Common_FPDays,0,COLUMN())+1</f>
        <v>44195</v>
      </c>
      <c r="AZ890" s="560">
        <f t="array" ref="AZ890">INDEX(MO_Common_QEndDate,0,COLUMN())-INDEX(MO_Common_FPDays,0,COLUMN())+1</f>
        <v>44559</v>
      </c>
      <c r="BA890" s="560">
        <f t="array" ref="BA890">INDEX(MO_Common_QEndDate,0,COLUMN())-INDEX(MO_Common_FPDays,0,COLUMN())+1</f>
        <v>44650</v>
      </c>
      <c r="BB890" s="560">
        <f t="array" ref="BB890">INDEX(MO_Common_QEndDate,0,COLUMN())-INDEX(MO_Common_FPDays,0,COLUMN())+1</f>
        <v>44741</v>
      </c>
      <c r="BC890" s="560">
        <f t="array" ref="BC890">INDEX(MO_Common_QEndDate,0,COLUMN())-INDEX(MO_Common_FPDays,0,COLUMN())+1</f>
        <v>44832</v>
      </c>
      <c r="BD890" s="560">
        <f t="array" ref="BD890">INDEX(MO_Common_QEndDate,0,COLUMN())-INDEX(MO_Common_FPDays,0,COLUMN())+1</f>
        <v>44559</v>
      </c>
      <c r="BE890" s="560">
        <f t="array" ref="BE890">INDEX(MO_Common_QEndDate,0,COLUMN())-INDEX(MO_Common_FPDays,0,COLUMN())+1</f>
        <v>44930</v>
      </c>
      <c r="BF890" s="560">
        <f t="array" ref="BF890">INDEX(MO_Common_QEndDate,0,COLUMN())-INDEX(MO_Common_FPDays,0,COLUMN())+1</f>
        <v>45020</v>
      </c>
      <c r="BG890" s="560">
        <f t="array" ref="BG890">INDEX(MO_Common_QEndDate,0,COLUMN())-INDEX(MO_Common_FPDays,0,COLUMN())+1</f>
        <v>45112</v>
      </c>
      <c r="BH890" s="560">
        <f t="array" ref="BH890">INDEX(MO_Common_QEndDate,0,COLUMN())-INDEX(MO_Common_FPDays,0,COLUMN())+1</f>
        <v>45203</v>
      </c>
      <c r="BI890" s="561">
        <f t="array" ref="BI890">INDEX(MO_Common_QEndDate,0,COLUMN())-INDEX(MO_Common_FPDays,0,COLUMN())+1</f>
        <v>44930</v>
      </c>
      <c r="BJ890" s="560">
        <f t="array" ref="BJ890">INDEX(MO_Common_QEndDate,0,COLUMN())-INDEX(MO_Common_FPDays,0,COLUMN())+1</f>
        <v>45294</v>
      </c>
      <c r="BK890" s="560">
        <f t="array" ref="BK890">INDEX(MO_Common_QEndDate,0,COLUMN())-INDEX(MO_Common_FPDays,0,COLUMN())+1</f>
        <v>45385</v>
      </c>
      <c r="BL890" s="560">
        <f t="array" ref="BL890">INDEX(MO_Common_QEndDate,0,COLUMN())-INDEX(MO_Common_FPDays,0,COLUMN())+1</f>
        <v>45476</v>
      </c>
      <c r="BM890" s="560">
        <f t="array" ref="BM890">INDEX(MO_Common_QEndDate,0,COLUMN())-INDEX(MO_Common_FPDays,0,COLUMN())+1</f>
        <v>45567</v>
      </c>
      <c r="BN890" s="560">
        <f t="array" ref="BN890">INDEX(MO_Common_QEndDate,0,COLUMN())-INDEX(MO_Common_FPDays,0,COLUMN())+1</f>
        <v>45294</v>
      </c>
      <c r="BO890" s="560">
        <f t="array" ref="BO890">INDEX(MO_Common_QEndDate,0,COLUMN())-INDEX(MO_Common_FPDays,0,COLUMN())+1</f>
        <v>45658</v>
      </c>
      <c r="BP890" s="560">
        <f t="array" ref="BP890">INDEX(MO_Common_QEndDate,0,COLUMN())-INDEX(MO_Common_FPDays,0,COLUMN())+1</f>
        <v>45749</v>
      </c>
      <c r="BQ890" s="560">
        <f t="array" ref="BQ890">INDEX(MO_Common_QEndDate,0,COLUMN())-INDEX(MO_Common_FPDays,0,COLUMN())+1</f>
        <v>45840</v>
      </c>
      <c r="BR890" s="560">
        <f t="array" ref="BR890">INDEX(MO_Common_QEndDate,0,COLUMN())-INDEX(MO_Common_FPDays,0,COLUMN())+1</f>
        <v>45931</v>
      </c>
      <c r="BS890" s="560">
        <f t="array" ref="BS890">INDEX(MO_Common_QEndDate,0,COLUMN())-INDEX(MO_Common_FPDays,0,COLUMN())+1</f>
        <v>45658</v>
      </c>
      <c r="BT890" s="560">
        <f t="array" ref="BT890">INDEX(MO_Common_QEndDate,0,COLUMN())-INDEX(MO_Common_FPDays,0,COLUMN())+1</f>
        <v>46022</v>
      </c>
      <c r="BU890" s="560">
        <f t="array" ref="BU890">INDEX(MO_Common_QEndDate,0,COLUMN())-INDEX(MO_Common_FPDays,0,COLUMN())+1</f>
        <v>46386</v>
      </c>
      <c r="BV890" s="562">
        <f t="array" ref="BV890">INDEX(MO_Common_QEndDate,0,COLUMN())-INDEX(MO_Common_FPDays,0,COLUMN())+1</f>
        <v>46750</v>
      </c>
      <c r="BW890" s="552"/>
    </row>
    <row r="891" spans="1:75" ht="15.75" customHeight="1" x14ac:dyDescent="0.2">
      <c r="A891" s="559" t="s">
        <v>933</v>
      </c>
      <c r="B891" s="9"/>
      <c r="C891" s="560" t="b">
        <f t="shared" ref="C891:BI891" si="1815">TRUE</f>
        <v>1</v>
      </c>
      <c r="D891" s="560" t="b">
        <f t="shared" si="1815"/>
        <v>1</v>
      </c>
      <c r="E891" s="560" t="b">
        <f t="shared" si="1815"/>
        <v>1</v>
      </c>
      <c r="F891" s="560" t="b">
        <f t="shared" si="1815"/>
        <v>1</v>
      </c>
      <c r="G891" s="560" t="b">
        <f t="shared" si="1815"/>
        <v>1</v>
      </c>
      <c r="H891" s="560" t="b">
        <f t="shared" si="1815"/>
        <v>1</v>
      </c>
      <c r="I891" s="560" t="b">
        <f t="shared" si="1815"/>
        <v>1</v>
      </c>
      <c r="J891" s="560" t="b">
        <f t="shared" si="1815"/>
        <v>1</v>
      </c>
      <c r="K891" s="560" t="b">
        <f t="shared" si="1815"/>
        <v>1</v>
      </c>
      <c r="L891" s="560" t="b">
        <f t="shared" si="1815"/>
        <v>1</v>
      </c>
      <c r="M891" s="560" t="b">
        <f t="shared" si="1815"/>
        <v>1</v>
      </c>
      <c r="N891" s="560" t="b">
        <f t="shared" si="1815"/>
        <v>1</v>
      </c>
      <c r="O891" s="560" t="b">
        <f t="shared" si="1815"/>
        <v>1</v>
      </c>
      <c r="P891" s="560" t="b">
        <f t="shared" si="1815"/>
        <v>1</v>
      </c>
      <c r="Q891" s="560" t="b">
        <f t="shared" si="1815"/>
        <v>1</v>
      </c>
      <c r="R891" s="560" t="b">
        <f t="shared" si="1815"/>
        <v>1</v>
      </c>
      <c r="S891" s="560" t="b">
        <f t="shared" si="1815"/>
        <v>1</v>
      </c>
      <c r="T891" s="560" t="b">
        <f t="shared" si="1815"/>
        <v>1</v>
      </c>
      <c r="U891" s="560" t="b">
        <f t="shared" si="1815"/>
        <v>1</v>
      </c>
      <c r="V891" s="560" t="b">
        <f t="shared" si="1815"/>
        <v>1</v>
      </c>
      <c r="W891" s="560" t="b">
        <f t="shared" si="1815"/>
        <v>1</v>
      </c>
      <c r="X891" s="560" t="b">
        <f t="shared" si="1815"/>
        <v>1</v>
      </c>
      <c r="Y891" s="560" t="b">
        <f t="shared" si="1815"/>
        <v>1</v>
      </c>
      <c r="Z891" s="560" t="b">
        <f t="shared" si="1815"/>
        <v>1</v>
      </c>
      <c r="AA891" s="560" t="b">
        <f t="shared" si="1815"/>
        <v>1</v>
      </c>
      <c r="AB891" s="560" t="b">
        <f t="shared" si="1815"/>
        <v>1</v>
      </c>
      <c r="AC891" s="560" t="b">
        <f t="shared" si="1815"/>
        <v>1</v>
      </c>
      <c r="AD891" s="560" t="b">
        <f t="shared" si="1815"/>
        <v>1</v>
      </c>
      <c r="AE891" s="560" t="b">
        <f t="shared" si="1815"/>
        <v>1</v>
      </c>
      <c r="AF891" s="560" t="b">
        <f t="shared" si="1815"/>
        <v>1</v>
      </c>
      <c r="AG891" s="560" t="b">
        <f t="shared" si="1815"/>
        <v>1</v>
      </c>
      <c r="AH891" s="560" t="b">
        <f t="shared" si="1815"/>
        <v>1</v>
      </c>
      <c r="AI891" s="560" t="b">
        <f t="shared" si="1815"/>
        <v>1</v>
      </c>
      <c r="AJ891" s="560" t="b">
        <f t="shared" si="1815"/>
        <v>1</v>
      </c>
      <c r="AK891" s="560" t="b">
        <f t="shared" si="1815"/>
        <v>1</v>
      </c>
      <c r="AL891" s="560" t="b">
        <f t="shared" si="1815"/>
        <v>1</v>
      </c>
      <c r="AM891" s="560" t="b">
        <f t="shared" si="1815"/>
        <v>1</v>
      </c>
      <c r="AN891" s="560" t="b">
        <f t="shared" si="1815"/>
        <v>1</v>
      </c>
      <c r="AO891" s="560" t="b">
        <f t="shared" si="1815"/>
        <v>1</v>
      </c>
      <c r="AP891" s="560" t="b">
        <f t="shared" si="1815"/>
        <v>1</v>
      </c>
      <c r="AQ891" s="560" t="b">
        <f t="shared" si="1815"/>
        <v>1</v>
      </c>
      <c r="AR891" s="560" t="b">
        <f t="shared" si="1815"/>
        <v>1</v>
      </c>
      <c r="AS891" s="560" t="b">
        <f t="shared" si="1815"/>
        <v>1</v>
      </c>
      <c r="AT891" s="560" t="b">
        <f t="shared" si="1815"/>
        <v>1</v>
      </c>
      <c r="AU891" s="560" t="b">
        <f t="shared" si="1815"/>
        <v>1</v>
      </c>
      <c r="AV891" s="560" t="b">
        <f t="shared" si="1815"/>
        <v>1</v>
      </c>
      <c r="AW891" s="560" t="b">
        <f t="shared" si="1815"/>
        <v>1</v>
      </c>
      <c r="AX891" s="560" t="b">
        <f t="shared" si="1815"/>
        <v>1</v>
      </c>
      <c r="AY891" s="560" t="b">
        <f t="shared" si="1815"/>
        <v>1</v>
      </c>
      <c r="AZ891" s="560" t="b">
        <f t="shared" si="1815"/>
        <v>1</v>
      </c>
      <c r="BA891" s="560" t="b">
        <f t="shared" si="1815"/>
        <v>1</v>
      </c>
      <c r="BB891" s="560" t="b">
        <f t="shared" si="1815"/>
        <v>1</v>
      </c>
      <c r="BC891" s="560" t="b">
        <f t="shared" si="1815"/>
        <v>1</v>
      </c>
      <c r="BD891" s="560" t="b">
        <f t="shared" si="1815"/>
        <v>1</v>
      </c>
      <c r="BE891" s="560" t="b">
        <f t="shared" si="1815"/>
        <v>1</v>
      </c>
      <c r="BF891" s="560" t="b">
        <f t="shared" si="1815"/>
        <v>1</v>
      </c>
      <c r="BG891" s="560" t="b">
        <f t="shared" si="1815"/>
        <v>1</v>
      </c>
      <c r="BH891" s="560" t="b">
        <f t="shared" si="1815"/>
        <v>1</v>
      </c>
      <c r="BI891" s="561" t="b">
        <f t="shared" si="1815"/>
        <v>1</v>
      </c>
      <c r="BJ891" s="560" t="b">
        <f t="shared" ref="BJ891:BV891" si="1816">FALSE</f>
        <v>0</v>
      </c>
      <c r="BK891" s="560" t="b">
        <f t="shared" si="1816"/>
        <v>0</v>
      </c>
      <c r="BL891" s="560" t="b">
        <f t="shared" si="1816"/>
        <v>0</v>
      </c>
      <c r="BM891" s="560" t="b">
        <f t="shared" si="1816"/>
        <v>0</v>
      </c>
      <c r="BN891" s="560" t="b">
        <f t="shared" si="1816"/>
        <v>0</v>
      </c>
      <c r="BO891" s="560" t="b">
        <f t="shared" si="1816"/>
        <v>0</v>
      </c>
      <c r="BP891" s="560" t="b">
        <f t="shared" si="1816"/>
        <v>0</v>
      </c>
      <c r="BQ891" s="560" t="b">
        <f t="shared" si="1816"/>
        <v>0</v>
      </c>
      <c r="BR891" s="560" t="b">
        <f t="shared" si="1816"/>
        <v>0</v>
      </c>
      <c r="BS891" s="560" t="b">
        <f t="shared" si="1816"/>
        <v>0</v>
      </c>
      <c r="BT891" s="560" t="b">
        <f t="shared" si="1816"/>
        <v>0</v>
      </c>
      <c r="BU891" s="560" t="b">
        <f t="shared" si="1816"/>
        <v>0</v>
      </c>
      <c r="BV891" s="562" t="b">
        <f t="shared" si="1816"/>
        <v>0</v>
      </c>
      <c r="BW891" s="552"/>
    </row>
    <row r="892" spans="1:75" ht="15.75" customHeight="1" x14ac:dyDescent="0.2">
      <c r="A892" s="563" t="str">
        <f ca="1">"Stock High: "&amp;IF(OR(MO.RealTimeStockPriceToggle=FALSE,VLOOKUP(MO.DataSourceName,MO_SPT_StockHigh_Sources,COLUMN()+2,FALSE)="N/A"),"Real-Time Off Source",MO.DataSourceName)</f>
        <v>Stock High: Real-Time Off Source</v>
      </c>
      <c r="B892" s="464"/>
      <c r="C892" s="464">
        <f t="shared" ref="C892:AH892" ca="1" si="1817">IF(OR(MO.RealTimeStockPriceToggle=FALSE,VLOOKUP(MO.DataSourceName,MO_SPT_StockHigh_Sources,COLUMN(),FALSE)="N/A"),VLOOKUP("Real-Time Off Source",MO_SPT_StockHigh_Sources,COLUMN(),FALSE),VLOOKUP(MO.DataSourceName,MO_SPT_StockHigh_Sources,COLUMN(),FALSE))</f>
        <v>22.63</v>
      </c>
      <c r="D892" s="464">
        <f t="shared" ca="1" si="1817"/>
        <v>34</v>
      </c>
      <c r="E892" s="464">
        <f t="shared" ca="1" si="1817"/>
        <v>34.07</v>
      </c>
      <c r="F892" s="464">
        <f t="shared" ca="1" si="1817"/>
        <v>36.24</v>
      </c>
      <c r="G892" s="464">
        <f t="shared" ca="1" si="1817"/>
        <v>38.71</v>
      </c>
      <c r="H892" s="464">
        <f t="shared" ca="1" si="1817"/>
        <v>42.63</v>
      </c>
      <c r="I892" s="464">
        <f t="shared" ca="1" si="1817"/>
        <v>44.79</v>
      </c>
      <c r="J892" s="464">
        <f t="shared" ca="1" si="1817"/>
        <v>49.74</v>
      </c>
      <c r="K892" s="464">
        <f t="shared" ca="1" si="1817"/>
        <v>49.74</v>
      </c>
      <c r="L892" s="464">
        <f t="shared" ca="1" si="1817"/>
        <v>49.21</v>
      </c>
      <c r="M892" s="464">
        <f t="shared" ca="1" si="1817"/>
        <v>49.1</v>
      </c>
      <c r="N892" s="464">
        <f t="shared" ca="1" si="1817"/>
        <v>47.09</v>
      </c>
      <c r="O892" s="464">
        <f t="shared" ca="1" si="1817"/>
        <v>51.45</v>
      </c>
      <c r="P892" s="464">
        <f t="shared" ca="1" si="1817"/>
        <v>51.45</v>
      </c>
      <c r="Q892" s="464">
        <f t="shared" ca="1" si="1817"/>
        <v>55.15</v>
      </c>
      <c r="R892" s="464">
        <f t="shared" ca="1" si="1817"/>
        <v>55.48</v>
      </c>
      <c r="S892" s="464">
        <f t="shared" ca="1" si="1817"/>
        <v>58.86</v>
      </c>
      <c r="T892" s="464">
        <f t="shared" ca="1" si="1817"/>
        <v>55.53</v>
      </c>
      <c r="U892" s="464">
        <f t="shared" ca="1" si="1817"/>
        <v>58.86</v>
      </c>
      <c r="V892" s="464">
        <f t="shared" ca="1" si="1817"/>
        <v>54.13</v>
      </c>
      <c r="W892" s="464">
        <f t="shared" ca="1" si="1817"/>
        <v>53.69</v>
      </c>
      <c r="X892" s="464">
        <f t="shared" ca="1" si="1817"/>
        <v>53.25</v>
      </c>
      <c r="Y892" s="464">
        <f t="shared" ca="1" si="1817"/>
        <v>64.41</v>
      </c>
      <c r="Z892" s="464">
        <f t="shared" ca="1" si="1817"/>
        <v>64.41</v>
      </c>
      <c r="AA892" s="464">
        <f t="shared" ca="1" si="1817"/>
        <v>63.73</v>
      </c>
      <c r="AB892" s="464">
        <f t="shared" ca="1" si="1817"/>
        <v>67.14</v>
      </c>
      <c r="AC892" s="464">
        <f t="shared" ca="1" si="1817"/>
        <v>50.91</v>
      </c>
      <c r="AD892" s="464">
        <f t="shared" ca="1" si="1817"/>
        <v>51.07</v>
      </c>
      <c r="AE892" s="464">
        <f t="shared" ca="1" si="1817"/>
        <v>67.14</v>
      </c>
      <c r="AF892" s="464">
        <f t="shared" ca="1" si="1817"/>
        <v>50.89</v>
      </c>
      <c r="AG892" s="464">
        <f t="shared" ca="1" si="1817"/>
        <v>59.83</v>
      </c>
      <c r="AH892" s="464">
        <f t="shared" ca="1" si="1817"/>
        <v>59.53</v>
      </c>
      <c r="AI892" s="464">
        <f t="shared" ref="AI892:BN892" ca="1" si="1818">IF(OR(MO.RealTimeStockPriceToggle=FALSE,VLOOKUP(MO.DataSourceName,MO_SPT_StockHigh_Sources,COLUMN(),FALSE)="N/A"),VLOOKUP("Real-Time Off Source",MO_SPT_StockHigh_Sources,COLUMN(),FALSE),VLOOKUP(MO.DataSourceName,MO_SPT_StockHigh_Sources,COLUMN(),FALSE))</f>
        <v>52.4</v>
      </c>
      <c r="AJ892" s="464">
        <f t="shared" ca="1" si="1818"/>
        <v>59.83</v>
      </c>
      <c r="AK892" s="464">
        <f t="shared" ca="1" si="1818"/>
        <v>48.92</v>
      </c>
      <c r="AL892" s="464">
        <f t="shared" ca="1" si="1818"/>
        <v>50.84</v>
      </c>
      <c r="AM892" s="464">
        <f t="shared" ca="1" si="1818"/>
        <v>44.58</v>
      </c>
      <c r="AN892" s="464">
        <f t="shared" ca="1" si="1818"/>
        <v>44.92</v>
      </c>
      <c r="AO892" s="464">
        <f t="shared" ca="1" si="1818"/>
        <v>50.84</v>
      </c>
      <c r="AP892" s="464">
        <f t="shared" ca="1" si="1818"/>
        <v>42.25</v>
      </c>
      <c r="AQ892" s="464">
        <f t="shared" ca="1" si="1818"/>
        <v>29.81</v>
      </c>
      <c r="AR892" s="464">
        <f t="shared" ca="1" si="1818"/>
        <v>31.41</v>
      </c>
      <c r="AS892" s="464">
        <f t="shared" ca="1" si="1818"/>
        <v>39.43</v>
      </c>
      <c r="AT892" s="464">
        <f t="shared" ca="1" si="1818"/>
        <v>42.25</v>
      </c>
      <c r="AU892" s="464">
        <f t="shared" ca="1" si="1818"/>
        <v>62.48</v>
      </c>
      <c r="AV892" s="464">
        <f t="shared" ca="1" si="1818"/>
        <v>63.78</v>
      </c>
      <c r="AW892" s="464">
        <f t="shared" ca="1" si="1818"/>
        <v>55.01</v>
      </c>
      <c r="AX892" s="464">
        <f t="shared" ca="1" si="1818"/>
        <v>49.39</v>
      </c>
      <c r="AY892" s="464">
        <f t="shared" ca="1" si="1818"/>
        <v>63.78</v>
      </c>
      <c r="AZ892" s="464">
        <f t="shared" ca="1" si="1818"/>
        <v>43.29</v>
      </c>
      <c r="BA892" s="464">
        <f t="shared" ca="1" si="1818"/>
        <v>39.79</v>
      </c>
      <c r="BB892" s="464">
        <f t="shared" ca="1" si="1818"/>
        <v>34.229999999999997</v>
      </c>
      <c r="BC892" s="464">
        <f t="shared" ca="1" si="1818"/>
        <v>37.479999999999997</v>
      </c>
      <c r="BD892" s="464">
        <f t="shared" ca="1" si="1818"/>
        <v>43.29</v>
      </c>
      <c r="BE892" s="464">
        <f t="shared" ca="1" si="1818"/>
        <v>40.93</v>
      </c>
      <c r="BF892" s="464">
        <f t="shared" ca="1" si="1818"/>
        <v>35.35</v>
      </c>
      <c r="BG892" s="464">
        <f t="shared" ca="1" si="1818"/>
        <v>37.450000000000003</v>
      </c>
      <c r="BH892" s="464">
        <f t="shared" ca="1" si="1818"/>
        <v>36.15</v>
      </c>
      <c r="BI892" s="564">
        <f t="shared" ca="1" si="1818"/>
        <v>40.93</v>
      </c>
      <c r="BJ892" s="464">
        <f t="shared" ca="1" si="1818"/>
        <v>0</v>
      </c>
      <c r="BK892" s="464">
        <f t="shared" ca="1" si="1818"/>
        <v>0</v>
      </c>
      <c r="BL892" s="464">
        <f t="shared" ca="1" si="1818"/>
        <v>0</v>
      </c>
      <c r="BM892" s="464">
        <f t="shared" ca="1" si="1818"/>
        <v>0</v>
      </c>
      <c r="BN892" s="464">
        <f t="shared" ca="1" si="1818"/>
        <v>0</v>
      </c>
      <c r="BO892" s="464">
        <f t="shared" ref="BO892:BV892" ca="1" si="1819">IF(OR(MO.RealTimeStockPriceToggle=FALSE,VLOOKUP(MO.DataSourceName,MO_SPT_StockHigh_Sources,COLUMN(),FALSE)="N/A"),VLOOKUP("Real-Time Off Source",MO_SPT_StockHigh_Sources,COLUMN(),FALSE),VLOOKUP(MO.DataSourceName,MO_SPT_StockHigh_Sources,COLUMN(),FALSE))</f>
        <v>0</v>
      </c>
      <c r="BP892" s="464">
        <f t="shared" ca="1" si="1819"/>
        <v>0</v>
      </c>
      <c r="BQ892" s="464">
        <f t="shared" ca="1" si="1819"/>
        <v>0</v>
      </c>
      <c r="BR892" s="464">
        <f t="shared" ca="1" si="1819"/>
        <v>0</v>
      </c>
      <c r="BS892" s="464">
        <f t="shared" ca="1" si="1819"/>
        <v>0</v>
      </c>
      <c r="BT892" s="464">
        <f t="shared" ca="1" si="1819"/>
        <v>0</v>
      </c>
      <c r="BU892" s="464">
        <f t="shared" ca="1" si="1819"/>
        <v>0</v>
      </c>
      <c r="BV892" s="565">
        <f t="shared" ca="1" si="1819"/>
        <v>0</v>
      </c>
      <c r="BW892" s="566"/>
    </row>
    <row r="893" spans="1:75" ht="15.75" hidden="1" customHeight="1" outlineLevel="1" x14ac:dyDescent="0.2">
      <c r="A893" s="563" t="s">
        <v>934</v>
      </c>
      <c r="B893" s="464"/>
      <c r="C893" s="567">
        <v>22.63</v>
      </c>
      <c r="D893" s="567">
        <v>34</v>
      </c>
      <c r="E893" s="567">
        <v>34.07</v>
      </c>
      <c r="F893" s="567">
        <v>36.24</v>
      </c>
      <c r="G893" s="567">
        <v>38.71</v>
      </c>
      <c r="H893" s="567">
        <v>42.63</v>
      </c>
      <c r="I893" s="567">
        <v>44.79</v>
      </c>
      <c r="J893" s="567">
        <v>49.74</v>
      </c>
      <c r="K893" s="567">
        <v>49.74</v>
      </c>
      <c r="L893" s="567">
        <v>49.21</v>
      </c>
      <c r="M893" s="567">
        <v>49.1</v>
      </c>
      <c r="N893" s="567">
        <v>47.09</v>
      </c>
      <c r="O893" s="567">
        <v>51.45</v>
      </c>
      <c r="P893" s="567">
        <v>51.45</v>
      </c>
      <c r="Q893" s="567">
        <v>55.15</v>
      </c>
      <c r="R893" s="567">
        <v>55.48</v>
      </c>
      <c r="S893" s="567">
        <v>58.86</v>
      </c>
      <c r="T893" s="567">
        <v>55.53</v>
      </c>
      <c r="U893" s="567">
        <v>58.86</v>
      </c>
      <c r="V893" s="567">
        <v>54.13</v>
      </c>
      <c r="W893" s="567">
        <v>53.69</v>
      </c>
      <c r="X893" s="567">
        <v>53.25</v>
      </c>
      <c r="Y893" s="567">
        <v>64.41</v>
      </c>
      <c r="Z893" s="567">
        <v>64.41</v>
      </c>
      <c r="AA893" s="567">
        <v>63.73</v>
      </c>
      <c r="AB893" s="567">
        <v>67.14</v>
      </c>
      <c r="AC893" s="567">
        <v>50.91</v>
      </c>
      <c r="AD893" s="567">
        <v>51.07</v>
      </c>
      <c r="AE893" s="567">
        <v>67.14</v>
      </c>
      <c r="AF893" s="567">
        <v>50.89</v>
      </c>
      <c r="AG893" s="567">
        <v>59.83</v>
      </c>
      <c r="AH893" s="567">
        <v>59.53</v>
      </c>
      <c r="AI893" s="567">
        <v>52.4</v>
      </c>
      <c r="AJ893" s="567">
        <v>59.83</v>
      </c>
      <c r="AK893" s="567">
        <v>48.92</v>
      </c>
      <c r="AL893" s="567">
        <v>50.84</v>
      </c>
      <c r="AM893" s="567">
        <v>44.58</v>
      </c>
      <c r="AN893" s="567">
        <v>44.92</v>
      </c>
      <c r="AO893" s="567">
        <v>50.84</v>
      </c>
      <c r="AP893" s="567">
        <v>42.25</v>
      </c>
      <c r="AQ893" s="567">
        <v>29.81</v>
      </c>
      <c r="AR893" s="567">
        <v>31.41</v>
      </c>
      <c r="AS893" s="567">
        <v>39.43</v>
      </c>
      <c r="AT893" s="567">
        <v>42.25</v>
      </c>
      <c r="AU893" s="567">
        <v>62.48</v>
      </c>
      <c r="AV893" s="567">
        <v>63.78</v>
      </c>
      <c r="AW893" s="567">
        <v>55.01</v>
      </c>
      <c r="AX893" s="567">
        <v>49.39</v>
      </c>
      <c r="AY893" s="567">
        <v>63.78</v>
      </c>
      <c r="AZ893" s="567">
        <v>43.29</v>
      </c>
      <c r="BA893" s="567">
        <v>39.79</v>
      </c>
      <c r="BB893" s="567">
        <v>34.229999999999997</v>
      </c>
      <c r="BC893" s="567">
        <v>37.479999999999997</v>
      </c>
      <c r="BD893" s="567">
        <v>43.29</v>
      </c>
      <c r="BE893" s="567">
        <v>40.93</v>
      </c>
      <c r="BF893" s="567">
        <v>35.35</v>
      </c>
      <c r="BG893" s="567">
        <v>37.450000000000003</v>
      </c>
      <c r="BH893" s="567">
        <v>36.15</v>
      </c>
      <c r="BI893" s="568">
        <v>40.93</v>
      </c>
      <c r="BJ893" s="464"/>
      <c r="BK893" s="464"/>
      <c r="BL893" s="464"/>
      <c r="BM893" s="464"/>
      <c r="BN893" s="464"/>
      <c r="BO893" s="464"/>
      <c r="BP893" s="464"/>
      <c r="BQ893" s="464"/>
      <c r="BR893" s="464"/>
      <c r="BS893" s="464"/>
      <c r="BT893" s="464"/>
      <c r="BU893" s="464"/>
      <c r="BV893" s="565"/>
      <c r="BW893" s="566"/>
    </row>
    <row r="894" spans="1:75" ht="15.75" hidden="1" customHeight="1" outlineLevel="1" x14ac:dyDescent="0.2">
      <c r="A894" s="563" t="s">
        <v>935</v>
      </c>
      <c r="B894" s="464"/>
      <c r="C894" s="464" t="str">
        <f t="array" aca="1" ref="C894" ca="1">IFERROR(BDP(MO.Ticker.Bloomberg&amp;" Equity","INTERVAL_HIGH","MARKET_DATA_OVERRIDE=PX_LAST","START_DATE_OVERRIDE",TEXT(INDEX(MO_SNA_FPStartDate,0,COLUMN()),"YYYYMMDD"),"END_DATE_OVERRIDE",TEXT(INDEX(MO_Common_QEndDate,0,COLUMN()),"YYYYMMDD")),"N/A")</f>
        <v>N/A</v>
      </c>
      <c r="D894" s="464" t="str">
        <f t="array" aca="1" ref="D894" ca="1">IFERROR(BDP(MO.Ticker.Bloomberg&amp;" Equity","INTERVAL_HIGH","MARKET_DATA_OVERRIDE=PX_LAST","START_DATE_OVERRIDE",TEXT(INDEX(MO_SNA_FPStartDate,0,COLUMN()),"YYYYMMDD"),"END_DATE_OVERRIDE",TEXT(INDEX(MO_Common_QEndDate,0,COLUMN()),"YYYYMMDD")),"N/A")</f>
        <v>N/A</v>
      </c>
      <c r="E894" s="464" t="str">
        <f t="array" aca="1" ref="E894" ca="1">IFERROR(BDP(MO.Ticker.Bloomberg&amp;" Equity","INTERVAL_HIGH","MARKET_DATA_OVERRIDE=PX_LAST","START_DATE_OVERRIDE",TEXT(INDEX(MO_SNA_FPStartDate,0,COLUMN()),"YYYYMMDD"),"END_DATE_OVERRIDE",TEXT(INDEX(MO_Common_QEndDate,0,COLUMN()),"YYYYMMDD")),"N/A")</f>
        <v>N/A</v>
      </c>
      <c r="F894" s="464" t="str">
        <f t="array" aca="1" ref="F894" ca="1">IFERROR(BDP(MO.Ticker.Bloomberg&amp;" Equity","INTERVAL_HIGH","MARKET_DATA_OVERRIDE=PX_LAST","START_DATE_OVERRIDE",TEXT(INDEX(MO_SNA_FPStartDate,0,COLUMN()),"YYYYMMDD"),"END_DATE_OVERRIDE",TEXT(INDEX(MO_Common_QEndDate,0,COLUMN()),"YYYYMMDD")),"N/A")</f>
        <v>N/A</v>
      </c>
      <c r="G894" s="464" t="str">
        <f t="array" aca="1" ref="G894" ca="1">IFERROR(BDP(MO.Ticker.Bloomberg&amp;" Equity","INTERVAL_HIGH","MARKET_DATA_OVERRIDE=PX_LAST","START_DATE_OVERRIDE",TEXT(INDEX(MO_SNA_FPStartDate,0,COLUMN()),"YYYYMMDD"),"END_DATE_OVERRIDE",TEXT(INDEX(MO_Common_QEndDate,0,COLUMN()),"YYYYMMDD")),"N/A")</f>
        <v>N/A</v>
      </c>
      <c r="H894" s="464" t="str">
        <f t="array" aca="1" ref="H894" ca="1">IFERROR(BDP(MO.Ticker.Bloomberg&amp;" Equity","INTERVAL_HIGH","MARKET_DATA_OVERRIDE=PX_LAST","START_DATE_OVERRIDE",TEXT(INDEX(MO_SNA_FPStartDate,0,COLUMN()),"YYYYMMDD"),"END_DATE_OVERRIDE",TEXT(INDEX(MO_Common_QEndDate,0,COLUMN()),"YYYYMMDD")),"N/A")</f>
        <v>N/A</v>
      </c>
      <c r="I894" s="464" t="str">
        <f t="array" aca="1" ref="I894" ca="1">IFERROR(BDP(MO.Ticker.Bloomberg&amp;" Equity","INTERVAL_HIGH","MARKET_DATA_OVERRIDE=PX_LAST","START_DATE_OVERRIDE",TEXT(INDEX(MO_SNA_FPStartDate,0,COLUMN()),"YYYYMMDD"),"END_DATE_OVERRIDE",TEXT(INDEX(MO_Common_QEndDate,0,COLUMN()),"YYYYMMDD")),"N/A")</f>
        <v>N/A</v>
      </c>
      <c r="J894" s="464" t="str">
        <f t="array" aca="1" ref="J894" ca="1">IFERROR(BDP(MO.Ticker.Bloomberg&amp;" Equity","INTERVAL_HIGH","MARKET_DATA_OVERRIDE=PX_LAST","START_DATE_OVERRIDE",TEXT(INDEX(MO_SNA_FPStartDate,0,COLUMN()),"YYYYMMDD"),"END_DATE_OVERRIDE",TEXT(INDEX(MO_Common_QEndDate,0,COLUMN()),"YYYYMMDD")),"N/A")</f>
        <v>N/A</v>
      </c>
      <c r="K894" s="464" t="str">
        <f t="array" aca="1" ref="K894" ca="1">IFERROR(BDP(MO.Ticker.Bloomberg&amp;" Equity","INTERVAL_HIGH","MARKET_DATA_OVERRIDE=PX_LAST","START_DATE_OVERRIDE",TEXT(INDEX(MO_SNA_FPStartDate,0,COLUMN()),"YYYYMMDD"),"END_DATE_OVERRIDE",TEXT(INDEX(MO_Common_QEndDate,0,COLUMN()),"YYYYMMDD")),"N/A")</f>
        <v>N/A</v>
      </c>
      <c r="L894" s="464" t="str">
        <f t="array" aca="1" ref="L894" ca="1">IFERROR(BDP(MO.Ticker.Bloomberg&amp;" Equity","INTERVAL_HIGH","MARKET_DATA_OVERRIDE=PX_LAST","START_DATE_OVERRIDE",TEXT(INDEX(MO_SNA_FPStartDate,0,COLUMN()),"YYYYMMDD"),"END_DATE_OVERRIDE",TEXT(INDEX(MO_Common_QEndDate,0,COLUMN()),"YYYYMMDD")),"N/A")</f>
        <v>N/A</v>
      </c>
      <c r="M894" s="464" t="str">
        <f t="array" aca="1" ref="M894" ca="1">IFERROR(BDP(MO.Ticker.Bloomberg&amp;" Equity","INTERVAL_HIGH","MARKET_DATA_OVERRIDE=PX_LAST","START_DATE_OVERRIDE",TEXT(INDEX(MO_SNA_FPStartDate,0,COLUMN()),"YYYYMMDD"),"END_DATE_OVERRIDE",TEXT(INDEX(MO_Common_QEndDate,0,COLUMN()),"YYYYMMDD")),"N/A")</f>
        <v>N/A</v>
      </c>
      <c r="N894" s="464" t="str">
        <f t="array" aca="1" ref="N894" ca="1">IFERROR(BDP(MO.Ticker.Bloomberg&amp;" Equity","INTERVAL_HIGH","MARKET_DATA_OVERRIDE=PX_LAST","START_DATE_OVERRIDE",TEXT(INDEX(MO_SNA_FPStartDate,0,COLUMN()),"YYYYMMDD"),"END_DATE_OVERRIDE",TEXT(INDEX(MO_Common_QEndDate,0,COLUMN()),"YYYYMMDD")),"N/A")</f>
        <v>N/A</v>
      </c>
      <c r="O894" s="464" t="str">
        <f t="array" aca="1" ref="O894" ca="1">IFERROR(BDP(MO.Ticker.Bloomberg&amp;" Equity","INTERVAL_HIGH","MARKET_DATA_OVERRIDE=PX_LAST","START_DATE_OVERRIDE",TEXT(INDEX(MO_SNA_FPStartDate,0,COLUMN()),"YYYYMMDD"),"END_DATE_OVERRIDE",TEXT(INDEX(MO_Common_QEndDate,0,COLUMN()),"YYYYMMDD")),"N/A")</f>
        <v>N/A</v>
      </c>
      <c r="P894" s="464" t="str">
        <f t="array" aca="1" ref="P894" ca="1">IFERROR(BDP(MO.Ticker.Bloomberg&amp;" Equity","INTERVAL_HIGH","MARKET_DATA_OVERRIDE=PX_LAST","START_DATE_OVERRIDE",TEXT(INDEX(MO_SNA_FPStartDate,0,COLUMN()),"YYYYMMDD"),"END_DATE_OVERRIDE",TEXT(INDEX(MO_Common_QEndDate,0,COLUMN()),"YYYYMMDD")),"N/A")</f>
        <v>N/A</v>
      </c>
      <c r="Q894" s="464" t="str">
        <f t="array" aca="1" ref="Q894" ca="1">IFERROR(BDP(MO.Ticker.Bloomberg&amp;" Equity","INTERVAL_HIGH","MARKET_DATA_OVERRIDE=PX_LAST","START_DATE_OVERRIDE",TEXT(INDEX(MO_SNA_FPStartDate,0,COLUMN()),"YYYYMMDD"),"END_DATE_OVERRIDE",TEXT(INDEX(MO_Common_QEndDate,0,COLUMN()),"YYYYMMDD")),"N/A")</f>
        <v>N/A</v>
      </c>
      <c r="R894" s="464" t="str">
        <f t="array" aca="1" ref="R894" ca="1">IFERROR(BDP(MO.Ticker.Bloomberg&amp;" Equity","INTERVAL_HIGH","MARKET_DATA_OVERRIDE=PX_LAST","START_DATE_OVERRIDE",TEXT(INDEX(MO_SNA_FPStartDate,0,COLUMN()),"YYYYMMDD"),"END_DATE_OVERRIDE",TEXT(INDEX(MO_Common_QEndDate,0,COLUMN()),"YYYYMMDD")),"N/A")</f>
        <v>N/A</v>
      </c>
      <c r="S894" s="464" t="str">
        <f t="array" aca="1" ref="S894" ca="1">IFERROR(BDP(MO.Ticker.Bloomberg&amp;" Equity","INTERVAL_HIGH","MARKET_DATA_OVERRIDE=PX_LAST","START_DATE_OVERRIDE",TEXT(INDEX(MO_SNA_FPStartDate,0,COLUMN()),"YYYYMMDD"),"END_DATE_OVERRIDE",TEXT(INDEX(MO_Common_QEndDate,0,COLUMN()),"YYYYMMDD")),"N/A")</f>
        <v>N/A</v>
      </c>
      <c r="T894" s="464" t="str">
        <f t="array" aca="1" ref="T894" ca="1">IFERROR(BDP(MO.Ticker.Bloomberg&amp;" Equity","INTERVAL_HIGH","MARKET_DATA_OVERRIDE=PX_LAST","START_DATE_OVERRIDE",TEXT(INDEX(MO_SNA_FPStartDate,0,COLUMN()),"YYYYMMDD"),"END_DATE_OVERRIDE",TEXT(INDEX(MO_Common_QEndDate,0,COLUMN()),"YYYYMMDD")),"N/A")</f>
        <v>N/A</v>
      </c>
      <c r="U894" s="464" t="str">
        <f t="array" aca="1" ref="U894" ca="1">IFERROR(BDP(MO.Ticker.Bloomberg&amp;" Equity","INTERVAL_HIGH","MARKET_DATA_OVERRIDE=PX_LAST","START_DATE_OVERRIDE",TEXT(INDEX(MO_SNA_FPStartDate,0,COLUMN()),"YYYYMMDD"),"END_DATE_OVERRIDE",TEXT(INDEX(MO_Common_QEndDate,0,COLUMN()),"YYYYMMDD")),"N/A")</f>
        <v>N/A</v>
      </c>
      <c r="V894" s="464" t="str">
        <f t="array" aca="1" ref="V894" ca="1">IFERROR(BDP(MO.Ticker.Bloomberg&amp;" Equity","INTERVAL_HIGH","MARKET_DATA_OVERRIDE=PX_LAST","START_DATE_OVERRIDE",TEXT(INDEX(MO_SNA_FPStartDate,0,COLUMN()),"YYYYMMDD"),"END_DATE_OVERRIDE",TEXT(INDEX(MO_Common_QEndDate,0,COLUMN()),"YYYYMMDD")),"N/A")</f>
        <v>N/A</v>
      </c>
      <c r="W894" s="464" t="str">
        <f t="array" aca="1" ref="W894" ca="1">IFERROR(BDP(MO.Ticker.Bloomberg&amp;" Equity","INTERVAL_HIGH","MARKET_DATA_OVERRIDE=PX_LAST","START_DATE_OVERRIDE",TEXT(INDEX(MO_SNA_FPStartDate,0,COLUMN()),"YYYYMMDD"),"END_DATE_OVERRIDE",TEXT(INDEX(MO_Common_QEndDate,0,COLUMN()),"YYYYMMDD")),"N/A")</f>
        <v>N/A</v>
      </c>
      <c r="X894" s="464" t="str">
        <f t="array" aca="1" ref="X894" ca="1">IFERROR(BDP(MO.Ticker.Bloomberg&amp;" Equity","INTERVAL_HIGH","MARKET_DATA_OVERRIDE=PX_LAST","START_DATE_OVERRIDE",TEXT(INDEX(MO_SNA_FPStartDate,0,COLUMN()),"YYYYMMDD"),"END_DATE_OVERRIDE",TEXT(INDEX(MO_Common_QEndDate,0,COLUMN()),"YYYYMMDD")),"N/A")</f>
        <v>N/A</v>
      </c>
      <c r="Y894" s="464" t="str">
        <f t="array" aca="1" ref="Y894" ca="1">IFERROR(BDP(MO.Ticker.Bloomberg&amp;" Equity","INTERVAL_HIGH","MARKET_DATA_OVERRIDE=PX_LAST","START_DATE_OVERRIDE",TEXT(INDEX(MO_SNA_FPStartDate,0,COLUMN()),"YYYYMMDD"),"END_DATE_OVERRIDE",TEXT(INDEX(MO_Common_QEndDate,0,COLUMN()),"YYYYMMDD")),"N/A")</f>
        <v>N/A</v>
      </c>
      <c r="Z894" s="464" t="str">
        <f t="array" aca="1" ref="Z894" ca="1">IFERROR(BDP(MO.Ticker.Bloomberg&amp;" Equity","INTERVAL_HIGH","MARKET_DATA_OVERRIDE=PX_LAST","START_DATE_OVERRIDE",TEXT(INDEX(MO_SNA_FPStartDate,0,COLUMN()),"YYYYMMDD"),"END_DATE_OVERRIDE",TEXT(INDEX(MO_Common_QEndDate,0,COLUMN()),"YYYYMMDD")),"N/A")</f>
        <v>N/A</v>
      </c>
      <c r="AA894" s="464" t="str">
        <f t="array" aca="1" ref="AA894" ca="1">IFERROR(BDP(MO.Ticker.Bloomberg&amp;" Equity","INTERVAL_HIGH","MARKET_DATA_OVERRIDE=PX_LAST","START_DATE_OVERRIDE",TEXT(INDEX(MO_SNA_FPStartDate,0,COLUMN()),"YYYYMMDD"),"END_DATE_OVERRIDE",TEXT(INDEX(MO_Common_QEndDate,0,COLUMN()),"YYYYMMDD")),"N/A")</f>
        <v>N/A</v>
      </c>
      <c r="AB894" s="464" t="str">
        <f t="array" aca="1" ref="AB894" ca="1">IFERROR(BDP(MO.Ticker.Bloomberg&amp;" Equity","INTERVAL_HIGH","MARKET_DATA_OVERRIDE=PX_LAST","START_DATE_OVERRIDE",TEXT(INDEX(MO_SNA_FPStartDate,0,COLUMN()),"YYYYMMDD"),"END_DATE_OVERRIDE",TEXT(INDEX(MO_Common_QEndDate,0,COLUMN()),"YYYYMMDD")),"N/A")</f>
        <v>N/A</v>
      </c>
      <c r="AC894" s="464" t="str">
        <f t="array" aca="1" ref="AC894" ca="1">IFERROR(BDP(MO.Ticker.Bloomberg&amp;" Equity","INTERVAL_HIGH","MARKET_DATA_OVERRIDE=PX_LAST","START_DATE_OVERRIDE",TEXT(INDEX(MO_SNA_FPStartDate,0,COLUMN()),"YYYYMMDD"),"END_DATE_OVERRIDE",TEXT(INDEX(MO_Common_QEndDate,0,COLUMN()),"YYYYMMDD")),"N/A")</f>
        <v>N/A</v>
      </c>
      <c r="AD894" s="464" t="str">
        <f t="array" aca="1" ref="AD894" ca="1">IFERROR(BDP(MO.Ticker.Bloomberg&amp;" Equity","INTERVAL_HIGH","MARKET_DATA_OVERRIDE=PX_LAST","START_DATE_OVERRIDE",TEXT(INDEX(MO_SNA_FPStartDate,0,COLUMN()),"YYYYMMDD"),"END_DATE_OVERRIDE",TEXT(INDEX(MO_Common_QEndDate,0,COLUMN()),"YYYYMMDD")),"N/A")</f>
        <v>N/A</v>
      </c>
      <c r="AE894" s="464" t="str">
        <f t="array" aca="1" ref="AE894" ca="1">IFERROR(BDP(MO.Ticker.Bloomberg&amp;" Equity","INTERVAL_HIGH","MARKET_DATA_OVERRIDE=PX_LAST","START_DATE_OVERRIDE",TEXT(INDEX(MO_SNA_FPStartDate,0,COLUMN()),"YYYYMMDD"),"END_DATE_OVERRIDE",TEXT(INDEX(MO_Common_QEndDate,0,COLUMN()),"YYYYMMDD")),"N/A")</f>
        <v>N/A</v>
      </c>
      <c r="AF894" s="464" t="str">
        <f t="array" aca="1" ref="AF894" ca="1">IFERROR(BDP(MO.Ticker.Bloomberg&amp;" Equity","INTERVAL_HIGH","MARKET_DATA_OVERRIDE=PX_LAST","START_DATE_OVERRIDE",TEXT(INDEX(MO_SNA_FPStartDate,0,COLUMN()),"YYYYMMDD"),"END_DATE_OVERRIDE",TEXT(INDEX(MO_Common_QEndDate,0,COLUMN()),"YYYYMMDD")),"N/A")</f>
        <v>N/A</v>
      </c>
      <c r="AG894" s="464" t="str">
        <f t="array" aca="1" ref="AG894" ca="1">IFERROR(BDP(MO.Ticker.Bloomberg&amp;" Equity","INTERVAL_HIGH","MARKET_DATA_OVERRIDE=PX_LAST","START_DATE_OVERRIDE",TEXT(INDEX(MO_SNA_FPStartDate,0,COLUMN()),"YYYYMMDD"),"END_DATE_OVERRIDE",TEXT(INDEX(MO_Common_QEndDate,0,COLUMN()),"YYYYMMDD")),"N/A")</f>
        <v>N/A</v>
      </c>
      <c r="AH894" s="464" t="str">
        <f t="array" aca="1" ref="AH894" ca="1">IFERROR(BDP(MO.Ticker.Bloomberg&amp;" Equity","INTERVAL_HIGH","MARKET_DATA_OVERRIDE=PX_LAST","START_DATE_OVERRIDE",TEXT(INDEX(MO_SNA_FPStartDate,0,COLUMN()),"YYYYMMDD"),"END_DATE_OVERRIDE",TEXT(INDEX(MO_Common_QEndDate,0,COLUMN()),"YYYYMMDD")),"N/A")</f>
        <v>N/A</v>
      </c>
      <c r="AI894" s="464" t="str">
        <f t="array" aca="1" ref="AI894" ca="1">IFERROR(BDP(MO.Ticker.Bloomberg&amp;" Equity","INTERVAL_HIGH","MARKET_DATA_OVERRIDE=PX_LAST","START_DATE_OVERRIDE",TEXT(INDEX(MO_SNA_FPStartDate,0,COLUMN()),"YYYYMMDD"),"END_DATE_OVERRIDE",TEXT(INDEX(MO_Common_QEndDate,0,COLUMN()),"YYYYMMDD")),"N/A")</f>
        <v>N/A</v>
      </c>
      <c r="AJ894" s="464" t="str">
        <f t="array" aca="1" ref="AJ894" ca="1">IFERROR(BDP(MO.Ticker.Bloomberg&amp;" Equity","INTERVAL_HIGH","MARKET_DATA_OVERRIDE=PX_LAST","START_DATE_OVERRIDE",TEXT(INDEX(MO_SNA_FPStartDate,0,COLUMN()),"YYYYMMDD"),"END_DATE_OVERRIDE",TEXT(INDEX(MO_Common_QEndDate,0,COLUMN()),"YYYYMMDD")),"N/A")</f>
        <v>N/A</v>
      </c>
      <c r="AK894" s="464" t="str">
        <f t="array" aca="1" ref="AK894" ca="1">IFERROR(BDP(MO.Ticker.Bloomberg&amp;" Equity","INTERVAL_HIGH","MARKET_DATA_OVERRIDE=PX_LAST","START_DATE_OVERRIDE",TEXT(INDEX(MO_SNA_FPStartDate,0,COLUMN()),"YYYYMMDD"),"END_DATE_OVERRIDE",TEXT(INDEX(MO_Common_QEndDate,0,COLUMN()),"YYYYMMDD")),"N/A")</f>
        <v>N/A</v>
      </c>
      <c r="AL894" s="464" t="str">
        <f t="array" aca="1" ref="AL894" ca="1">IFERROR(BDP(MO.Ticker.Bloomberg&amp;" Equity","INTERVAL_HIGH","MARKET_DATA_OVERRIDE=PX_LAST","START_DATE_OVERRIDE",TEXT(INDEX(MO_SNA_FPStartDate,0,COLUMN()),"YYYYMMDD"),"END_DATE_OVERRIDE",TEXT(INDEX(MO_Common_QEndDate,0,COLUMN()),"YYYYMMDD")),"N/A")</f>
        <v>N/A</v>
      </c>
      <c r="AM894" s="464" t="str">
        <f t="array" aca="1" ref="AM894" ca="1">IFERROR(BDP(MO.Ticker.Bloomberg&amp;" Equity","INTERVAL_HIGH","MARKET_DATA_OVERRIDE=PX_LAST","START_DATE_OVERRIDE",TEXT(INDEX(MO_SNA_FPStartDate,0,COLUMN()),"YYYYMMDD"),"END_DATE_OVERRIDE",TEXT(INDEX(MO_Common_QEndDate,0,COLUMN()),"YYYYMMDD")),"N/A")</f>
        <v>N/A</v>
      </c>
      <c r="AN894" s="464" t="str">
        <f t="array" aca="1" ref="AN894" ca="1">IFERROR(BDP(MO.Ticker.Bloomberg&amp;" Equity","INTERVAL_HIGH","MARKET_DATA_OVERRIDE=PX_LAST","START_DATE_OVERRIDE",TEXT(INDEX(MO_SNA_FPStartDate,0,COLUMN()),"YYYYMMDD"),"END_DATE_OVERRIDE",TEXT(INDEX(MO_Common_QEndDate,0,COLUMN()),"YYYYMMDD")),"N/A")</f>
        <v>N/A</v>
      </c>
      <c r="AO894" s="464" t="str">
        <f t="array" aca="1" ref="AO894" ca="1">IFERROR(BDP(MO.Ticker.Bloomberg&amp;" Equity","INTERVAL_HIGH","MARKET_DATA_OVERRIDE=PX_LAST","START_DATE_OVERRIDE",TEXT(INDEX(MO_SNA_FPStartDate,0,COLUMN()),"YYYYMMDD"),"END_DATE_OVERRIDE",TEXT(INDEX(MO_Common_QEndDate,0,COLUMN()),"YYYYMMDD")),"N/A")</f>
        <v>N/A</v>
      </c>
      <c r="AP894" s="464" t="str">
        <f t="array" aca="1" ref="AP894" ca="1">IFERROR(BDP(MO.Ticker.Bloomberg&amp;" Equity","INTERVAL_HIGH","MARKET_DATA_OVERRIDE=PX_LAST","START_DATE_OVERRIDE",TEXT(INDEX(MO_SNA_FPStartDate,0,COLUMN()),"YYYYMMDD"),"END_DATE_OVERRIDE",TEXT(INDEX(MO_Common_QEndDate,0,COLUMN()),"YYYYMMDD")),"N/A")</f>
        <v>N/A</v>
      </c>
      <c r="AQ894" s="464" t="str">
        <f t="array" aca="1" ref="AQ894" ca="1">IFERROR(BDP(MO.Ticker.Bloomberg&amp;" Equity","INTERVAL_HIGH","MARKET_DATA_OVERRIDE=PX_LAST","START_DATE_OVERRIDE",TEXT(INDEX(MO_SNA_FPStartDate,0,COLUMN()),"YYYYMMDD"),"END_DATE_OVERRIDE",TEXT(INDEX(MO_Common_QEndDate,0,COLUMN()),"YYYYMMDD")),"N/A")</f>
        <v>N/A</v>
      </c>
      <c r="AR894" s="464" t="str">
        <f t="array" aca="1" ref="AR894" ca="1">IFERROR(BDP(MO.Ticker.Bloomberg&amp;" Equity","INTERVAL_HIGH","MARKET_DATA_OVERRIDE=PX_LAST","START_DATE_OVERRIDE",TEXT(INDEX(MO_SNA_FPStartDate,0,COLUMN()),"YYYYMMDD"),"END_DATE_OVERRIDE",TEXT(INDEX(MO_Common_QEndDate,0,COLUMN()),"YYYYMMDD")),"N/A")</f>
        <v>N/A</v>
      </c>
      <c r="AS894" s="464" t="str">
        <f t="array" aca="1" ref="AS894" ca="1">IFERROR(BDP(MO.Ticker.Bloomberg&amp;" Equity","INTERVAL_HIGH","MARKET_DATA_OVERRIDE=PX_LAST","START_DATE_OVERRIDE",TEXT(INDEX(MO_SNA_FPStartDate,0,COLUMN()),"YYYYMMDD"),"END_DATE_OVERRIDE",TEXT(INDEX(MO_Common_QEndDate,0,COLUMN()),"YYYYMMDD")),"N/A")</f>
        <v>N/A</v>
      </c>
      <c r="AT894" s="464" t="str">
        <f t="array" aca="1" ref="AT894" ca="1">IFERROR(BDP(MO.Ticker.Bloomberg&amp;" Equity","INTERVAL_HIGH","MARKET_DATA_OVERRIDE=PX_LAST","START_DATE_OVERRIDE",TEXT(INDEX(MO_SNA_FPStartDate,0,COLUMN()),"YYYYMMDD"),"END_DATE_OVERRIDE",TEXT(INDEX(MO_Common_QEndDate,0,COLUMN()),"YYYYMMDD")),"N/A")</f>
        <v>N/A</v>
      </c>
      <c r="AU894" s="464" t="str">
        <f t="array" aca="1" ref="AU894" ca="1">IFERROR(BDP(MO.Ticker.Bloomberg&amp;" Equity","INTERVAL_HIGH","MARKET_DATA_OVERRIDE=PX_LAST","START_DATE_OVERRIDE",TEXT(INDEX(MO_SNA_FPStartDate,0,COLUMN()),"YYYYMMDD"),"END_DATE_OVERRIDE",TEXT(INDEX(MO_Common_QEndDate,0,COLUMN()),"YYYYMMDD")),"N/A")</f>
        <v>N/A</v>
      </c>
      <c r="AV894" s="464" t="str">
        <f t="array" aca="1" ref="AV894" ca="1">IFERROR(BDP(MO.Ticker.Bloomberg&amp;" Equity","INTERVAL_HIGH","MARKET_DATA_OVERRIDE=PX_LAST","START_DATE_OVERRIDE",TEXT(INDEX(MO_SNA_FPStartDate,0,COLUMN()),"YYYYMMDD"),"END_DATE_OVERRIDE",TEXT(INDEX(MO_Common_QEndDate,0,COLUMN()),"YYYYMMDD")),"N/A")</f>
        <v>N/A</v>
      </c>
      <c r="AW894" s="464" t="str">
        <f t="array" aca="1" ref="AW894" ca="1">IFERROR(BDP(MO.Ticker.Bloomberg&amp;" Equity","INTERVAL_HIGH","MARKET_DATA_OVERRIDE=PX_LAST","START_DATE_OVERRIDE",TEXT(INDEX(MO_SNA_FPStartDate,0,COLUMN()),"YYYYMMDD"),"END_DATE_OVERRIDE",TEXT(INDEX(MO_Common_QEndDate,0,COLUMN()),"YYYYMMDD")),"N/A")</f>
        <v>N/A</v>
      </c>
      <c r="AX894" s="464" t="str">
        <f t="array" aca="1" ref="AX894" ca="1">IFERROR(BDP(MO.Ticker.Bloomberg&amp;" Equity","INTERVAL_HIGH","MARKET_DATA_OVERRIDE=PX_LAST","START_DATE_OVERRIDE",TEXT(INDEX(MO_SNA_FPStartDate,0,COLUMN()),"YYYYMMDD"),"END_DATE_OVERRIDE",TEXT(INDEX(MO_Common_QEndDate,0,COLUMN()),"YYYYMMDD")),"N/A")</f>
        <v>N/A</v>
      </c>
      <c r="AY894" s="464" t="str">
        <f t="array" aca="1" ref="AY894" ca="1">IFERROR(BDP(MO.Ticker.Bloomberg&amp;" Equity","INTERVAL_HIGH","MARKET_DATA_OVERRIDE=PX_LAST","START_DATE_OVERRIDE",TEXT(INDEX(MO_SNA_FPStartDate,0,COLUMN()),"YYYYMMDD"),"END_DATE_OVERRIDE",TEXT(INDEX(MO_Common_QEndDate,0,COLUMN()),"YYYYMMDD")),"N/A")</f>
        <v>N/A</v>
      </c>
      <c r="AZ894" s="464" t="str">
        <f t="array" aca="1" ref="AZ894" ca="1">IFERROR(BDP(MO.Ticker.Bloomberg&amp;" Equity","INTERVAL_HIGH","MARKET_DATA_OVERRIDE=PX_LAST","START_DATE_OVERRIDE",TEXT(INDEX(MO_SNA_FPStartDate,0,COLUMN()),"YYYYMMDD"),"END_DATE_OVERRIDE",TEXT(INDEX(MO_Common_QEndDate,0,COLUMN()),"YYYYMMDD")),"N/A")</f>
        <v>N/A</v>
      </c>
      <c r="BA894" s="464" t="str">
        <f t="array" aca="1" ref="BA894" ca="1">IFERROR(BDP(MO.Ticker.Bloomberg&amp;" Equity","INTERVAL_HIGH","MARKET_DATA_OVERRIDE=PX_LAST","START_DATE_OVERRIDE",TEXT(INDEX(MO_SNA_FPStartDate,0,COLUMN()),"YYYYMMDD"),"END_DATE_OVERRIDE",TEXT(INDEX(MO_Common_QEndDate,0,COLUMN()),"YYYYMMDD")),"N/A")</f>
        <v>N/A</v>
      </c>
      <c r="BB894" s="464" t="str">
        <f t="array" aca="1" ref="BB894" ca="1">IFERROR(BDP(MO.Ticker.Bloomberg&amp;" Equity","INTERVAL_HIGH","MARKET_DATA_OVERRIDE=PX_LAST","START_DATE_OVERRIDE",TEXT(INDEX(MO_SNA_FPStartDate,0,COLUMN()),"YYYYMMDD"),"END_DATE_OVERRIDE",TEXT(INDEX(MO_Common_QEndDate,0,COLUMN()),"YYYYMMDD")),"N/A")</f>
        <v>N/A</v>
      </c>
      <c r="BC894" s="464" t="str">
        <f t="array" aca="1" ref="BC894" ca="1">IFERROR(BDP(MO.Ticker.Bloomberg&amp;" Equity","INTERVAL_HIGH","MARKET_DATA_OVERRIDE=PX_LAST","START_DATE_OVERRIDE",TEXT(INDEX(MO_SNA_FPStartDate,0,COLUMN()),"YYYYMMDD"),"END_DATE_OVERRIDE",TEXT(INDEX(MO_Common_QEndDate,0,COLUMN()),"YYYYMMDD")),"N/A")</f>
        <v>N/A</v>
      </c>
      <c r="BD894" s="464" t="str">
        <f t="array" aca="1" ref="BD894" ca="1">IFERROR(BDP(MO.Ticker.Bloomberg&amp;" Equity","INTERVAL_HIGH","MARKET_DATA_OVERRIDE=PX_LAST","START_DATE_OVERRIDE",TEXT(INDEX(MO_SNA_FPStartDate,0,COLUMN()),"YYYYMMDD"),"END_DATE_OVERRIDE",TEXT(INDEX(MO_Common_QEndDate,0,COLUMN()),"YYYYMMDD")),"N/A")</f>
        <v>N/A</v>
      </c>
      <c r="BE894" s="464" t="str">
        <f t="array" aca="1" ref="BE894" ca="1">IFERROR(BDP(MO.Ticker.Bloomberg&amp;" Equity","INTERVAL_HIGH","MARKET_DATA_OVERRIDE=PX_LAST","START_DATE_OVERRIDE",TEXT(INDEX(MO_SNA_FPStartDate,0,COLUMN()),"YYYYMMDD"),"END_DATE_OVERRIDE",TEXT(INDEX(MO_Common_QEndDate,0,COLUMN()),"YYYYMMDD")),"N/A")</f>
        <v>N/A</v>
      </c>
      <c r="BF894" s="464" t="str">
        <f t="array" aca="1" ref="BF894" ca="1">IFERROR(BDP(MO.Ticker.Bloomberg&amp;" Equity","INTERVAL_HIGH","MARKET_DATA_OVERRIDE=PX_LAST","START_DATE_OVERRIDE",TEXT(INDEX(MO_SNA_FPStartDate,0,COLUMN()),"YYYYMMDD"),"END_DATE_OVERRIDE",TEXT(INDEX(MO_Common_QEndDate,0,COLUMN()),"YYYYMMDD")),"N/A")</f>
        <v>N/A</v>
      </c>
      <c r="BG894" s="464" t="str">
        <f t="array" aca="1" ref="BG894" ca="1">IFERROR(BDP(MO.Ticker.Bloomberg&amp;" Equity","INTERVAL_HIGH","MARKET_DATA_OVERRIDE=PX_LAST","START_DATE_OVERRIDE",TEXT(INDEX(MO_SNA_FPStartDate,0,COLUMN()),"YYYYMMDD"),"END_DATE_OVERRIDE",TEXT(INDEX(MO_Common_QEndDate,0,COLUMN()),"YYYYMMDD")),"N/A")</f>
        <v>N/A</v>
      </c>
      <c r="BH894" s="464" t="str">
        <f t="array" aca="1" ref="BH894" ca="1">IFERROR(BDP(MO.Ticker.Bloomberg&amp;" Equity","INTERVAL_HIGH","MARKET_DATA_OVERRIDE=PX_LAST","START_DATE_OVERRIDE",TEXT(INDEX(MO_SNA_FPStartDate,0,COLUMN()),"YYYYMMDD"),"END_DATE_OVERRIDE",TEXT(INDEX(MO_Common_QEndDate,0,COLUMN()),"YYYYMMDD")),"N/A")</f>
        <v>N/A</v>
      </c>
      <c r="BI894" s="564" t="str">
        <f t="array" aca="1" ref="BI894" ca="1">IFERROR(BDP(MO.Ticker.Bloomberg&amp;" Equity","INTERVAL_HIGH","MARKET_DATA_OVERRIDE=PX_LAST","START_DATE_OVERRIDE",TEXT(INDEX(MO_SNA_FPStartDate,0,COLUMN()),"YYYYMMDD"),"END_DATE_OVERRIDE",TEXT(INDEX(MO_Common_QEndDate,0,COLUMN()),"YYYYMMDD")),"N/A")</f>
        <v>N/A</v>
      </c>
      <c r="BJ894" s="464" t="str">
        <f t="array" aca="1" ref="BJ894" ca="1">IFERROR(BDP(MO.Ticker.Bloomberg&amp;" Equity","INTERVAL_HIGH","MARKET_DATA_OVERRIDE=PX_LAST","START_DATE_OVERRIDE",TEXT(INDEX(MO_SNA_FPStartDate,0,COLUMN()),"YYYYMMDD"),"END_DATE_OVERRIDE",TEXT(INDEX(MO_Common_QEndDate,0,COLUMN()),"YYYYMMDD")),"N/A")</f>
        <v>N/A</v>
      </c>
      <c r="BK894" s="464" t="str">
        <f t="array" aca="1" ref="BK894" ca="1">IFERROR(BDP(MO.Ticker.Bloomberg&amp;" Equity","INTERVAL_HIGH","MARKET_DATA_OVERRIDE=PX_LAST","START_DATE_OVERRIDE",TEXT(INDEX(MO_SNA_FPStartDate,0,COLUMN()),"YYYYMMDD"),"END_DATE_OVERRIDE",TEXT(INDEX(MO_Common_QEndDate,0,COLUMN()),"YYYYMMDD")),"N/A")</f>
        <v>N/A</v>
      </c>
      <c r="BL894" s="464" t="str">
        <f t="array" aca="1" ref="BL894" ca="1">IFERROR(BDP(MO.Ticker.Bloomberg&amp;" Equity","INTERVAL_HIGH","MARKET_DATA_OVERRIDE=PX_LAST","START_DATE_OVERRIDE",TEXT(INDEX(MO_SNA_FPStartDate,0,COLUMN()),"YYYYMMDD"),"END_DATE_OVERRIDE",TEXT(INDEX(MO_Common_QEndDate,0,COLUMN()),"YYYYMMDD")),"N/A")</f>
        <v>N/A</v>
      </c>
      <c r="BM894" s="464" t="str">
        <f t="array" aca="1" ref="BM894" ca="1">IFERROR(BDP(MO.Ticker.Bloomberg&amp;" Equity","INTERVAL_HIGH","MARKET_DATA_OVERRIDE=PX_LAST","START_DATE_OVERRIDE",TEXT(INDEX(MO_SNA_FPStartDate,0,COLUMN()),"YYYYMMDD"),"END_DATE_OVERRIDE",TEXT(INDEX(MO_Common_QEndDate,0,COLUMN()),"YYYYMMDD")),"N/A")</f>
        <v>N/A</v>
      </c>
      <c r="BN894" s="464" t="str">
        <f t="array" aca="1" ref="BN894" ca="1">IFERROR(BDP(MO.Ticker.Bloomberg&amp;" Equity","INTERVAL_HIGH","MARKET_DATA_OVERRIDE=PX_LAST","START_DATE_OVERRIDE",TEXT(INDEX(MO_SNA_FPStartDate,0,COLUMN()),"YYYYMMDD"),"END_DATE_OVERRIDE",TEXT(INDEX(MO_Common_QEndDate,0,COLUMN()),"YYYYMMDD")),"N/A")</f>
        <v>N/A</v>
      </c>
      <c r="BO894" s="464" t="str">
        <f t="array" aca="1" ref="BO894" ca="1">IFERROR(BDP(MO.Ticker.Bloomberg&amp;" Equity","INTERVAL_HIGH","MARKET_DATA_OVERRIDE=PX_LAST","START_DATE_OVERRIDE",TEXT(INDEX(MO_SNA_FPStartDate,0,COLUMN()),"YYYYMMDD"),"END_DATE_OVERRIDE",TEXT(INDEX(MO_Common_QEndDate,0,COLUMN()),"YYYYMMDD")),"N/A")</f>
        <v>N/A</v>
      </c>
      <c r="BP894" s="464" t="str">
        <f t="array" aca="1" ref="BP894" ca="1">IFERROR(BDP(MO.Ticker.Bloomberg&amp;" Equity","INTERVAL_HIGH","MARKET_DATA_OVERRIDE=PX_LAST","START_DATE_OVERRIDE",TEXT(INDEX(MO_SNA_FPStartDate,0,COLUMN()),"YYYYMMDD"),"END_DATE_OVERRIDE",TEXT(INDEX(MO_Common_QEndDate,0,COLUMN()),"YYYYMMDD")),"N/A")</f>
        <v>N/A</v>
      </c>
      <c r="BQ894" s="464" t="str">
        <f t="array" aca="1" ref="BQ894" ca="1">IFERROR(BDP(MO.Ticker.Bloomberg&amp;" Equity","INTERVAL_HIGH","MARKET_DATA_OVERRIDE=PX_LAST","START_DATE_OVERRIDE",TEXT(INDEX(MO_SNA_FPStartDate,0,COLUMN()),"YYYYMMDD"),"END_DATE_OVERRIDE",TEXT(INDEX(MO_Common_QEndDate,0,COLUMN()),"YYYYMMDD")),"N/A")</f>
        <v>N/A</v>
      </c>
      <c r="BR894" s="464" t="str">
        <f t="array" aca="1" ref="BR894" ca="1">IFERROR(BDP(MO.Ticker.Bloomberg&amp;" Equity","INTERVAL_HIGH","MARKET_DATA_OVERRIDE=PX_LAST","START_DATE_OVERRIDE",TEXT(INDEX(MO_SNA_FPStartDate,0,COLUMN()),"YYYYMMDD"),"END_DATE_OVERRIDE",TEXT(INDEX(MO_Common_QEndDate,0,COLUMN()),"YYYYMMDD")),"N/A")</f>
        <v>N/A</v>
      </c>
      <c r="BS894" s="464" t="str">
        <f t="array" aca="1" ref="BS894" ca="1">IFERROR(BDP(MO.Ticker.Bloomberg&amp;" Equity","INTERVAL_HIGH","MARKET_DATA_OVERRIDE=PX_LAST","START_DATE_OVERRIDE",TEXT(INDEX(MO_SNA_FPStartDate,0,COLUMN()),"YYYYMMDD"),"END_DATE_OVERRIDE",TEXT(INDEX(MO_Common_QEndDate,0,COLUMN()),"YYYYMMDD")),"N/A")</f>
        <v>N/A</v>
      </c>
      <c r="BT894" s="464" t="str">
        <f t="array" aca="1" ref="BT894" ca="1">IFERROR(BDP(MO.Ticker.Bloomberg&amp;" Equity","INTERVAL_HIGH","MARKET_DATA_OVERRIDE=PX_LAST","START_DATE_OVERRIDE",TEXT(INDEX(MO_SNA_FPStartDate,0,COLUMN()),"YYYYMMDD"),"END_DATE_OVERRIDE",TEXT(INDEX(MO_Common_QEndDate,0,COLUMN()),"YYYYMMDD")),"N/A")</f>
        <v>N/A</v>
      </c>
      <c r="BU894" s="464" t="str">
        <f t="array" aca="1" ref="BU894" ca="1">IFERROR(BDP(MO.Ticker.Bloomberg&amp;" Equity","INTERVAL_HIGH","MARKET_DATA_OVERRIDE=PX_LAST","START_DATE_OVERRIDE",TEXT(INDEX(MO_SNA_FPStartDate,0,COLUMN()),"YYYYMMDD"),"END_DATE_OVERRIDE",TEXT(INDEX(MO_Common_QEndDate,0,COLUMN()),"YYYYMMDD")),"N/A")</f>
        <v>N/A</v>
      </c>
      <c r="BV894" s="565" t="str">
        <f t="array" aca="1" ref="BV894" ca="1">IFERROR(BDP(MO.Ticker.Bloomberg&amp;" Equity","INTERVAL_HIGH","MARKET_DATA_OVERRIDE=PX_LAST","START_DATE_OVERRIDE",TEXT(INDEX(MO_SNA_FPStartDate,0,COLUMN()),"YYYYMMDD"),"END_DATE_OVERRIDE",TEXT(INDEX(MO_Common_QEndDate,0,COLUMN()),"YYYYMMDD")),"N/A")</f>
        <v>N/A</v>
      </c>
      <c r="BW894" s="566"/>
    </row>
    <row r="895" spans="1:75" ht="15.75" hidden="1" customHeight="1" outlineLevel="1" x14ac:dyDescent="0.2">
      <c r="A895" s="563" t="s">
        <v>936</v>
      </c>
      <c r="B895" s="464"/>
      <c r="C895" s="464" t="str">
        <f t="array" aca="1" ref="C895" ca="1">IFERROR(_xll.ciqfunctions.udf.CIQHI(MO.Ticker.CapIQ,"IQ_LASTSALEPRICE",INDEX(MO_SNA_FPStartDate,0,COLUMN()),INDEX(MO_Common_QEndDate,0,COLUMN())),"N/A")</f>
        <v>N/A</v>
      </c>
      <c r="D895" s="464" t="str">
        <f t="array" aca="1" ref="D895" ca="1">IFERROR(_xll.ciqfunctions.udf.CIQHI(MO.Ticker.CapIQ,"IQ_LASTSALEPRICE",INDEX(MO_SNA_FPStartDate,0,COLUMN()),INDEX(MO_Common_QEndDate,0,COLUMN())),"N/A")</f>
        <v>N/A</v>
      </c>
      <c r="E895" s="464" t="str">
        <f t="array" aca="1" ref="E895" ca="1">IFERROR(_xll.ciqfunctions.udf.CIQHI(MO.Ticker.CapIQ,"IQ_LASTSALEPRICE",INDEX(MO_SNA_FPStartDate,0,COLUMN()),INDEX(MO_Common_QEndDate,0,COLUMN())),"N/A")</f>
        <v>N/A</v>
      </c>
      <c r="F895" s="464" t="str">
        <f t="array" aca="1" ref="F895" ca="1">IFERROR(_xll.ciqfunctions.udf.CIQHI(MO.Ticker.CapIQ,"IQ_LASTSALEPRICE",INDEX(MO_SNA_FPStartDate,0,COLUMN()),INDEX(MO_Common_QEndDate,0,COLUMN())),"N/A")</f>
        <v>N/A</v>
      </c>
      <c r="G895" s="464" t="str">
        <f t="array" aca="1" ref="G895" ca="1">IFERROR(_xll.ciqfunctions.udf.CIQHI(MO.Ticker.CapIQ,"IQ_LASTSALEPRICE",INDEX(MO_SNA_FPStartDate,0,COLUMN()),INDEX(MO_Common_QEndDate,0,COLUMN())),"N/A")</f>
        <v>N/A</v>
      </c>
      <c r="H895" s="464" t="str">
        <f t="array" aca="1" ref="H895" ca="1">IFERROR(_xll.ciqfunctions.udf.CIQHI(MO.Ticker.CapIQ,"IQ_LASTSALEPRICE",INDEX(MO_SNA_FPStartDate,0,COLUMN()),INDEX(MO_Common_QEndDate,0,COLUMN())),"N/A")</f>
        <v>N/A</v>
      </c>
      <c r="I895" s="464" t="str">
        <f t="array" aca="1" ref="I895" ca="1">IFERROR(_xll.ciqfunctions.udf.CIQHI(MO.Ticker.CapIQ,"IQ_LASTSALEPRICE",INDEX(MO_SNA_FPStartDate,0,COLUMN()),INDEX(MO_Common_QEndDate,0,COLUMN())),"N/A")</f>
        <v>N/A</v>
      </c>
      <c r="J895" s="464" t="str">
        <f t="array" aca="1" ref="J895" ca="1">IFERROR(_xll.ciqfunctions.udf.CIQHI(MO.Ticker.CapIQ,"IQ_LASTSALEPRICE",INDEX(MO_SNA_FPStartDate,0,COLUMN()),INDEX(MO_Common_QEndDate,0,COLUMN())),"N/A")</f>
        <v>N/A</v>
      </c>
      <c r="K895" s="464" t="str">
        <f t="array" aca="1" ref="K895" ca="1">IFERROR(_xll.ciqfunctions.udf.CIQHI(MO.Ticker.CapIQ,"IQ_LASTSALEPRICE",INDEX(MO_SNA_FPStartDate,0,COLUMN()),INDEX(MO_Common_QEndDate,0,COLUMN())),"N/A")</f>
        <v>N/A</v>
      </c>
      <c r="L895" s="464" t="str">
        <f t="array" aca="1" ref="L895" ca="1">IFERROR(_xll.ciqfunctions.udf.CIQHI(MO.Ticker.CapIQ,"IQ_LASTSALEPRICE",INDEX(MO_SNA_FPStartDate,0,COLUMN()),INDEX(MO_Common_QEndDate,0,COLUMN())),"N/A")</f>
        <v>N/A</v>
      </c>
      <c r="M895" s="464" t="str">
        <f t="array" aca="1" ref="M895" ca="1">IFERROR(_xll.ciqfunctions.udf.CIQHI(MO.Ticker.CapIQ,"IQ_LASTSALEPRICE",INDEX(MO_SNA_FPStartDate,0,COLUMN()),INDEX(MO_Common_QEndDate,0,COLUMN())),"N/A")</f>
        <v>N/A</v>
      </c>
      <c r="N895" s="464" t="str">
        <f t="array" aca="1" ref="N895" ca="1">IFERROR(_xll.ciqfunctions.udf.CIQHI(MO.Ticker.CapIQ,"IQ_LASTSALEPRICE",INDEX(MO_SNA_FPStartDate,0,COLUMN()),INDEX(MO_Common_QEndDate,0,COLUMN())),"N/A")</f>
        <v>N/A</v>
      </c>
      <c r="O895" s="464" t="str">
        <f t="array" aca="1" ref="O895" ca="1">IFERROR(_xll.ciqfunctions.udf.CIQHI(MO.Ticker.CapIQ,"IQ_LASTSALEPRICE",INDEX(MO_SNA_FPStartDate,0,COLUMN()),INDEX(MO_Common_QEndDate,0,COLUMN())),"N/A")</f>
        <v>N/A</v>
      </c>
      <c r="P895" s="464" t="str">
        <f t="array" aca="1" ref="P895" ca="1">IFERROR(_xll.ciqfunctions.udf.CIQHI(MO.Ticker.CapIQ,"IQ_LASTSALEPRICE",INDEX(MO_SNA_FPStartDate,0,COLUMN()),INDEX(MO_Common_QEndDate,0,COLUMN())),"N/A")</f>
        <v>N/A</v>
      </c>
      <c r="Q895" s="464" t="str">
        <f t="array" aca="1" ref="Q895" ca="1">IFERROR(_xll.ciqfunctions.udf.CIQHI(MO.Ticker.CapIQ,"IQ_LASTSALEPRICE",INDEX(MO_SNA_FPStartDate,0,COLUMN()),INDEX(MO_Common_QEndDate,0,COLUMN())),"N/A")</f>
        <v>N/A</v>
      </c>
      <c r="R895" s="464" t="str">
        <f t="array" aca="1" ref="R895" ca="1">IFERROR(_xll.ciqfunctions.udf.CIQHI(MO.Ticker.CapIQ,"IQ_LASTSALEPRICE",INDEX(MO_SNA_FPStartDate,0,COLUMN()),INDEX(MO_Common_QEndDate,0,COLUMN())),"N/A")</f>
        <v>N/A</v>
      </c>
      <c r="S895" s="464" t="str">
        <f t="array" aca="1" ref="S895" ca="1">IFERROR(_xll.ciqfunctions.udf.CIQHI(MO.Ticker.CapIQ,"IQ_LASTSALEPRICE",INDEX(MO_SNA_FPStartDate,0,COLUMN()),INDEX(MO_Common_QEndDate,0,COLUMN())),"N/A")</f>
        <v>N/A</v>
      </c>
      <c r="T895" s="464" t="str">
        <f t="array" aca="1" ref="T895" ca="1">IFERROR(_xll.ciqfunctions.udf.CIQHI(MO.Ticker.CapIQ,"IQ_LASTSALEPRICE",INDEX(MO_SNA_FPStartDate,0,COLUMN()),INDEX(MO_Common_QEndDate,0,COLUMN())),"N/A")</f>
        <v>N/A</v>
      </c>
      <c r="U895" s="464" t="str">
        <f t="array" aca="1" ref="U895" ca="1">IFERROR(_xll.ciqfunctions.udf.CIQHI(MO.Ticker.CapIQ,"IQ_LASTSALEPRICE",INDEX(MO_SNA_FPStartDate,0,COLUMN()),INDEX(MO_Common_QEndDate,0,COLUMN())),"N/A")</f>
        <v>N/A</v>
      </c>
      <c r="V895" s="464" t="str">
        <f t="array" aca="1" ref="V895" ca="1">IFERROR(_xll.ciqfunctions.udf.CIQHI(MO.Ticker.CapIQ,"IQ_LASTSALEPRICE",INDEX(MO_SNA_FPStartDate,0,COLUMN()),INDEX(MO_Common_QEndDate,0,COLUMN())),"N/A")</f>
        <v>N/A</v>
      </c>
      <c r="W895" s="464" t="str">
        <f t="array" aca="1" ref="W895" ca="1">IFERROR(_xll.ciqfunctions.udf.CIQHI(MO.Ticker.CapIQ,"IQ_LASTSALEPRICE",INDEX(MO_SNA_FPStartDate,0,COLUMN()),INDEX(MO_Common_QEndDate,0,COLUMN())),"N/A")</f>
        <v>N/A</v>
      </c>
      <c r="X895" s="464" t="str">
        <f t="array" aca="1" ref="X895" ca="1">IFERROR(_xll.ciqfunctions.udf.CIQHI(MO.Ticker.CapIQ,"IQ_LASTSALEPRICE",INDEX(MO_SNA_FPStartDate,0,COLUMN()),INDEX(MO_Common_QEndDate,0,COLUMN())),"N/A")</f>
        <v>N/A</v>
      </c>
      <c r="Y895" s="464" t="str">
        <f t="array" aca="1" ref="Y895" ca="1">IFERROR(_xll.ciqfunctions.udf.CIQHI(MO.Ticker.CapIQ,"IQ_LASTSALEPRICE",INDEX(MO_SNA_FPStartDate,0,COLUMN()),INDEX(MO_Common_QEndDate,0,COLUMN())),"N/A")</f>
        <v>N/A</v>
      </c>
      <c r="Z895" s="464" t="str">
        <f t="array" aca="1" ref="Z895" ca="1">IFERROR(_xll.ciqfunctions.udf.CIQHI(MO.Ticker.CapIQ,"IQ_LASTSALEPRICE",INDEX(MO_SNA_FPStartDate,0,COLUMN()),INDEX(MO_Common_QEndDate,0,COLUMN())),"N/A")</f>
        <v>N/A</v>
      </c>
      <c r="AA895" s="464" t="str">
        <f t="array" aca="1" ref="AA895" ca="1">IFERROR(_xll.ciqfunctions.udf.CIQHI(MO.Ticker.CapIQ,"IQ_LASTSALEPRICE",INDEX(MO_SNA_FPStartDate,0,COLUMN()),INDEX(MO_Common_QEndDate,0,COLUMN())),"N/A")</f>
        <v>N/A</v>
      </c>
      <c r="AB895" s="464" t="str">
        <f t="array" aca="1" ref="AB895" ca="1">IFERROR(_xll.ciqfunctions.udf.CIQHI(MO.Ticker.CapIQ,"IQ_LASTSALEPRICE",INDEX(MO_SNA_FPStartDate,0,COLUMN()),INDEX(MO_Common_QEndDate,0,COLUMN())),"N/A")</f>
        <v>N/A</v>
      </c>
      <c r="AC895" s="464" t="str">
        <f t="array" aca="1" ref="AC895" ca="1">IFERROR(_xll.ciqfunctions.udf.CIQHI(MO.Ticker.CapIQ,"IQ_LASTSALEPRICE",INDEX(MO_SNA_FPStartDate,0,COLUMN()),INDEX(MO_Common_QEndDate,0,COLUMN())),"N/A")</f>
        <v>N/A</v>
      </c>
      <c r="AD895" s="464" t="str">
        <f t="array" aca="1" ref="AD895" ca="1">IFERROR(_xll.ciqfunctions.udf.CIQHI(MO.Ticker.CapIQ,"IQ_LASTSALEPRICE",INDEX(MO_SNA_FPStartDate,0,COLUMN()),INDEX(MO_Common_QEndDate,0,COLUMN())),"N/A")</f>
        <v>N/A</v>
      </c>
      <c r="AE895" s="464" t="str">
        <f t="array" aca="1" ref="AE895" ca="1">IFERROR(_xll.ciqfunctions.udf.CIQHI(MO.Ticker.CapIQ,"IQ_LASTSALEPRICE",INDEX(MO_SNA_FPStartDate,0,COLUMN()),INDEX(MO_Common_QEndDate,0,COLUMN())),"N/A")</f>
        <v>N/A</v>
      </c>
      <c r="AF895" s="464" t="str">
        <f t="array" aca="1" ref="AF895" ca="1">IFERROR(_xll.ciqfunctions.udf.CIQHI(MO.Ticker.CapIQ,"IQ_LASTSALEPRICE",INDEX(MO_SNA_FPStartDate,0,COLUMN()),INDEX(MO_Common_QEndDate,0,COLUMN())),"N/A")</f>
        <v>N/A</v>
      </c>
      <c r="AG895" s="464" t="str">
        <f t="array" aca="1" ref="AG895" ca="1">IFERROR(_xll.ciqfunctions.udf.CIQHI(MO.Ticker.CapIQ,"IQ_LASTSALEPRICE",INDEX(MO_SNA_FPStartDate,0,COLUMN()),INDEX(MO_Common_QEndDate,0,COLUMN())),"N/A")</f>
        <v>N/A</v>
      </c>
      <c r="AH895" s="464" t="str">
        <f t="array" aca="1" ref="AH895" ca="1">IFERROR(_xll.ciqfunctions.udf.CIQHI(MO.Ticker.CapIQ,"IQ_LASTSALEPRICE",INDEX(MO_SNA_FPStartDate,0,COLUMN()),INDEX(MO_Common_QEndDate,0,COLUMN())),"N/A")</f>
        <v>N/A</v>
      </c>
      <c r="AI895" s="464" t="str">
        <f t="array" aca="1" ref="AI895" ca="1">IFERROR(_xll.ciqfunctions.udf.CIQHI(MO.Ticker.CapIQ,"IQ_LASTSALEPRICE",INDEX(MO_SNA_FPStartDate,0,COLUMN()),INDEX(MO_Common_QEndDate,0,COLUMN())),"N/A")</f>
        <v>N/A</v>
      </c>
      <c r="AJ895" s="464" t="str">
        <f t="array" aca="1" ref="AJ895" ca="1">IFERROR(_xll.ciqfunctions.udf.CIQHI(MO.Ticker.CapIQ,"IQ_LASTSALEPRICE",INDEX(MO_SNA_FPStartDate,0,COLUMN()),INDEX(MO_Common_QEndDate,0,COLUMN())),"N/A")</f>
        <v>N/A</v>
      </c>
      <c r="AK895" s="464" t="str">
        <f t="array" aca="1" ref="AK895" ca="1">IFERROR(_xll.ciqfunctions.udf.CIQHI(MO.Ticker.CapIQ,"IQ_LASTSALEPRICE",INDEX(MO_SNA_FPStartDate,0,COLUMN()),INDEX(MO_Common_QEndDate,0,COLUMN())),"N/A")</f>
        <v>N/A</v>
      </c>
      <c r="AL895" s="464" t="str">
        <f t="array" aca="1" ref="AL895" ca="1">IFERROR(_xll.ciqfunctions.udf.CIQHI(MO.Ticker.CapIQ,"IQ_LASTSALEPRICE",INDEX(MO_SNA_FPStartDate,0,COLUMN()),INDEX(MO_Common_QEndDate,0,COLUMN())),"N/A")</f>
        <v>N/A</v>
      </c>
      <c r="AM895" s="464" t="str">
        <f t="array" aca="1" ref="AM895" ca="1">IFERROR(_xll.ciqfunctions.udf.CIQHI(MO.Ticker.CapIQ,"IQ_LASTSALEPRICE",INDEX(MO_SNA_FPStartDate,0,COLUMN()),INDEX(MO_Common_QEndDate,0,COLUMN())),"N/A")</f>
        <v>N/A</v>
      </c>
      <c r="AN895" s="464" t="str">
        <f t="array" aca="1" ref="AN895" ca="1">IFERROR(_xll.ciqfunctions.udf.CIQHI(MO.Ticker.CapIQ,"IQ_LASTSALEPRICE",INDEX(MO_SNA_FPStartDate,0,COLUMN()),INDEX(MO_Common_QEndDate,0,COLUMN())),"N/A")</f>
        <v>N/A</v>
      </c>
      <c r="AO895" s="464" t="str">
        <f t="array" aca="1" ref="AO895" ca="1">IFERROR(_xll.ciqfunctions.udf.CIQHI(MO.Ticker.CapIQ,"IQ_LASTSALEPRICE",INDEX(MO_SNA_FPStartDate,0,COLUMN()),INDEX(MO_Common_QEndDate,0,COLUMN())),"N/A")</f>
        <v>N/A</v>
      </c>
      <c r="AP895" s="464" t="str">
        <f t="array" aca="1" ref="AP895" ca="1">IFERROR(_xll.ciqfunctions.udf.CIQHI(MO.Ticker.CapIQ,"IQ_LASTSALEPRICE",INDEX(MO_SNA_FPStartDate,0,COLUMN()),INDEX(MO_Common_QEndDate,0,COLUMN())),"N/A")</f>
        <v>N/A</v>
      </c>
      <c r="AQ895" s="464" t="str">
        <f t="array" aca="1" ref="AQ895" ca="1">IFERROR(_xll.ciqfunctions.udf.CIQHI(MO.Ticker.CapIQ,"IQ_LASTSALEPRICE",INDEX(MO_SNA_FPStartDate,0,COLUMN()),INDEX(MO_Common_QEndDate,0,COLUMN())),"N/A")</f>
        <v>N/A</v>
      </c>
      <c r="AR895" s="464" t="str">
        <f t="array" aca="1" ref="AR895" ca="1">IFERROR(_xll.ciqfunctions.udf.CIQHI(MO.Ticker.CapIQ,"IQ_LASTSALEPRICE",INDEX(MO_SNA_FPStartDate,0,COLUMN()),INDEX(MO_Common_QEndDate,0,COLUMN())),"N/A")</f>
        <v>N/A</v>
      </c>
      <c r="AS895" s="464" t="str">
        <f t="array" aca="1" ref="AS895" ca="1">IFERROR(_xll.ciqfunctions.udf.CIQHI(MO.Ticker.CapIQ,"IQ_LASTSALEPRICE",INDEX(MO_SNA_FPStartDate,0,COLUMN()),INDEX(MO_Common_QEndDate,0,COLUMN())),"N/A")</f>
        <v>N/A</v>
      </c>
      <c r="AT895" s="464" t="str">
        <f t="array" aca="1" ref="AT895" ca="1">IFERROR(_xll.ciqfunctions.udf.CIQHI(MO.Ticker.CapIQ,"IQ_LASTSALEPRICE",INDEX(MO_SNA_FPStartDate,0,COLUMN()),INDEX(MO_Common_QEndDate,0,COLUMN())),"N/A")</f>
        <v>N/A</v>
      </c>
      <c r="AU895" s="464" t="str">
        <f t="array" aca="1" ref="AU895" ca="1">IFERROR(_xll.ciqfunctions.udf.CIQHI(MO.Ticker.CapIQ,"IQ_LASTSALEPRICE",INDEX(MO_SNA_FPStartDate,0,COLUMN()),INDEX(MO_Common_QEndDate,0,COLUMN())),"N/A")</f>
        <v>N/A</v>
      </c>
      <c r="AV895" s="464" t="str">
        <f t="array" aca="1" ref="AV895" ca="1">IFERROR(_xll.ciqfunctions.udf.CIQHI(MO.Ticker.CapIQ,"IQ_LASTSALEPRICE",INDEX(MO_SNA_FPStartDate,0,COLUMN()),INDEX(MO_Common_QEndDate,0,COLUMN())),"N/A")</f>
        <v>N/A</v>
      </c>
      <c r="AW895" s="464" t="str">
        <f t="array" aca="1" ref="AW895" ca="1">IFERROR(_xll.ciqfunctions.udf.CIQHI(MO.Ticker.CapIQ,"IQ_LASTSALEPRICE",INDEX(MO_SNA_FPStartDate,0,COLUMN()),INDEX(MO_Common_QEndDate,0,COLUMN())),"N/A")</f>
        <v>N/A</v>
      </c>
      <c r="AX895" s="464" t="str">
        <f t="array" aca="1" ref="AX895" ca="1">IFERROR(_xll.ciqfunctions.udf.CIQHI(MO.Ticker.CapIQ,"IQ_LASTSALEPRICE",INDEX(MO_SNA_FPStartDate,0,COLUMN()),INDEX(MO_Common_QEndDate,0,COLUMN())),"N/A")</f>
        <v>N/A</v>
      </c>
      <c r="AY895" s="464" t="str">
        <f t="array" aca="1" ref="AY895" ca="1">IFERROR(_xll.ciqfunctions.udf.CIQHI(MO.Ticker.CapIQ,"IQ_LASTSALEPRICE",INDEX(MO_SNA_FPStartDate,0,COLUMN()),INDEX(MO_Common_QEndDate,0,COLUMN())),"N/A")</f>
        <v>N/A</v>
      </c>
      <c r="AZ895" s="464" t="str">
        <f t="array" aca="1" ref="AZ895" ca="1">IFERROR(_xll.ciqfunctions.udf.CIQHI(MO.Ticker.CapIQ,"IQ_LASTSALEPRICE",INDEX(MO_SNA_FPStartDate,0,COLUMN()),INDEX(MO_Common_QEndDate,0,COLUMN())),"N/A")</f>
        <v>N/A</v>
      </c>
      <c r="BA895" s="464" t="str">
        <f t="array" aca="1" ref="BA895" ca="1">IFERROR(_xll.ciqfunctions.udf.CIQHI(MO.Ticker.CapIQ,"IQ_LASTSALEPRICE",INDEX(MO_SNA_FPStartDate,0,COLUMN()),INDEX(MO_Common_QEndDate,0,COLUMN())),"N/A")</f>
        <v>N/A</v>
      </c>
      <c r="BB895" s="464" t="str">
        <f t="array" aca="1" ref="BB895" ca="1">IFERROR(_xll.ciqfunctions.udf.CIQHI(MO.Ticker.CapIQ,"IQ_LASTSALEPRICE",INDEX(MO_SNA_FPStartDate,0,COLUMN()),INDEX(MO_Common_QEndDate,0,COLUMN())),"N/A")</f>
        <v>N/A</v>
      </c>
      <c r="BC895" s="464" t="str">
        <f t="array" aca="1" ref="BC895" ca="1">IFERROR(_xll.ciqfunctions.udf.CIQHI(MO.Ticker.CapIQ,"IQ_LASTSALEPRICE",INDEX(MO_SNA_FPStartDate,0,COLUMN()),INDEX(MO_Common_QEndDate,0,COLUMN())),"N/A")</f>
        <v>N/A</v>
      </c>
      <c r="BD895" s="464" t="str">
        <f t="array" aca="1" ref="BD895" ca="1">IFERROR(_xll.ciqfunctions.udf.CIQHI(MO.Ticker.CapIQ,"IQ_LASTSALEPRICE",INDEX(MO_SNA_FPStartDate,0,COLUMN()),INDEX(MO_Common_QEndDate,0,COLUMN())),"N/A")</f>
        <v>N/A</v>
      </c>
      <c r="BE895" s="464" t="str">
        <f t="array" aca="1" ref="BE895" ca="1">IFERROR(_xll.ciqfunctions.udf.CIQHI(MO.Ticker.CapIQ,"IQ_LASTSALEPRICE",INDEX(MO_SNA_FPStartDate,0,COLUMN()),INDEX(MO_Common_QEndDate,0,COLUMN())),"N/A")</f>
        <v>N/A</v>
      </c>
      <c r="BF895" s="464" t="str">
        <f t="array" aca="1" ref="BF895" ca="1">IFERROR(_xll.ciqfunctions.udf.CIQHI(MO.Ticker.CapIQ,"IQ_LASTSALEPRICE",INDEX(MO_SNA_FPStartDate,0,COLUMN()),INDEX(MO_Common_QEndDate,0,COLUMN())),"N/A")</f>
        <v>N/A</v>
      </c>
      <c r="BG895" s="464" t="str">
        <f t="array" aca="1" ref="BG895" ca="1">IFERROR(_xll.ciqfunctions.udf.CIQHI(MO.Ticker.CapIQ,"IQ_LASTSALEPRICE",INDEX(MO_SNA_FPStartDate,0,COLUMN()),INDEX(MO_Common_QEndDate,0,COLUMN())),"N/A")</f>
        <v>N/A</v>
      </c>
      <c r="BH895" s="464" t="str">
        <f t="array" aca="1" ref="BH895" ca="1">IFERROR(_xll.ciqfunctions.udf.CIQHI(MO.Ticker.CapIQ,"IQ_LASTSALEPRICE",INDEX(MO_SNA_FPStartDate,0,COLUMN()),INDEX(MO_Common_QEndDate,0,COLUMN())),"N/A")</f>
        <v>N/A</v>
      </c>
      <c r="BI895" s="564" t="str">
        <f t="array" aca="1" ref="BI895" ca="1">IFERROR(_xll.ciqfunctions.udf.CIQHI(MO.Ticker.CapIQ,"IQ_LASTSALEPRICE",INDEX(MO_SNA_FPStartDate,0,COLUMN()),INDEX(MO_Common_QEndDate,0,COLUMN())),"N/A")</f>
        <v>N/A</v>
      </c>
      <c r="BJ895" s="464" t="str">
        <f t="array" aca="1" ref="BJ895" ca="1">IFERROR(_xll.ciqfunctions.udf.CIQHI(MO.Ticker.CapIQ,"IQ_LASTSALEPRICE",INDEX(MO_SNA_FPStartDate,0,COLUMN()),INDEX(MO_Common_QEndDate,0,COLUMN())),"N/A")</f>
        <v>N/A</v>
      </c>
      <c r="BK895" s="464" t="str">
        <f t="array" aca="1" ref="BK895" ca="1">IFERROR(_xll.ciqfunctions.udf.CIQHI(MO.Ticker.CapIQ,"IQ_LASTSALEPRICE",INDEX(MO_SNA_FPStartDate,0,COLUMN()),INDEX(MO_Common_QEndDate,0,COLUMN())),"N/A")</f>
        <v>N/A</v>
      </c>
      <c r="BL895" s="464" t="str">
        <f t="array" aca="1" ref="BL895" ca="1">IFERROR(_xll.ciqfunctions.udf.CIQHI(MO.Ticker.CapIQ,"IQ_LASTSALEPRICE",INDEX(MO_SNA_FPStartDate,0,COLUMN()),INDEX(MO_Common_QEndDate,0,COLUMN())),"N/A")</f>
        <v>N/A</v>
      </c>
      <c r="BM895" s="464" t="str">
        <f t="array" aca="1" ref="BM895" ca="1">IFERROR(_xll.ciqfunctions.udf.CIQHI(MO.Ticker.CapIQ,"IQ_LASTSALEPRICE",INDEX(MO_SNA_FPStartDate,0,COLUMN()),INDEX(MO_Common_QEndDate,0,COLUMN())),"N/A")</f>
        <v>N/A</v>
      </c>
      <c r="BN895" s="464" t="str">
        <f t="array" aca="1" ref="BN895" ca="1">IFERROR(_xll.ciqfunctions.udf.CIQHI(MO.Ticker.CapIQ,"IQ_LASTSALEPRICE",INDEX(MO_SNA_FPStartDate,0,COLUMN()),INDEX(MO_Common_QEndDate,0,COLUMN())),"N/A")</f>
        <v>N/A</v>
      </c>
      <c r="BO895" s="464" t="str">
        <f t="array" aca="1" ref="BO895" ca="1">IFERROR(_xll.ciqfunctions.udf.CIQHI(MO.Ticker.CapIQ,"IQ_LASTSALEPRICE",INDEX(MO_SNA_FPStartDate,0,COLUMN()),INDEX(MO_Common_QEndDate,0,COLUMN())),"N/A")</f>
        <v>N/A</v>
      </c>
      <c r="BP895" s="464" t="str">
        <f t="array" aca="1" ref="BP895" ca="1">IFERROR(_xll.ciqfunctions.udf.CIQHI(MO.Ticker.CapIQ,"IQ_LASTSALEPRICE",INDEX(MO_SNA_FPStartDate,0,COLUMN()),INDEX(MO_Common_QEndDate,0,COLUMN())),"N/A")</f>
        <v>N/A</v>
      </c>
      <c r="BQ895" s="464" t="str">
        <f t="array" aca="1" ref="BQ895" ca="1">IFERROR(_xll.ciqfunctions.udf.CIQHI(MO.Ticker.CapIQ,"IQ_LASTSALEPRICE",INDEX(MO_SNA_FPStartDate,0,COLUMN()),INDEX(MO_Common_QEndDate,0,COLUMN())),"N/A")</f>
        <v>N/A</v>
      </c>
      <c r="BR895" s="464" t="str">
        <f t="array" aca="1" ref="BR895" ca="1">IFERROR(_xll.ciqfunctions.udf.CIQHI(MO.Ticker.CapIQ,"IQ_LASTSALEPRICE",INDEX(MO_SNA_FPStartDate,0,COLUMN()),INDEX(MO_Common_QEndDate,0,COLUMN())),"N/A")</f>
        <v>N/A</v>
      </c>
      <c r="BS895" s="464" t="str">
        <f t="array" aca="1" ref="BS895" ca="1">IFERROR(_xll.ciqfunctions.udf.CIQHI(MO.Ticker.CapIQ,"IQ_LASTSALEPRICE",INDEX(MO_SNA_FPStartDate,0,COLUMN()),INDEX(MO_Common_QEndDate,0,COLUMN())),"N/A")</f>
        <v>N/A</v>
      </c>
      <c r="BT895" s="464" t="str">
        <f t="array" aca="1" ref="BT895" ca="1">IFERROR(_xll.ciqfunctions.udf.CIQHI(MO.Ticker.CapIQ,"IQ_LASTSALEPRICE",INDEX(MO_SNA_FPStartDate,0,COLUMN()),INDEX(MO_Common_QEndDate,0,COLUMN())),"N/A")</f>
        <v>N/A</v>
      </c>
      <c r="BU895" s="464" t="str">
        <f t="array" aca="1" ref="BU895" ca="1">IFERROR(_xll.ciqfunctions.udf.CIQHI(MO.Ticker.CapIQ,"IQ_LASTSALEPRICE",INDEX(MO_SNA_FPStartDate,0,COLUMN()),INDEX(MO_Common_QEndDate,0,COLUMN())),"N/A")</f>
        <v>N/A</v>
      </c>
      <c r="BV895" s="565" t="str">
        <f t="array" aca="1" ref="BV895" ca="1">IFERROR(_xll.ciqfunctions.udf.CIQHI(MO.Ticker.CapIQ,"IQ_LASTSALEPRICE",INDEX(MO_SNA_FPStartDate,0,COLUMN()),INDEX(MO_Common_QEndDate,0,COLUMN())),"N/A")</f>
        <v>N/A</v>
      </c>
      <c r="BW895" s="566"/>
    </row>
    <row r="896" spans="1:75" ht="15.75" hidden="1" customHeight="1" outlineLevel="1" x14ac:dyDescent="0.2">
      <c r="A896" s="563" t="s">
        <v>937</v>
      </c>
      <c r="B896" s="464"/>
      <c r="C896" s="464" t="str">
        <f t="array" aca="1" ref="C896" ca="1">IFERROR(FDS(MO.Ticker.FactSet,"P_PRICE_HIGH"&amp;"("&amp;INDEX(MO_SNA_FPStartDate,0,COLUMN())&amp;","&amp;INDEX(MO_Common_QEndDate,0,COLUMN())&amp;",,,,""PRICE"",""CLOSE"")"),"N/A")</f>
        <v>N/A</v>
      </c>
      <c r="D896" s="464" t="str">
        <f t="array" aca="1" ref="D896" ca="1">IFERROR(FDS(MO.Ticker.FactSet,"P_PRICE_HIGH"&amp;"("&amp;INDEX(MO_SNA_FPStartDate,0,COLUMN())&amp;","&amp;INDEX(MO_Common_QEndDate,0,COLUMN())&amp;",,,,""PRICE"",""CLOSE"")"),"N/A")</f>
        <v>N/A</v>
      </c>
      <c r="E896" s="464" t="str">
        <f t="array" aca="1" ref="E896" ca="1">IFERROR(FDS(MO.Ticker.FactSet,"P_PRICE_HIGH"&amp;"("&amp;INDEX(MO_SNA_FPStartDate,0,COLUMN())&amp;","&amp;INDEX(MO_Common_QEndDate,0,COLUMN())&amp;",,,,""PRICE"",""CLOSE"")"),"N/A")</f>
        <v>N/A</v>
      </c>
      <c r="F896" s="464" t="str">
        <f t="array" aca="1" ref="F896" ca="1">IFERROR(FDS(MO.Ticker.FactSet,"P_PRICE_HIGH"&amp;"("&amp;INDEX(MO_SNA_FPStartDate,0,COLUMN())&amp;","&amp;INDEX(MO_Common_QEndDate,0,COLUMN())&amp;",,,,""PRICE"",""CLOSE"")"),"N/A")</f>
        <v>N/A</v>
      </c>
      <c r="G896" s="464" t="str">
        <f t="array" aca="1" ref="G896" ca="1">IFERROR(FDS(MO.Ticker.FactSet,"P_PRICE_HIGH"&amp;"("&amp;INDEX(MO_SNA_FPStartDate,0,COLUMN())&amp;","&amp;INDEX(MO_Common_QEndDate,0,COLUMN())&amp;",,,,""PRICE"",""CLOSE"")"),"N/A")</f>
        <v>N/A</v>
      </c>
      <c r="H896" s="464" t="str">
        <f t="array" aca="1" ref="H896" ca="1">IFERROR(FDS(MO.Ticker.FactSet,"P_PRICE_HIGH"&amp;"("&amp;INDEX(MO_SNA_FPStartDate,0,COLUMN())&amp;","&amp;INDEX(MO_Common_QEndDate,0,COLUMN())&amp;",,,,""PRICE"",""CLOSE"")"),"N/A")</f>
        <v>N/A</v>
      </c>
      <c r="I896" s="464" t="str">
        <f t="array" aca="1" ref="I896" ca="1">IFERROR(FDS(MO.Ticker.FactSet,"P_PRICE_HIGH"&amp;"("&amp;INDEX(MO_SNA_FPStartDate,0,COLUMN())&amp;","&amp;INDEX(MO_Common_QEndDate,0,COLUMN())&amp;",,,,""PRICE"",""CLOSE"")"),"N/A")</f>
        <v>N/A</v>
      </c>
      <c r="J896" s="464" t="str">
        <f t="array" aca="1" ref="J896" ca="1">IFERROR(FDS(MO.Ticker.FactSet,"P_PRICE_HIGH"&amp;"("&amp;INDEX(MO_SNA_FPStartDate,0,COLUMN())&amp;","&amp;INDEX(MO_Common_QEndDate,0,COLUMN())&amp;",,,,""PRICE"",""CLOSE"")"),"N/A")</f>
        <v>N/A</v>
      </c>
      <c r="K896" s="464" t="str">
        <f t="array" aca="1" ref="K896" ca="1">IFERROR(FDS(MO.Ticker.FactSet,"P_PRICE_HIGH"&amp;"("&amp;INDEX(MO_SNA_FPStartDate,0,COLUMN())&amp;","&amp;INDEX(MO_Common_QEndDate,0,COLUMN())&amp;",,,,""PRICE"",""CLOSE"")"),"N/A")</f>
        <v>N/A</v>
      </c>
      <c r="L896" s="464" t="str">
        <f t="array" aca="1" ref="L896" ca="1">IFERROR(FDS(MO.Ticker.FactSet,"P_PRICE_HIGH"&amp;"("&amp;INDEX(MO_SNA_FPStartDate,0,COLUMN())&amp;","&amp;INDEX(MO_Common_QEndDate,0,COLUMN())&amp;",,,,""PRICE"",""CLOSE"")"),"N/A")</f>
        <v>N/A</v>
      </c>
      <c r="M896" s="464" t="str">
        <f t="array" aca="1" ref="M896" ca="1">IFERROR(FDS(MO.Ticker.FactSet,"P_PRICE_HIGH"&amp;"("&amp;INDEX(MO_SNA_FPStartDate,0,COLUMN())&amp;","&amp;INDEX(MO_Common_QEndDate,0,COLUMN())&amp;",,,,""PRICE"",""CLOSE"")"),"N/A")</f>
        <v>N/A</v>
      </c>
      <c r="N896" s="464" t="str">
        <f t="array" aca="1" ref="N896" ca="1">IFERROR(FDS(MO.Ticker.FactSet,"P_PRICE_HIGH"&amp;"("&amp;INDEX(MO_SNA_FPStartDate,0,COLUMN())&amp;","&amp;INDEX(MO_Common_QEndDate,0,COLUMN())&amp;",,,,""PRICE"",""CLOSE"")"),"N/A")</f>
        <v>N/A</v>
      </c>
      <c r="O896" s="464" t="str">
        <f t="array" aca="1" ref="O896" ca="1">IFERROR(FDS(MO.Ticker.FactSet,"P_PRICE_HIGH"&amp;"("&amp;INDEX(MO_SNA_FPStartDate,0,COLUMN())&amp;","&amp;INDEX(MO_Common_QEndDate,0,COLUMN())&amp;",,,,""PRICE"",""CLOSE"")"),"N/A")</f>
        <v>N/A</v>
      </c>
      <c r="P896" s="464" t="str">
        <f t="array" aca="1" ref="P896" ca="1">IFERROR(FDS(MO.Ticker.FactSet,"P_PRICE_HIGH"&amp;"("&amp;INDEX(MO_SNA_FPStartDate,0,COLUMN())&amp;","&amp;INDEX(MO_Common_QEndDate,0,COLUMN())&amp;",,,,""PRICE"",""CLOSE"")"),"N/A")</f>
        <v>N/A</v>
      </c>
      <c r="Q896" s="464" t="str">
        <f t="array" aca="1" ref="Q896" ca="1">IFERROR(FDS(MO.Ticker.FactSet,"P_PRICE_HIGH"&amp;"("&amp;INDEX(MO_SNA_FPStartDate,0,COLUMN())&amp;","&amp;INDEX(MO_Common_QEndDate,0,COLUMN())&amp;",,,,""PRICE"",""CLOSE"")"),"N/A")</f>
        <v>N/A</v>
      </c>
      <c r="R896" s="464" t="str">
        <f t="array" aca="1" ref="R896" ca="1">IFERROR(FDS(MO.Ticker.FactSet,"P_PRICE_HIGH"&amp;"("&amp;INDEX(MO_SNA_FPStartDate,0,COLUMN())&amp;","&amp;INDEX(MO_Common_QEndDate,0,COLUMN())&amp;",,,,""PRICE"",""CLOSE"")"),"N/A")</f>
        <v>N/A</v>
      </c>
      <c r="S896" s="464" t="str">
        <f t="array" aca="1" ref="S896" ca="1">IFERROR(FDS(MO.Ticker.FactSet,"P_PRICE_HIGH"&amp;"("&amp;INDEX(MO_SNA_FPStartDate,0,COLUMN())&amp;","&amp;INDEX(MO_Common_QEndDate,0,COLUMN())&amp;",,,,""PRICE"",""CLOSE"")"),"N/A")</f>
        <v>N/A</v>
      </c>
      <c r="T896" s="464" t="str">
        <f t="array" aca="1" ref="T896" ca="1">IFERROR(FDS(MO.Ticker.FactSet,"P_PRICE_HIGH"&amp;"("&amp;INDEX(MO_SNA_FPStartDate,0,COLUMN())&amp;","&amp;INDEX(MO_Common_QEndDate,0,COLUMN())&amp;",,,,""PRICE"",""CLOSE"")"),"N/A")</f>
        <v>N/A</v>
      </c>
      <c r="U896" s="464" t="str">
        <f t="array" aca="1" ref="U896" ca="1">IFERROR(FDS(MO.Ticker.FactSet,"P_PRICE_HIGH"&amp;"("&amp;INDEX(MO_SNA_FPStartDate,0,COLUMN())&amp;","&amp;INDEX(MO_Common_QEndDate,0,COLUMN())&amp;",,,,""PRICE"",""CLOSE"")"),"N/A")</f>
        <v>N/A</v>
      </c>
      <c r="V896" s="464" t="str">
        <f t="array" aca="1" ref="V896" ca="1">IFERROR(FDS(MO.Ticker.FactSet,"P_PRICE_HIGH"&amp;"("&amp;INDEX(MO_SNA_FPStartDate,0,COLUMN())&amp;","&amp;INDEX(MO_Common_QEndDate,0,COLUMN())&amp;",,,,""PRICE"",""CLOSE"")"),"N/A")</f>
        <v>N/A</v>
      </c>
      <c r="W896" s="464" t="str">
        <f t="array" aca="1" ref="W896" ca="1">IFERROR(FDS(MO.Ticker.FactSet,"P_PRICE_HIGH"&amp;"("&amp;INDEX(MO_SNA_FPStartDate,0,COLUMN())&amp;","&amp;INDEX(MO_Common_QEndDate,0,COLUMN())&amp;",,,,""PRICE"",""CLOSE"")"),"N/A")</f>
        <v>N/A</v>
      </c>
      <c r="X896" s="464" t="str">
        <f t="array" aca="1" ref="X896" ca="1">IFERROR(FDS(MO.Ticker.FactSet,"P_PRICE_HIGH"&amp;"("&amp;INDEX(MO_SNA_FPStartDate,0,COLUMN())&amp;","&amp;INDEX(MO_Common_QEndDate,0,COLUMN())&amp;",,,,""PRICE"",""CLOSE"")"),"N/A")</f>
        <v>N/A</v>
      </c>
      <c r="Y896" s="464" t="str">
        <f t="array" aca="1" ref="Y896" ca="1">IFERROR(FDS(MO.Ticker.FactSet,"P_PRICE_HIGH"&amp;"("&amp;INDEX(MO_SNA_FPStartDate,0,COLUMN())&amp;","&amp;INDEX(MO_Common_QEndDate,0,COLUMN())&amp;",,,,""PRICE"",""CLOSE"")"),"N/A")</f>
        <v>N/A</v>
      </c>
      <c r="Z896" s="464" t="str">
        <f t="array" aca="1" ref="Z896" ca="1">IFERROR(FDS(MO.Ticker.FactSet,"P_PRICE_HIGH"&amp;"("&amp;INDEX(MO_SNA_FPStartDate,0,COLUMN())&amp;","&amp;INDEX(MO_Common_QEndDate,0,COLUMN())&amp;",,,,""PRICE"",""CLOSE"")"),"N/A")</f>
        <v>N/A</v>
      </c>
      <c r="AA896" s="464" t="str">
        <f t="array" aca="1" ref="AA896" ca="1">IFERROR(FDS(MO.Ticker.FactSet,"P_PRICE_HIGH"&amp;"("&amp;INDEX(MO_SNA_FPStartDate,0,COLUMN())&amp;","&amp;INDEX(MO_Common_QEndDate,0,COLUMN())&amp;",,,,""PRICE"",""CLOSE"")"),"N/A")</f>
        <v>N/A</v>
      </c>
      <c r="AB896" s="464" t="str">
        <f t="array" aca="1" ref="AB896" ca="1">IFERROR(FDS(MO.Ticker.FactSet,"P_PRICE_HIGH"&amp;"("&amp;INDEX(MO_SNA_FPStartDate,0,COLUMN())&amp;","&amp;INDEX(MO_Common_QEndDate,0,COLUMN())&amp;",,,,""PRICE"",""CLOSE"")"),"N/A")</f>
        <v>N/A</v>
      </c>
      <c r="AC896" s="464" t="str">
        <f t="array" aca="1" ref="AC896" ca="1">IFERROR(FDS(MO.Ticker.FactSet,"P_PRICE_HIGH"&amp;"("&amp;INDEX(MO_SNA_FPStartDate,0,COLUMN())&amp;","&amp;INDEX(MO_Common_QEndDate,0,COLUMN())&amp;",,,,""PRICE"",""CLOSE"")"),"N/A")</f>
        <v>N/A</v>
      </c>
      <c r="AD896" s="464" t="str">
        <f t="array" aca="1" ref="AD896" ca="1">IFERROR(FDS(MO.Ticker.FactSet,"P_PRICE_HIGH"&amp;"("&amp;INDEX(MO_SNA_FPStartDate,0,COLUMN())&amp;","&amp;INDEX(MO_Common_QEndDate,0,COLUMN())&amp;",,,,""PRICE"",""CLOSE"")"),"N/A")</f>
        <v>N/A</v>
      </c>
      <c r="AE896" s="464" t="str">
        <f t="array" aca="1" ref="AE896" ca="1">IFERROR(FDS(MO.Ticker.FactSet,"P_PRICE_HIGH"&amp;"("&amp;INDEX(MO_SNA_FPStartDate,0,COLUMN())&amp;","&amp;INDEX(MO_Common_QEndDate,0,COLUMN())&amp;",,,,""PRICE"",""CLOSE"")"),"N/A")</f>
        <v>N/A</v>
      </c>
      <c r="AF896" s="464" t="str">
        <f t="array" aca="1" ref="AF896" ca="1">IFERROR(FDS(MO.Ticker.FactSet,"P_PRICE_HIGH"&amp;"("&amp;INDEX(MO_SNA_FPStartDate,0,COLUMN())&amp;","&amp;INDEX(MO_Common_QEndDate,0,COLUMN())&amp;",,,,""PRICE"",""CLOSE"")"),"N/A")</f>
        <v>N/A</v>
      </c>
      <c r="AG896" s="464" t="str">
        <f t="array" aca="1" ref="AG896" ca="1">IFERROR(FDS(MO.Ticker.FactSet,"P_PRICE_HIGH"&amp;"("&amp;INDEX(MO_SNA_FPStartDate,0,COLUMN())&amp;","&amp;INDEX(MO_Common_QEndDate,0,COLUMN())&amp;",,,,""PRICE"",""CLOSE"")"),"N/A")</f>
        <v>N/A</v>
      </c>
      <c r="AH896" s="464" t="str">
        <f t="array" aca="1" ref="AH896" ca="1">IFERROR(FDS(MO.Ticker.FactSet,"P_PRICE_HIGH"&amp;"("&amp;INDEX(MO_SNA_FPStartDate,0,COLUMN())&amp;","&amp;INDEX(MO_Common_QEndDate,0,COLUMN())&amp;",,,,""PRICE"",""CLOSE"")"),"N/A")</f>
        <v>N/A</v>
      </c>
      <c r="AI896" s="464" t="str">
        <f t="array" aca="1" ref="AI896" ca="1">IFERROR(FDS(MO.Ticker.FactSet,"P_PRICE_HIGH"&amp;"("&amp;INDEX(MO_SNA_FPStartDate,0,COLUMN())&amp;","&amp;INDEX(MO_Common_QEndDate,0,COLUMN())&amp;",,,,""PRICE"",""CLOSE"")"),"N/A")</f>
        <v>N/A</v>
      </c>
      <c r="AJ896" s="464" t="str">
        <f t="array" aca="1" ref="AJ896" ca="1">IFERROR(FDS(MO.Ticker.FactSet,"P_PRICE_HIGH"&amp;"("&amp;INDEX(MO_SNA_FPStartDate,0,COLUMN())&amp;","&amp;INDEX(MO_Common_QEndDate,0,COLUMN())&amp;",,,,""PRICE"",""CLOSE"")"),"N/A")</f>
        <v>N/A</v>
      </c>
      <c r="AK896" s="464" t="str">
        <f t="array" aca="1" ref="AK896" ca="1">IFERROR(FDS(MO.Ticker.FactSet,"P_PRICE_HIGH"&amp;"("&amp;INDEX(MO_SNA_FPStartDate,0,COLUMN())&amp;","&amp;INDEX(MO_Common_QEndDate,0,COLUMN())&amp;",,,,""PRICE"",""CLOSE"")"),"N/A")</f>
        <v>N/A</v>
      </c>
      <c r="AL896" s="464" t="str">
        <f t="array" aca="1" ref="AL896" ca="1">IFERROR(FDS(MO.Ticker.FactSet,"P_PRICE_HIGH"&amp;"("&amp;INDEX(MO_SNA_FPStartDate,0,COLUMN())&amp;","&amp;INDEX(MO_Common_QEndDate,0,COLUMN())&amp;",,,,""PRICE"",""CLOSE"")"),"N/A")</f>
        <v>N/A</v>
      </c>
      <c r="AM896" s="464" t="str">
        <f t="array" aca="1" ref="AM896" ca="1">IFERROR(FDS(MO.Ticker.FactSet,"P_PRICE_HIGH"&amp;"("&amp;INDEX(MO_SNA_FPStartDate,0,COLUMN())&amp;","&amp;INDEX(MO_Common_QEndDate,0,COLUMN())&amp;",,,,""PRICE"",""CLOSE"")"),"N/A")</f>
        <v>N/A</v>
      </c>
      <c r="AN896" s="464" t="str">
        <f t="array" aca="1" ref="AN896" ca="1">IFERROR(FDS(MO.Ticker.FactSet,"P_PRICE_HIGH"&amp;"("&amp;INDEX(MO_SNA_FPStartDate,0,COLUMN())&amp;","&amp;INDEX(MO_Common_QEndDate,0,COLUMN())&amp;",,,,""PRICE"",""CLOSE"")"),"N/A")</f>
        <v>N/A</v>
      </c>
      <c r="AO896" s="464" t="str">
        <f t="array" aca="1" ref="AO896" ca="1">IFERROR(FDS(MO.Ticker.FactSet,"P_PRICE_HIGH"&amp;"("&amp;INDEX(MO_SNA_FPStartDate,0,COLUMN())&amp;","&amp;INDEX(MO_Common_QEndDate,0,COLUMN())&amp;",,,,""PRICE"",""CLOSE"")"),"N/A")</f>
        <v>N/A</v>
      </c>
      <c r="AP896" s="464" t="str">
        <f t="array" aca="1" ref="AP896" ca="1">IFERROR(FDS(MO.Ticker.FactSet,"P_PRICE_HIGH"&amp;"("&amp;INDEX(MO_SNA_FPStartDate,0,COLUMN())&amp;","&amp;INDEX(MO_Common_QEndDate,0,COLUMN())&amp;",,,,""PRICE"",""CLOSE"")"),"N/A")</f>
        <v>N/A</v>
      </c>
      <c r="AQ896" s="464" t="str">
        <f t="array" aca="1" ref="AQ896" ca="1">IFERROR(FDS(MO.Ticker.FactSet,"P_PRICE_HIGH"&amp;"("&amp;INDEX(MO_SNA_FPStartDate,0,COLUMN())&amp;","&amp;INDEX(MO_Common_QEndDate,0,COLUMN())&amp;",,,,""PRICE"",""CLOSE"")"),"N/A")</f>
        <v>N/A</v>
      </c>
      <c r="AR896" s="464" t="str">
        <f t="array" aca="1" ref="AR896" ca="1">IFERROR(FDS(MO.Ticker.FactSet,"P_PRICE_HIGH"&amp;"("&amp;INDEX(MO_SNA_FPStartDate,0,COLUMN())&amp;","&amp;INDEX(MO_Common_QEndDate,0,COLUMN())&amp;",,,,""PRICE"",""CLOSE"")"),"N/A")</f>
        <v>N/A</v>
      </c>
      <c r="AS896" s="464" t="str">
        <f t="array" aca="1" ref="AS896" ca="1">IFERROR(FDS(MO.Ticker.FactSet,"P_PRICE_HIGH"&amp;"("&amp;INDEX(MO_SNA_FPStartDate,0,COLUMN())&amp;","&amp;INDEX(MO_Common_QEndDate,0,COLUMN())&amp;",,,,""PRICE"",""CLOSE"")"),"N/A")</f>
        <v>N/A</v>
      </c>
      <c r="AT896" s="464" t="str">
        <f t="array" aca="1" ref="AT896" ca="1">IFERROR(FDS(MO.Ticker.FactSet,"P_PRICE_HIGH"&amp;"("&amp;INDEX(MO_SNA_FPStartDate,0,COLUMN())&amp;","&amp;INDEX(MO_Common_QEndDate,0,COLUMN())&amp;",,,,""PRICE"",""CLOSE"")"),"N/A")</f>
        <v>N/A</v>
      </c>
      <c r="AU896" s="464" t="str">
        <f t="array" aca="1" ref="AU896" ca="1">IFERROR(FDS(MO.Ticker.FactSet,"P_PRICE_HIGH"&amp;"("&amp;INDEX(MO_SNA_FPStartDate,0,COLUMN())&amp;","&amp;INDEX(MO_Common_QEndDate,0,COLUMN())&amp;",,,,""PRICE"",""CLOSE"")"),"N/A")</f>
        <v>N/A</v>
      </c>
      <c r="AV896" s="464" t="str">
        <f t="array" aca="1" ref="AV896" ca="1">IFERROR(FDS(MO.Ticker.FactSet,"P_PRICE_HIGH"&amp;"("&amp;INDEX(MO_SNA_FPStartDate,0,COLUMN())&amp;","&amp;INDEX(MO_Common_QEndDate,0,COLUMN())&amp;",,,,""PRICE"",""CLOSE"")"),"N/A")</f>
        <v>N/A</v>
      </c>
      <c r="AW896" s="464" t="str">
        <f t="array" aca="1" ref="AW896" ca="1">IFERROR(FDS(MO.Ticker.FactSet,"P_PRICE_HIGH"&amp;"("&amp;INDEX(MO_SNA_FPStartDate,0,COLUMN())&amp;","&amp;INDEX(MO_Common_QEndDate,0,COLUMN())&amp;",,,,""PRICE"",""CLOSE"")"),"N/A")</f>
        <v>N/A</v>
      </c>
      <c r="AX896" s="464" t="str">
        <f t="array" aca="1" ref="AX896" ca="1">IFERROR(FDS(MO.Ticker.FactSet,"P_PRICE_HIGH"&amp;"("&amp;INDEX(MO_SNA_FPStartDate,0,COLUMN())&amp;","&amp;INDEX(MO_Common_QEndDate,0,COLUMN())&amp;",,,,""PRICE"",""CLOSE"")"),"N/A")</f>
        <v>N/A</v>
      </c>
      <c r="AY896" s="464" t="str">
        <f t="array" aca="1" ref="AY896" ca="1">IFERROR(FDS(MO.Ticker.FactSet,"P_PRICE_HIGH"&amp;"("&amp;INDEX(MO_SNA_FPStartDate,0,COLUMN())&amp;","&amp;INDEX(MO_Common_QEndDate,0,COLUMN())&amp;",,,,""PRICE"",""CLOSE"")"),"N/A")</f>
        <v>N/A</v>
      </c>
      <c r="AZ896" s="464" t="str">
        <f t="array" aca="1" ref="AZ896" ca="1">IFERROR(FDS(MO.Ticker.FactSet,"P_PRICE_HIGH"&amp;"("&amp;INDEX(MO_SNA_FPStartDate,0,COLUMN())&amp;","&amp;INDEX(MO_Common_QEndDate,0,COLUMN())&amp;",,,,""PRICE"",""CLOSE"")"),"N/A")</f>
        <v>N/A</v>
      </c>
      <c r="BA896" s="464" t="str">
        <f t="array" aca="1" ref="BA896" ca="1">IFERROR(FDS(MO.Ticker.FactSet,"P_PRICE_HIGH"&amp;"("&amp;INDEX(MO_SNA_FPStartDate,0,COLUMN())&amp;","&amp;INDEX(MO_Common_QEndDate,0,COLUMN())&amp;",,,,""PRICE"",""CLOSE"")"),"N/A")</f>
        <v>N/A</v>
      </c>
      <c r="BB896" s="464" t="str">
        <f t="array" aca="1" ref="BB896" ca="1">IFERROR(FDS(MO.Ticker.FactSet,"P_PRICE_HIGH"&amp;"("&amp;INDEX(MO_SNA_FPStartDate,0,COLUMN())&amp;","&amp;INDEX(MO_Common_QEndDate,0,COLUMN())&amp;",,,,""PRICE"",""CLOSE"")"),"N/A")</f>
        <v>N/A</v>
      </c>
      <c r="BC896" s="464" t="str">
        <f t="array" aca="1" ref="BC896" ca="1">IFERROR(FDS(MO.Ticker.FactSet,"P_PRICE_HIGH"&amp;"("&amp;INDEX(MO_SNA_FPStartDate,0,COLUMN())&amp;","&amp;INDEX(MO_Common_QEndDate,0,COLUMN())&amp;",,,,""PRICE"",""CLOSE"")"),"N/A")</f>
        <v>N/A</v>
      </c>
      <c r="BD896" s="464" t="str">
        <f t="array" aca="1" ref="BD896" ca="1">IFERROR(FDS(MO.Ticker.FactSet,"P_PRICE_HIGH"&amp;"("&amp;INDEX(MO_SNA_FPStartDate,0,COLUMN())&amp;","&amp;INDEX(MO_Common_QEndDate,0,COLUMN())&amp;",,,,""PRICE"",""CLOSE"")"),"N/A")</f>
        <v>N/A</v>
      </c>
      <c r="BE896" s="464" t="str">
        <f t="array" aca="1" ref="BE896" ca="1">IFERROR(FDS(MO.Ticker.FactSet,"P_PRICE_HIGH"&amp;"("&amp;INDEX(MO_SNA_FPStartDate,0,COLUMN())&amp;","&amp;INDEX(MO_Common_QEndDate,0,COLUMN())&amp;",,,,""PRICE"",""CLOSE"")"),"N/A")</f>
        <v>N/A</v>
      </c>
      <c r="BF896" s="464" t="str">
        <f t="array" aca="1" ref="BF896" ca="1">IFERROR(FDS(MO.Ticker.FactSet,"P_PRICE_HIGH"&amp;"("&amp;INDEX(MO_SNA_FPStartDate,0,COLUMN())&amp;","&amp;INDEX(MO_Common_QEndDate,0,COLUMN())&amp;",,,,""PRICE"",""CLOSE"")"),"N/A")</f>
        <v>N/A</v>
      </c>
      <c r="BG896" s="464" t="str">
        <f t="array" aca="1" ref="BG896" ca="1">IFERROR(FDS(MO.Ticker.FactSet,"P_PRICE_HIGH"&amp;"("&amp;INDEX(MO_SNA_FPStartDate,0,COLUMN())&amp;","&amp;INDEX(MO_Common_QEndDate,0,COLUMN())&amp;",,,,""PRICE"",""CLOSE"")"),"N/A")</f>
        <v>N/A</v>
      </c>
      <c r="BH896" s="464" t="str">
        <f t="array" aca="1" ref="BH896" ca="1">IFERROR(FDS(MO.Ticker.FactSet,"P_PRICE_HIGH"&amp;"("&amp;INDEX(MO_SNA_FPStartDate,0,COLUMN())&amp;","&amp;INDEX(MO_Common_QEndDate,0,COLUMN())&amp;",,,,""PRICE"",""CLOSE"")"),"N/A")</f>
        <v>N/A</v>
      </c>
      <c r="BI896" s="564" t="str">
        <f t="array" aca="1" ref="BI896" ca="1">IFERROR(FDS(MO.Ticker.FactSet,"P_PRICE_HIGH"&amp;"("&amp;INDEX(MO_SNA_FPStartDate,0,COLUMN())&amp;","&amp;INDEX(MO_Common_QEndDate,0,COLUMN())&amp;",,,,""PRICE"",""CLOSE"")"),"N/A")</f>
        <v>N/A</v>
      </c>
      <c r="BJ896" s="464" t="str">
        <f t="array" aca="1" ref="BJ896" ca="1">IFERROR(FDS(MO.Ticker.FactSet,"P_PRICE_HIGH"&amp;"("&amp;INDEX(MO_SNA_FPStartDate,0,COLUMN())&amp;","&amp;INDEX(MO_Common_QEndDate,0,COLUMN())&amp;",,,,""PRICE"",""CLOSE"")"),"N/A")</f>
        <v>N/A</v>
      </c>
      <c r="BK896" s="464" t="str">
        <f t="array" aca="1" ref="BK896" ca="1">IFERROR(FDS(MO.Ticker.FactSet,"P_PRICE_HIGH"&amp;"("&amp;INDEX(MO_SNA_FPStartDate,0,COLUMN())&amp;","&amp;INDEX(MO_Common_QEndDate,0,COLUMN())&amp;",,,,""PRICE"",""CLOSE"")"),"N/A")</f>
        <v>N/A</v>
      </c>
      <c r="BL896" s="464" t="str">
        <f t="array" aca="1" ref="BL896" ca="1">IFERROR(FDS(MO.Ticker.FactSet,"P_PRICE_HIGH"&amp;"("&amp;INDEX(MO_SNA_FPStartDate,0,COLUMN())&amp;","&amp;INDEX(MO_Common_QEndDate,0,COLUMN())&amp;",,,,""PRICE"",""CLOSE"")"),"N/A")</f>
        <v>N/A</v>
      </c>
      <c r="BM896" s="464" t="str">
        <f t="array" aca="1" ref="BM896" ca="1">IFERROR(FDS(MO.Ticker.FactSet,"P_PRICE_HIGH"&amp;"("&amp;INDEX(MO_SNA_FPStartDate,0,COLUMN())&amp;","&amp;INDEX(MO_Common_QEndDate,0,COLUMN())&amp;",,,,""PRICE"",""CLOSE"")"),"N/A")</f>
        <v>N/A</v>
      </c>
      <c r="BN896" s="464" t="str">
        <f t="array" aca="1" ref="BN896" ca="1">IFERROR(FDS(MO.Ticker.FactSet,"P_PRICE_HIGH"&amp;"("&amp;INDEX(MO_SNA_FPStartDate,0,COLUMN())&amp;","&amp;INDEX(MO_Common_QEndDate,0,COLUMN())&amp;",,,,""PRICE"",""CLOSE"")"),"N/A")</f>
        <v>N/A</v>
      </c>
      <c r="BO896" s="464" t="str">
        <f t="array" aca="1" ref="BO896" ca="1">IFERROR(FDS(MO.Ticker.FactSet,"P_PRICE_HIGH"&amp;"("&amp;INDEX(MO_SNA_FPStartDate,0,COLUMN())&amp;","&amp;INDEX(MO_Common_QEndDate,0,COLUMN())&amp;",,,,""PRICE"",""CLOSE"")"),"N/A")</f>
        <v>N/A</v>
      </c>
      <c r="BP896" s="464" t="str">
        <f t="array" aca="1" ref="BP896" ca="1">IFERROR(FDS(MO.Ticker.FactSet,"P_PRICE_HIGH"&amp;"("&amp;INDEX(MO_SNA_FPStartDate,0,COLUMN())&amp;","&amp;INDEX(MO_Common_QEndDate,0,COLUMN())&amp;",,,,""PRICE"",""CLOSE"")"),"N/A")</f>
        <v>N/A</v>
      </c>
      <c r="BQ896" s="464" t="str">
        <f t="array" aca="1" ref="BQ896" ca="1">IFERROR(FDS(MO.Ticker.FactSet,"P_PRICE_HIGH"&amp;"("&amp;INDEX(MO_SNA_FPStartDate,0,COLUMN())&amp;","&amp;INDEX(MO_Common_QEndDate,0,COLUMN())&amp;",,,,""PRICE"",""CLOSE"")"),"N/A")</f>
        <v>N/A</v>
      </c>
      <c r="BR896" s="464" t="str">
        <f t="array" aca="1" ref="BR896" ca="1">IFERROR(FDS(MO.Ticker.FactSet,"P_PRICE_HIGH"&amp;"("&amp;INDEX(MO_SNA_FPStartDate,0,COLUMN())&amp;","&amp;INDEX(MO_Common_QEndDate,0,COLUMN())&amp;",,,,""PRICE"",""CLOSE"")"),"N/A")</f>
        <v>N/A</v>
      </c>
      <c r="BS896" s="464" t="str">
        <f t="array" aca="1" ref="BS896" ca="1">IFERROR(FDS(MO.Ticker.FactSet,"P_PRICE_HIGH"&amp;"("&amp;INDEX(MO_SNA_FPStartDate,0,COLUMN())&amp;","&amp;INDEX(MO_Common_QEndDate,0,COLUMN())&amp;",,,,""PRICE"",""CLOSE"")"),"N/A")</f>
        <v>N/A</v>
      </c>
      <c r="BT896" s="464" t="str">
        <f t="array" aca="1" ref="BT896" ca="1">IFERROR(FDS(MO.Ticker.FactSet,"P_PRICE_HIGH"&amp;"("&amp;INDEX(MO_SNA_FPStartDate,0,COLUMN())&amp;","&amp;INDEX(MO_Common_QEndDate,0,COLUMN())&amp;",,,,""PRICE"",""CLOSE"")"),"N/A")</f>
        <v>N/A</v>
      </c>
      <c r="BU896" s="464" t="str">
        <f t="array" aca="1" ref="BU896" ca="1">IFERROR(FDS(MO.Ticker.FactSet,"P_PRICE_HIGH"&amp;"("&amp;INDEX(MO_SNA_FPStartDate,0,COLUMN())&amp;","&amp;INDEX(MO_Common_QEndDate,0,COLUMN())&amp;",,,,""PRICE"",""CLOSE"")"),"N/A")</f>
        <v>N/A</v>
      </c>
      <c r="BV896" s="565" t="str">
        <f t="array" aca="1" ref="BV896" ca="1">IFERROR(FDS(MO.Ticker.FactSet,"P_PRICE_HIGH"&amp;"("&amp;INDEX(MO_SNA_FPStartDate,0,COLUMN())&amp;","&amp;INDEX(MO_Common_QEndDate,0,COLUMN())&amp;",,,,""PRICE"",""CLOSE"")"),"N/A")</f>
        <v>N/A</v>
      </c>
      <c r="BW896" s="566"/>
    </row>
    <row r="897" spans="1:75" ht="15.75" hidden="1" customHeight="1" outlineLevel="1" x14ac:dyDescent="0.2">
      <c r="A897" s="563" t="s">
        <v>938</v>
      </c>
      <c r="B897" s="464"/>
      <c r="C897" s="464" t="str">
        <f t="array" aca="1" ref="C897" ca="1">IFERROR(_xll.TR(MO.Ticker.Thomson,"MAX(TR.Pricehigh)","sdate:#1 edate:#2",,INDEX(MO_SNA_FPStartDate,0,COLUMN()),INDEX(MO_Common_QEndDate,0,COLUMN())),"N/A")</f>
        <v>N/A</v>
      </c>
      <c r="D897" s="464" t="str">
        <f t="array" aca="1" ref="D897" ca="1">IFERROR(_xll.TR(MO.Ticker.Thomson,"MAX(TR.Pricehigh)","sdate:#1 edate:#2",,INDEX(MO_SNA_FPStartDate,0,COLUMN()),INDEX(MO_Common_QEndDate,0,COLUMN())),"N/A")</f>
        <v>N/A</v>
      </c>
      <c r="E897" s="464" t="str">
        <f t="array" aca="1" ref="E897" ca="1">IFERROR(_xll.TR(MO.Ticker.Thomson,"MAX(TR.Pricehigh)","sdate:#1 edate:#2",,INDEX(MO_SNA_FPStartDate,0,COLUMN()),INDEX(MO_Common_QEndDate,0,COLUMN())),"N/A")</f>
        <v>N/A</v>
      </c>
      <c r="F897" s="464" t="str">
        <f t="array" aca="1" ref="F897" ca="1">IFERROR(_xll.TR(MO.Ticker.Thomson,"MAX(TR.Pricehigh)","sdate:#1 edate:#2",,INDEX(MO_SNA_FPStartDate,0,COLUMN()),INDEX(MO_Common_QEndDate,0,COLUMN())),"N/A")</f>
        <v>N/A</v>
      </c>
      <c r="G897" s="464" t="str">
        <f t="array" aca="1" ref="G897" ca="1">IFERROR(_xll.TR(MO.Ticker.Thomson,"MAX(TR.Pricehigh)","sdate:#1 edate:#2",,INDEX(MO_SNA_FPStartDate,0,COLUMN()),INDEX(MO_Common_QEndDate,0,COLUMN())),"N/A")</f>
        <v>N/A</v>
      </c>
      <c r="H897" s="464" t="str">
        <f t="array" aca="1" ref="H897" ca="1">IFERROR(_xll.TR(MO.Ticker.Thomson,"MAX(TR.Pricehigh)","sdate:#1 edate:#2",,INDEX(MO_SNA_FPStartDate,0,COLUMN()),INDEX(MO_Common_QEndDate,0,COLUMN())),"N/A")</f>
        <v>N/A</v>
      </c>
      <c r="I897" s="464" t="str">
        <f t="array" aca="1" ref="I897" ca="1">IFERROR(_xll.TR(MO.Ticker.Thomson,"MAX(TR.Pricehigh)","sdate:#1 edate:#2",,INDEX(MO_SNA_FPStartDate,0,COLUMN()),INDEX(MO_Common_QEndDate,0,COLUMN())),"N/A")</f>
        <v>N/A</v>
      </c>
      <c r="J897" s="464" t="str">
        <f t="array" aca="1" ref="J897" ca="1">IFERROR(_xll.TR(MO.Ticker.Thomson,"MAX(TR.Pricehigh)","sdate:#1 edate:#2",,INDEX(MO_SNA_FPStartDate,0,COLUMN()),INDEX(MO_Common_QEndDate,0,COLUMN())),"N/A")</f>
        <v>N/A</v>
      </c>
      <c r="K897" s="464" t="str">
        <f t="array" aca="1" ref="K897" ca="1">IFERROR(_xll.TR(MO.Ticker.Thomson,"MAX(TR.Pricehigh)","sdate:#1 edate:#2",,INDEX(MO_SNA_FPStartDate,0,COLUMN()),INDEX(MO_Common_QEndDate,0,COLUMN())),"N/A")</f>
        <v>N/A</v>
      </c>
      <c r="L897" s="464" t="str">
        <f t="array" aca="1" ref="L897" ca="1">IFERROR(_xll.TR(MO.Ticker.Thomson,"MAX(TR.Pricehigh)","sdate:#1 edate:#2",,INDEX(MO_SNA_FPStartDate,0,COLUMN()),INDEX(MO_Common_QEndDate,0,COLUMN())),"N/A")</f>
        <v>N/A</v>
      </c>
      <c r="M897" s="464" t="str">
        <f t="array" aca="1" ref="M897" ca="1">IFERROR(_xll.TR(MO.Ticker.Thomson,"MAX(TR.Pricehigh)","sdate:#1 edate:#2",,INDEX(MO_SNA_FPStartDate,0,COLUMN()),INDEX(MO_Common_QEndDate,0,COLUMN())),"N/A")</f>
        <v>N/A</v>
      </c>
      <c r="N897" s="464" t="str">
        <f t="array" aca="1" ref="N897" ca="1">IFERROR(_xll.TR(MO.Ticker.Thomson,"MAX(TR.Pricehigh)","sdate:#1 edate:#2",,INDEX(MO_SNA_FPStartDate,0,COLUMN()),INDEX(MO_Common_QEndDate,0,COLUMN())),"N/A")</f>
        <v>N/A</v>
      </c>
      <c r="O897" s="464" t="str">
        <f t="array" aca="1" ref="O897" ca="1">IFERROR(_xll.TR(MO.Ticker.Thomson,"MAX(TR.Pricehigh)","sdate:#1 edate:#2",,INDEX(MO_SNA_FPStartDate,0,COLUMN()),INDEX(MO_Common_QEndDate,0,COLUMN())),"N/A")</f>
        <v>N/A</v>
      </c>
      <c r="P897" s="464" t="str">
        <f t="array" aca="1" ref="P897" ca="1">IFERROR(_xll.TR(MO.Ticker.Thomson,"MAX(TR.Pricehigh)","sdate:#1 edate:#2",,INDEX(MO_SNA_FPStartDate,0,COLUMN()),INDEX(MO_Common_QEndDate,0,COLUMN())),"N/A")</f>
        <v>N/A</v>
      </c>
      <c r="Q897" s="464" t="str">
        <f t="array" aca="1" ref="Q897" ca="1">IFERROR(_xll.TR(MO.Ticker.Thomson,"MAX(TR.Pricehigh)","sdate:#1 edate:#2",,INDEX(MO_SNA_FPStartDate,0,COLUMN()),INDEX(MO_Common_QEndDate,0,COLUMN())),"N/A")</f>
        <v>N/A</v>
      </c>
      <c r="R897" s="464" t="str">
        <f t="array" aca="1" ref="R897" ca="1">IFERROR(_xll.TR(MO.Ticker.Thomson,"MAX(TR.Pricehigh)","sdate:#1 edate:#2",,INDEX(MO_SNA_FPStartDate,0,COLUMN()),INDEX(MO_Common_QEndDate,0,COLUMN())),"N/A")</f>
        <v>N/A</v>
      </c>
      <c r="S897" s="464" t="str">
        <f t="array" aca="1" ref="S897" ca="1">IFERROR(_xll.TR(MO.Ticker.Thomson,"MAX(TR.Pricehigh)","sdate:#1 edate:#2",,INDEX(MO_SNA_FPStartDate,0,COLUMN()),INDEX(MO_Common_QEndDate,0,COLUMN())),"N/A")</f>
        <v>N/A</v>
      </c>
      <c r="T897" s="464" t="str">
        <f t="array" aca="1" ref="T897" ca="1">IFERROR(_xll.TR(MO.Ticker.Thomson,"MAX(TR.Pricehigh)","sdate:#1 edate:#2",,INDEX(MO_SNA_FPStartDate,0,COLUMN()),INDEX(MO_Common_QEndDate,0,COLUMN())),"N/A")</f>
        <v>N/A</v>
      </c>
      <c r="U897" s="464" t="str">
        <f t="array" aca="1" ref="U897" ca="1">IFERROR(_xll.TR(MO.Ticker.Thomson,"MAX(TR.Pricehigh)","sdate:#1 edate:#2",,INDEX(MO_SNA_FPStartDate,0,COLUMN()),INDEX(MO_Common_QEndDate,0,COLUMN())),"N/A")</f>
        <v>N/A</v>
      </c>
      <c r="V897" s="464" t="str">
        <f t="array" aca="1" ref="V897" ca="1">IFERROR(_xll.TR(MO.Ticker.Thomson,"MAX(TR.Pricehigh)","sdate:#1 edate:#2",,INDEX(MO_SNA_FPStartDate,0,COLUMN()),INDEX(MO_Common_QEndDate,0,COLUMN())),"N/A")</f>
        <v>N/A</v>
      </c>
      <c r="W897" s="464" t="str">
        <f t="array" aca="1" ref="W897" ca="1">IFERROR(_xll.TR(MO.Ticker.Thomson,"MAX(TR.Pricehigh)","sdate:#1 edate:#2",,INDEX(MO_SNA_FPStartDate,0,COLUMN()),INDEX(MO_Common_QEndDate,0,COLUMN())),"N/A")</f>
        <v>N/A</v>
      </c>
      <c r="X897" s="464" t="str">
        <f t="array" aca="1" ref="X897" ca="1">IFERROR(_xll.TR(MO.Ticker.Thomson,"MAX(TR.Pricehigh)","sdate:#1 edate:#2",,INDEX(MO_SNA_FPStartDate,0,COLUMN()),INDEX(MO_Common_QEndDate,0,COLUMN())),"N/A")</f>
        <v>N/A</v>
      </c>
      <c r="Y897" s="464" t="str">
        <f t="array" aca="1" ref="Y897" ca="1">IFERROR(_xll.TR(MO.Ticker.Thomson,"MAX(TR.Pricehigh)","sdate:#1 edate:#2",,INDEX(MO_SNA_FPStartDate,0,COLUMN()),INDEX(MO_Common_QEndDate,0,COLUMN())),"N/A")</f>
        <v>N/A</v>
      </c>
      <c r="Z897" s="464" t="str">
        <f t="array" aca="1" ref="Z897" ca="1">IFERROR(_xll.TR(MO.Ticker.Thomson,"MAX(TR.Pricehigh)","sdate:#1 edate:#2",,INDEX(MO_SNA_FPStartDate,0,COLUMN()),INDEX(MO_Common_QEndDate,0,COLUMN())),"N/A")</f>
        <v>N/A</v>
      </c>
      <c r="AA897" s="464" t="str">
        <f t="array" aca="1" ref="AA897" ca="1">IFERROR(_xll.TR(MO.Ticker.Thomson,"MAX(TR.Pricehigh)","sdate:#1 edate:#2",,INDEX(MO_SNA_FPStartDate,0,COLUMN()),INDEX(MO_Common_QEndDate,0,COLUMN())),"N/A")</f>
        <v>N/A</v>
      </c>
      <c r="AB897" s="464" t="str">
        <f t="array" aca="1" ref="AB897" ca="1">IFERROR(_xll.TR(MO.Ticker.Thomson,"MAX(TR.Pricehigh)","sdate:#1 edate:#2",,INDEX(MO_SNA_FPStartDate,0,COLUMN()),INDEX(MO_Common_QEndDate,0,COLUMN())),"N/A")</f>
        <v>N/A</v>
      </c>
      <c r="AC897" s="464" t="str">
        <f t="array" aca="1" ref="AC897" ca="1">IFERROR(_xll.TR(MO.Ticker.Thomson,"MAX(TR.Pricehigh)","sdate:#1 edate:#2",,INDEX(MO_SNA_FPStartDate,0,COLUMN()),INDEX(MO_Common_QEndDate,0,COLUMN())),"N/A")</f>
        <v>N/A</v>
      </c>
      <c r="AD897" s="464" t="str">
        <f t="array" aca="1" ref="AD897" ca="1">IFERROR(_xll.TR(MO.Ticker.Thomson,"MAX(TR.Pricehigh)","sdate:#1 edate:#2",,INDEX(MO_SNA_FPStartDate,0,COLUMN()),INDEX(MO_Common_QEndDate,0,COLUMN())),"N/A")</f>
        <v>N/A</v>
      </c>
      <c r="AE897" s="464" t="str">
        <f t="array" aca="1" ref="AE897" ca="1">IFERROR(_xll.TR(MO.Ticker.Thomson,"MAX(TR.Pricehigh)","sdate:#1 edate:#2",,INDEX(MO_SNA_FPStartDate,0,COLUMN()),INDEX(MO_Common_QEndDate,0,COLUMN())),"N/A")</f>
        <v>N/A</v>
      </c>
      <c r="AF897" s="464" t="str">
        <f t="array" aca="1" ref="AF897" ca="1">IFERROR(_xll.TR(MO.Ticker.Thomson,"MAX(TR.Pricehigh)","sdate:#1 edate:#2",,INDEX(MO_SNA_FPStartDate,0,COLUMN()),INDEX(MO_Common_QEndDate,0,COLUMN())),"N/A")</f>
        <v>N/A</v>
      </c>
      <c r="AG897" s="464" t="str">
        <f t="array" aca="1" ref="AG897" ca="1">IFERROR(_xll.TR(MO.Ticker.Thomson,"MAX(TR.Pricehigh)","sdate:#1 edate:#2",,INDEX(MO_SNA_FPStartDate,0,COLUMN()),INDEX(MO_Common_QEndDate,0,COLUMN())),"N/A")</f>
        <v>N/A</v>
      </c>
      <c r="AH897" s="464" t="str">
        <f t="array" aca="1" ref="AH897" ca="1">IFERROR(_xll.TR(MO.Ticker.Thomson,"MAX(TR.Pricehigh)","sdate:#1 edate:#2",,INDEX(MO_SNA_FPStartDate,0,COLUMN()),INDEX(MO_Common_QEndDate,0,COLUMN())),"N/A")</f>
        <v>N/A</v>
      </c>
      <c r="AI897" s="464" t="str">
        <f t="array" aca="1" ref="AI897" ca="1">IFERROR(_xll.TR(MO.Ticker.Thomson,"MAX(TR.Pricehigh)","sdate:#1 edate:#2",,INDEX(MO_SNA_FPStartDate,0,COLUMN()),INDEX(MO_Common_QEndDate,0,COLUMN())),"N/A")</f>
        <v>N/A</v>
      </c>
      <c r="AJ897" s="464" t="str">
        <f t="array" aca="1" ref="AJ897" ca="1">IFERROR(_xll.TR(MO.Ticker.Thomson,"MAX(TR.Pricehigh)","sdate:#1 edate:#2",,INDEX(MO_SNA_FPStartDate,0,COLUMN()),INDEX(MO_Common_QEndDate,0,COLUMN())),"N/A")</f>
        <v>N/A</v>
      </c>
      <c r="AK897" s="464" t="str">
        <f t="array" aca="1" ref="AK897" ca="1">IFERROR(_xll.TR(MO.Ticker.Thomson,"MAX(TR.Pricehigh)","sdate:#1 edate:#2",,INDEX(MO_SNA_FPStartDate,0,COLUMN()),INDEX(MO_Common_QEndDate,0,COLUMN())),"N/A")</f>
        <v>N/A</v>
      </c>
      <c r="AL897" s="464" t="str">
        <f t="array" aca="1" ref="AL897" ca="1">IFERROR(_xll.TR(MO.Ticker.Thomson,"MAX(TR.Pricehigh)","sdate:#1 edate:#2",,INDEX(MO_SNA_FPStartDate,0,COLUMN()),INDEX(MO_Common_QEndDate,0,COLUMN())),"N/A")</f>
        <v>N/A</v>
      </c>
      <c r="AM897" s="464" t="str">
        <f t="array" aca="1" ref="AM897" ca="1">IFERROR(_xll.TR(MO.Ticker.Thomson,"MAX(TR.Pricehigh)","sdate:#1 edate:#2",,INDEX(MO_SNA_FPStartDate,0,COLUMN()),INDEX(MO_Common_QEndDate,0,COLUMN())),"N/A")</f>
        <v>N/A</v>
      </c>
      <c r="AN897" s="464" t="str">
        <f t="array" aca="1" ref="AN897" ca="1">IFERROR(_xll.TR(MO.Ticker.Thomson,"MAX(TR.Pricehigh)","sdate:#1 edate:#2",,INDEX(MO_SNA_FPStartDate,0,COLUMN()),INDEX(MO_Common_QEndDate,0,COLUMN())),"N/A")</f>
        <v>N/A</v>
      </c>
      <c r="AO897" s="464" t="str">
        <f t="array" aca="1" ref="AO897" ca="1">IFERROR(_xll.TR(MO.Ticker.Thomson,"MAX(TR.Pricehigh)","sdate:#1 edate:#2",,INDEX(MO_SNA_FPStartDate,0,COLUMN()),INDEX(MO_Common_QEndDate,0,COLUMN())),"N/A")</f>
        <v>N/A</v>
      </c>
      <c r="AP897" s="464" t="str">
        <f t="array" aca="1" ref="AP897" ca="1">IFERROR(_xll.TR(MO.Ticker.Thomson,"MAX(TR.Pricehigh)","sdate:#1 edate:#2",,INDEX(MO_SNA_FPStartDate,0,COLUMN()),INDEX(MO_Common_QEndDate,0,COLUMN())),"N/A")</f>
        <v>N/A</v>
      </c>
      <c r="AQ897" s="464" t="str">
        <f t="array" aca="1" ref="AQ897" ca="1">IFERROR(_xll.TR(MO.Ticker.Thomson,"MAX(TR.Pricehigh)","sdate:#1 edate:#2",,INDEX(MO_SNA_FPStartDate,0,COLUMN()),INDEX(MO_Common_QEndDate,0,COLUMN())),"N/A")</f>
        <v>N/A</v>
      </c>
      <c r="AR897" s="464" t="str">
        <f t="array" aca="1" ref="AR897" ca="1">IFERROR(_xll.TR(MO.Ticker.Thomson,"MAX(TR.Pricehigh)","sdate:#1 edate:#2",,INDEX(MO_SNA_FPStartDate,0,COLUMN()),INDEX(MO_Common_QEndDate,0,COLUMN())),"N/A")</f>
        <v>N/A</v>
      </c>
      <c r="AS897" s="464" t="str">
        <f t="array" aca="1" ref="AS897" ca="1">IFERROR(_xll.TR(MO.Ticker.Thomson,"MAX(TR.Pricehigh)","sdate:#1 edate:#2",,INDEX(MO_SNA_FPStartDate,0,COLUMN()),INDEX(MO_Common_QEndDate,0,COLUMN())),"N/A")</f>
        <v>N/A</v>
      </c>
      <c r="AT897" s="464" t="str">
        <f t="array" aca="1" ref="AT897" ca="1">IFERROR(_xll.TR(MO.Ticker.Thomson,"MAX(TR.Pricehigh)","sdate:#1 edate:#2",,INDEX(MO_SNA_FPStartDate,0,COLUMN()),INDEX(MO_Common_QEndDate,0,COLUMN())),"N/A")</f>
        <v>N/A</v>
      </c>
      <c r="AU897" s="464" t="str">
        <f t="array" aca="1" ref="AU897" ca="1">IFERROR(_xll.TR(MO.Ticker.Thomson,"MAX(TR.Pricehigh)","sdate:#1 edate:#2",,INDEX(MO_SNA_FPStartDate,0,COLUMN()),INDEX(MO_Common_QEndDate,0,COLUMN())),"N/A")</f>
        <v>N/A</v>
      </c>
      <c r="AV897" s="464" t="str">
        <f t="array" aca="1" ref="AV897" ca="1">IFERROR(_xll.TR(MO.Ticker.Thomson,"MAX(TR.Pricehigh)","sdate:#1 edate:#2",,INDEX(MO_SNA_FPStartDate,0,COLUMN()),INDEX(MO_Common_QEndDate,0,COLUMN())),"N/A")</f>
        <v>N/A</v>
      </c>
      <c r="AW897" s="464" t="str">
        <f t="array" aca="1" ref="AW897" ca="1">IFERROR(_xll.TR(MO.Ticker.Thomson,"MAX(TR.Pricehigh)","sdate:#1 edate:#2",,INDEX(MO_SNA_FPStartDate,0,COLUMN()),INDEX(MO_Common_QEndDate,0,COLUMN())),"N/A")</f>
        <v>N/A</v>
      </c>
      <c r="AX897" s="464" t="str">
        <f t="array" aca="1" ref="AX897" ca="1">IFERROR(_xll.TR(MO.Ticker.Thomson,"MAX(TR.Pricehigh)","sdate:#1 edate:#2",,INDEX(MO_SNA_FPStartDate,0,COLUMN()),INDEX(MO_Common_QEndDate,0,COLUMN())),"N/A")</f>
        <v>N/A</v>
      </c>
      <c r="AY897" s="464" t="str">
        <f t="array" aca="1" ref="AY897" ca="1">IFERROR(_xll.TR(MO.Ticker.Thomson,"MAX(TR.Pricehigh)","sdate:#1 edate:#2",,INDEX(MO_SNA_FPStartDate,0,COLUMN()),INDEX(MO_Common_QEndDate,0,COLUMN())),"N/A")</f>
        <v>N/A</v>
      </c>
      <c r="AZ897" s="464" t="str">
        <f t="array" aca="1" ref="AZ897" ca="1">IFERROR(_xll.TR(MO.Ticker.Thomson,"MAX(TR.Pricehigh)","sdate:#1 edate:#2",,INDEX(MO_SNA_FPStartDate,0,COLUMN()),INDEX(MO_Common_QEndDate,0,COLUMN())),"N/A")</f>
        <v>N/A</v>
      </c>
      <c r="BA897" s="464" t="str">
        <f t="array" aca="1" ref="BA897" ca="1">IFERROR(_xll.TR(MO.Ticker.Thomson,"MAX(TR.Pricehigh)","sdate:#1 edate:#2",,INDEX(MO_SNA_FPStartDate,0,COLUMN()),INDEX(MO_Common_QEndDate,0,COLUMN())),"N/A")</f>
        <v>N/A</v>
      </c>
      <c r="BB897" s="464" t="str">
        <f t="array" aca="1" ref="BB897" ca="1">IFERROR(_xll.TR(MO.Ticker.Thomson,"MAX(TR.Pricehigh)","sdate:#1 edate:#2",,INDEX(MO_SNA_FPStartDate,0,COLUMN()),INDEX(MO_Common_QEndDate,0,COLUMN())),"N/A")</f>
        <v>N/A</v>
      </c>
      <c r="BC897" s="464" t="str">
        <f t="array" aca="1" ref="BC897" ca="1">IFERROR(_xll.TR(MO.Ticker.Thomson,"MAX(TR.Pricehigh)","sdate:#1 edate:#2",,INDEX(MO_SNA_FPStartDate,0,COLUMN()),INDEX(MO_Common_QEndDate,0,COLUMN())),"N/A")</f>
        <v>N/A</v>
      </c>
      <c r="BD897" s="464" t="str">
        <f t="array" aca="1" ref="BD897" ca="1">IFERROR(_xll.TR(MO.Ticker.Thomson,"MAX(TR.Pricehigh)","sdate:#1 edate:#2",,INDEX(MO_SNA_FPStartDate,0,COLUMN()),INDEX(MO_Common_QEndDate,0,COLUMN())),"N/A")</f>
        <v>N/A</v>
      </c>
      <c r="BE897" s="464" t="str">
        <f t="array" aca="1" ref="BE897" ca="1">IFERROR(_xll.TR(MO.Ticker.Thomson,"MAX(TR.Pricehigh)","sdate:#1 edate:#2",,INDEX(MO_SNA_FPStartDate,0,COLUMN()),INDEX(MO_Common_QEndDate,0,COLUMN())),"N/A")</f>
        <v>N/A</v>
      </c>
      <c r="BF897" s="464" t="str">
        <f t="array" aca="1" ref="BF897" ca="1">IFERROR(_xll.TR(MO.Ticker.Thomson,"MAX(TR.Pricehigh)","sdate:#1 edate:#2",,INDEX(MO_SNA_FPStartDate,0,COLUMN()),INDEX(MO_Common_QEndDate,0,COLUMN())),"N/A")</f>
        <v>N/A</v>
      </c>
      <c r="BG897" s="464" t="str">
        <f t="array" aca="1" ref="BG897" ca="1">IFERROR(_xll.TR(MO.Ticker.Thomson,"MAX(TR.Pricehigh)","sdate:#1 edate:#2",,INDEX(MO_SNA_FPStartDate,0,COLUMN()),INDEX(MO_Common_QEndDate,0,COLUMN())),"N/A")</f>
        <v>N/A</v>
      </c>
      <c r="BH897" s="464" t="str">
        <f t="array" aca="1" ref="BH897" ca="1">IFERROR(_xll.TR(MO.Ticker.Thomson,"MAX(TR.Pricehigh)","sdate:#1 edate:#2",,INDEX(MO_SNA_FPStartDate,0,COLUMN()),INDEX(MO_Common_QEndDate,0,COLUMN())),"N/A")</f>
        <v>N/A</v>
      </c>
      <c r="BI897" s="564" t="str">
        <f t="array" aca="1" ref="BI897" ca="1">IFERROR(_xll.TR(MO.Ticker.Thomson,"MAX(TR.Pricehigh)","sdate:#1 edate:#2",,INDEX(MO_SNA_FPStartDate,0,COLUMN()),INDEX(MO_Common_QEndDate,0,COLUMN())),"N/A")</f>
        <v>N/A</v>
      </c>
      <c r="BJ897" s="464" t="str">
        <f t="array" aca="1" ref="BJ897" ca="1">IFERROR(_xll.TR(MO.Ticker.Thomson,"MAX(TR.Pricehigh)","sdate:#1 edate:#2",,INDEX(MO_SNA_FPStartDate,0,COLUMN()),INDEX(MO_Common_QEndDate,0,COLUMN())),"N/A")</f>
        <v>N/A</v>
      </c>
      <c r="BK897" s="464" t="str">
        <f t="array" aca="1" ref="BK897" ca="1">IFERROR(_xll.TR(MO.Ticker.Thomson,"MAX(TR.Pricehigh)","sdate:#1 edate:#2",,INDEX(MO_SNA_FPStartDate,0,COLUMN()),INDEX(MO_Common_QEndDate,0,COLUMN())),"N/A")</f>
        <v>N/A</v>
      </c>
      <c r="BL897" s="464" t="str">
        <f t="array" aca="1" ref="BL897" ca="1">IFERROR(_xll.TR(MO.Ticker.Thomson,"MAX(TR.Pricehigh)","sdate:#1 edate:#2",,INDEX(MO_SNA_FPStartDate,0,COLUMN()),INDEX(MO_Common_QEndDate,0,COLUMN())),"N/A")</f>
        <v>N/A</v>
      </c>
      <c r="BM897" s="464" t="str">
        <f t="array" aca="1" ref="BM897" ca="1">IFERROR(_xll.TR(MO.Ticker.Thomson,"MAX(TR.Pricehigh)","sdate:#1 edate:#2",,INDEX(MO_SNA_FPStartDate,0,COLUMN()),INDEX(MO_Common_QEndDate,0,COLUMN())),"N/A")</f>
        <v>N/A</v>
      </c>
      <c r="BN897" s="464" t="str">
        <f t="array" aca="1" ref="BN897" ca="1">IFERROR(_xll.TR(MO.Ticker.Thomson,"MAX(TR.Pricehigh)","sdate:#1 edate:#2",,INDEX(MO_SNA_FPStartDate,0,COLUMN()),INDEX(MO_Common_QEndDate,0,COLUMN())),"N/A")</f>
        <v>N/A</v>
      </c>
      <c r="BO897" s="464" t="str">
        <f t="array" aca="1" ref="BO897" ca="1">IFERROR(_xll.TR(MO.Ticker.Thomson,"MAX(TR.Pricehigh)","sdate:#1 edate:#2",,INDEX(MO_SNA_FPStartDate,0,COLUMN()),INDEX(MO_Common_QEndDate,0,COLUMN())),"N/A")</f>
        <v>N/A</v>
      </c>
      <c r="BP897" s="464" t="str">
        <f t="array" aca="1" ref="BP897" ca="1">IFERROR(_xll.TR(MO.Ticker.Thomson,"MAX(TR.Pricehigh)","sdate:#1 edate:#2",,INDEX(MO_SNA_FPStartDate,0,COLUMN()),INDEX(MO_Common_QEndDate,0,COLUMN())),"N/A")</f>
        <v>N/A</v>
      </c>
      <c r="BQ897" s="464" t="str">
        <f t="array" aca="1" ref="BQ897" ca="1">IFERROR(_xll.TR(MO.Ticker.Thomson,"MAX(TR.Pricehigh)","sdate:#1 edate:#2",,INDEX(MO_SNA_FPStartDate,0,COLUMN()),INDEX(MO_Common_QEndDate,0,COLUMN())),"N/A")</f>
        <v>N/A</v>
      </c>
      <c r="BR897" s="464" t="str">
        <f t="array" aca="1" ref="BR897" ca="1">IFERROR(_xll.TR(MO.Ticker.Thomson,"MAX(TR.Pricehigh)","sdate:#1 edate:#2",,INDEX(MO_SNA_FPStartDate,0,COLUMN()),INDEX(MO_Common_QEndDate,0,COLUMN())),"N/A")</f>
        <v>N/A</v>
      </c>
      <c r="BS897" s="464" t="str">
        <f t="array" aca="1" ref="BS897" ca="1">IFERROR(_xll.TR(MO.Ticker.Thomson,"MAX(TR.Pricehigh)","sdate:#1 edate:#2",,INDEX(MO_SNA_FPStartDate,0,COLUMN()),INDEX(MO_Common_QEndDate,0,COLUMN())),"N/A")</f>
        <v>N/A</v>
      </c>
      <c r="BT897" s="464" t="str">
        <f t="array" aca="1" ref="BT897" ca="1">IFERROR(_xll.TR(MO.Ticker.Thomson,"MAX(TR.Pricehigh)","sdate:#1 edate:#2",,INDEX(MO_SNA_FPStartDate,0,COLUMN()),INDEX(MO_Common_QEndDate,0,COLUMN())),"N/A")</f>
        <v>N/A</v>
      </c>
      <c r="BU897" s="464" t="str">
        <f t="array" aca="1" ref="BU897" ca="1">IFERROR(_xll.TR(MO.Ticker.Thomson,"MAX(TR.Pricehigh)","sdate:#1 edate:#2",,INDEX(MO_SNA_FPStartDate,0,COLUMN()),INDEX(MO_Common_QEndDate,0,COLUMN())),"N/A")</f>
        <v>N/A</v>
      </c>
      <c r="BV897" s="565" t="str">
        <f t="array" aca="1" ref="BV897" ca="1">IFERROR(_xll.TR(MO.Ticker.Thomson,"MAX(TR.Pricehigh)","sdate:#1 edate:#2",,INDEX(MO_SNA_FPStartDate,0,COLUMN()),INDEX(MO_Common_QEndDate,0,COLUMN())),"N/A")</f>
        <v>N/A</v>
      </c>
      <c r="BW897" s="566"/>
    </row>
    <row r="898" spans="1:75" ht="15.75" hidden="1" customHeight="1" outlineLevel="1" x14ac:dyDescent="0.2">
      <c r="A898" s="56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10"/>
      <c r="BJ898" s="9"/>
      <c r="BK898" s="9"/>
      <c r="BL898" s="9"/>
      <c r="BM898" s="9"/>
      <c r="BN898" s="9"/>
      <c r="BO898" s="9"/>
      <c r="BP898" s="9"/>
      <c r="BQ898" s="9"/>
      <c r="BR898" s="9"/>
      <c r="BS898" s="9"/>
      <c r="BT898" s="9"/>
      <c r="BU898" s="9"/>
      <c r="BV898" s="570"/>
      <c r="BW898" s="552"/>
    </row>
    <row r="899" spans="1:75" ht="15.75" customHeight="1" collapsed="1" x14ac:dyDescent="0.2">
      <c r="A899" s="563" t="str">
        <f ca="1">"Stock Low: "&amp;IF(OR(MO.RealTimeStockPriceToggle=FALSE,VLOOKUP(MO.DataSourceName,MO_SPT_StockLow_Sources,COLUMN()+2,FALSE)="N/A"),"Real-Time Off Source",MO.DataSourceName)</f>
        <v>Stock Low: Real-Time Off Source</v>
      </c>
      <c r="B899" s="464"/>
      <c r="C899" s="464">
        <f t="shared" ref="C899:AH899" ca="1" si="1820">IF(OR(MO.RealTimeStockPriceToggle=FALSE,VLOOKUP(MO.DataSourceName,MO_SPT_StockLow_Sources,COLUMN(),FALSE)="N/A"),VLOOKUP("Real-Time Off Source",MO_SPT_StockLow_Sources,COLUMN(),FALSE),VLOOKUP(MO.DataSourceName,MO_SPT_StockLow_Sources,COLUMN(),FALSE))</f>
        <v>6.84</v>
      </c>
      <c r="D899" s="464">
        <f t="shared" ca="1" si="1820"/>
        <v>20.75</v>
      </c>
      <c r="E899" s="464">
        <f t="shared" ca="1" si="1820"/>
        <v>23.65</v>
      </c>
      <c r="F899" s="464">
        <f t="shared" ca="1" si="1820"/>
        <v>28.58</v>
      </c>
      <c r="G899" s="464">
        <f t="shared" ca="1" si="1820"/>
        <v>32.630000000000003</v>
      </c>
      <c r="H899" s="464">
        <f t="shared" ca="1" si="1820"/>
        <v>36.9</v>
      </c>
      <c r="I899" s="464">
        <f t="shared" ca="1" si="1820"/>
        <v>39.86</v>
      </c>
      <c r="J899" s="464">
        <f t="shared" ca="1" si="1820"/>
        <v>42.03</v>
      </c>
      <c r="K899" s="464">
        <f t="shared" ca="1" si="1820"/>
        <v>32.630000000000003</v>
      </c>
      <c r="L899" s="464">
        <f t="shared" ca="1" si="1820"/>
        <v>42.73</v>
      </c>
      <c r="M899" s="464">
        <f t="shared" ca="1" si="1820"/>
        <v>43.58</v>
      </c>
      <c r="N899" s="464">
        <f t="shared" ca="1" si="1820"/>
        <v>42.54</v>
      </c>
      <c r="O899" s="464">
        <f t="shared" ca="1" si="1820"/>
        <v>42</v>
      </c>
      <c r="P899" s="464">
        <f t="shared" ca="1" si="1820"/>
        <v>42</v>
      </c>
      <c r="Q899" s="464">
        <f t="shared" ca="1" si="1820"/>
        <v>46.52</v>
      </c>
      <c r="R899" s="464">
        <f t="shared" ca="1" si="1820"/>
        <v>47.91</v>
      </c>
      <c r="S899" s="464">
        <f t="shared" ca="1" si="1820"/>
        <v>50.02</v>
      </c>
      <c r="T899" s="464">
        <f t="shared" ca="1" si="1820"/>
        <v>45.17</v>
      </c>
      <c r="U899" s="464">
        <f t="shared" ca="1" si="1820"/>
        <v>45.17</v>
      </c>
      <c r="V899" s="464">
        <f t="shared" ca="1" si="1820"/>
        <v>44.16</v>
      </c>
      <c r="W899" s="464">
        <f t="shared" ca="1" si="1820"/>
        <v>46.93</v>
      </c>
      <c r="X899" s="464">
        <f t="shared" ca="1" si="1820"/>
        <v>47.11</v>
      </c>
      <c r="Y899" s="464">
        <f t="shared" ca="1" si="1820"/>
        <v>48.99</v>
      </c>
      <c r="Z899" s="464">
        <f t="shared" ca="1" si="1820"/>
        <v>44.16</v>
      </c>
      <c r="AA899" s="464">
        <f t="shared" ca="1" si="1820"/>
        <v>58.07</v>
      </c>
      <c r="AB899" s="464">
        <f t="shared" ca="1" si="1820"/>
        <v>49.56</v>
      </c>
      <c r="AC899" s="464">
        <f t="shared" ca="1" si="1820"/>
        <v>38.340000000000003</v>
      </c>
      <c r="AD899" s="464">
        <f t="shared" ca="1" si="1820"/>
        <v>40.82</v>
      </c>
      <c r="AE899" s="464">
        <f t="shared" ca="1" si="1820"/>
        <v>38.340000000000003</v>
      </c>
      <c r="AF899" s="464">
        <f t="shared" ca="1" si="1820"/>
        <v>44.5</v>
      </c>
      <c r="AG899" s="464">
        <f t="shared" ca="1" si="1820"/>
        <v>50.01</v>
      </c>
      <c r="AH899" s="464">
        <f t="shared" ca="1" si="1820"/>
        <v>49.06</v>
      </c>
      <c r="AI899" s="464">
        <f t="shared" ref="AI899:BN899" ca="1" si="1821">IF(OR(MO.RealTimeStockPriceToggle=FALSE,VLOOKUP(MO.DataSourceName,MO_SPT_StockLow_Sources,COLUMN(),FALSE)="N/A"),VLOOKUP("Real-Time Off Source",MO_SPT_StockLow_Sources,COLUMN(),FALSE),VLOOKUP(MO.DataSourceName,MO_SPT_StockLow_Sources,COLUMN(),FALSE))</f>
        <v>42.25</v>
      </c>
      <c r="AJ899" s="464">
        <f t="shared" ca="1" si="1821"/>
        <v>42.25</v>
      </c>
      <c r="AK899" s="464">
        <f t="shared" ca="1" si="1821"/>
        <v>42.06</v>
      </c>
      <c r="AL899" s="464">
        <f t="shared" ca="1" si="1821"/>
        <v>42.96</v>
      </c>
      <c r="AM899" s="464">
        <f t="shared" ca="1" si="1821"/>
        <v>35.9</v>
      </c>
      <c r="AN899" s="464">
        <f t="shared" ca="1" si="1821"/>
        <v>37.950000000000003</v>
      </c>
      <c r="AO899" s="464">
        <f t="shared" ca="1" si="1821"/>
        <v>35.9</v>
      </c>
      <c r="AP899" s="464">
        <f t="shared" ca="1" si="1821"/>
        <v>15.71</v>
      </c>
      <c r="AQ899" s="464">
        <f t="shared" ca="1" si="1821"/>
        <v>15.1</v>
      </c>
      <c r="AR899" s="464">
        <f t="shared" ca="1" si="1821"/>
        <v>20.57</v>
      </c>
      <c r="AS899" s="464">
        <f t="shared" ca="1" si="1821"/>
        <v>27.74</v>
      </c>
      <c r="AT899" s="464">
        <f t="shared" ca="1" si="1821"/>
        <v>15.1</v>
      </c>
      <c r="AU899" s="464">
        <f t="shared" ca="1" si="1821"/>
        <v>35.409999999999997</v>
      </c>
      <c r="AV899" s="464">
        <f t="shared" ca="1" si="1821"/>
        <v>51.72</v>
      </c>
      <c r="AW899" s="464">
        <f t="shared" ca="1" si="1821"/>
        <v>41.44</v>
      </c>
      <c r="AX899" s="464">
        <f t="shared" ca="1" si="1821"/>
        <v>36.840000000000003</v>
      </c>
      <c r="AY899" s="464">
        <f t="shared" ca="1" si="1821"/>
        <v>35.409999999999997</v>
      </c>
      <c r="AZ899" s="464">
        <f t="shared" ca="1" si="1821"/>
        <v>32.25</v>
      </c>
      <c r="BA899" s="464">
        <f t="shared" ca="1" si="1821"/>
        <v>26.84</v>
      </c>
      <c r="BB899" s="464">
        <f t="shared" ca="1" si="1821"/>
        <v>26.42</v>
      </c>
      <c r="BC899" s="464">
        <f t="shared" ca="1" si="1821"/>
        <v>29.1</v>
      </c>
      <c r="BD899" s="464">
        <f t="shared" ca="1" si="1821"/>
        <v>26.42</v>
      </c>
      <c r="BE899" s="464">
        <f t="shared" ca="1" si="1821"/>
        <v>33.85</v>
      </c>
      <c r="BF899" s="464">
        <f t="shared" ca="1" si="1821"/>
        <v>31.18</v>
      </c>
      <c r="BG899" s="464">
        <f t="shared" ca="1" si="1821"/>
        <v>28.59</v>
      </c>
      <c r="BH899" s="464">
        <f t="shared" ca="1" si="1821"/>
        <v>28.99</v>
      </c>
      <c r="BI899" s="564">
        <f t="shared" ca="1" si="1821"/>
        <v>28.59</v>
      </c>
      <c r="BJ899" s="464">
        <f t="shared" ca="1" si="1821"/>
        <v>0</v>
      </c>
      <c r="BK899" s="464">
        <f t="shared" ca="1" si="1821"/>
        <v>0</v>
      </c>
      <c r="BL899" s="464">
        <f t="shared" ca="1" si="1821"/>
        <v>0</v>
      </c>
      <c r="BM899" s="464">
        <f t="shared" ca="1" si="1821"/>
        <v>0</v>
      </c>
      <c r="BN899" s="464">
        <f t="shared" ca="1" si="1821"/>
        <v>0</v>
      </c>
      <c r="BO899" s="464">
        <f t="shared" ref="BO899:BV899" ca="1" si="1822">IF(OR(MO.RealTimeStockPriceToggle=FALSE,VLOOKUP(MO.DataSourceName,MO_SPT_StockLow_Sources,COLUMN(),FALSE)="N/A"),VLOOKUP("Real-Time Off Source",MO_SPT_StockLow_Sources,COLUMN(),FALSE),VLOOKUP(MO.DataSourceName,MO_SPT_StockLow_Sources,COLUMN(),FALSE))</f>
        <v>0</v>
      </c>
      <c r="BP899" s="464">
        <f t="shared" ca="1" si="1822"/>
        <v>0</v>
      </c>
      <c r="BQ899" s="464">
        <f t="shared" ca="1" si="1822"/>
        <v>0</v>
      </c>
      <c r="BR899" s="464">
        <f t="shared" ca="1" si="1822"/>
        <v>0</v>
      </c>
      <c r="BS899" s="464">
        <f t="shared" ca="1" si="1822"/>
        <v>0</v>
      </c>
      <c r="BT899" s="464">
        <f t="shared" ca="1" si="1822"/>
        <v>0</v>
      </c>
      <c r="BU899" s="464">
        <f t="shared" ca="1" si="1822"/>
        <v>0</v>
      </c>
      <c r="BV899" s="565">
        <f t="shared" ca="1" si="1822"/>
        <v>0</v>
      </c>
      <c r="BW899" s="566"/>
    </row>
    <row r="900" spans="1:75" ht="15.75" hidden="1" customHeight="1" outlineLevel="1" x14ac:dyDescent="0.2">
      <c r="A900" s="563" t="s">
        <v>934</v>
      </c>
      <c r="B900" s="464"/>
      <c r="C900" s="567">
        <v>6.84</v>
      </c>
      <c r="D900" s="567">
        <v>20.75</v>
      </c>
      <c r="E900" s="567">
        <v>23.65</v>
      </c>
      <c r="F900" s="567">
        <v>28.58</v>
      </c>
      <c r="G900" s="567">
        <v>32.630000000000003</v>
      </c>
      <c r="H900" s="567">
        <v>36.9</v>
      </c>
      <c r="I900" s="567">
        <v>39.86</v>
      </c>
      <c r="J900" s="567">
        <v>42.03</v>
      </c>
      <c r="K900" s="567">
        <v>32.630000000000003</v>
      </c>
      <c r="L900" s="567">
        <v>42.73</v>
      </c>
      <c r="M900" s="567">
        <v>43.58</v>
      </c>
      <c r="N900" s="567">
        <v>42.54</v>
      </c>
      <c r="O900" s="567">
        <v>42</v>
      </c>
      <c r="P900" s="567">
        <v>42</v>
      </c>
      <c r="Q900" s="567">
        <v>46.52</v>
      </c>
      <c r="R900" s="567">
        <v>47.91</v>
      </c>
      <c r="S900" s="567">
        <v>50.02</v>
      </c>
      <c r="T900" s="567">
        <v>45.17</v>
      </c>
      <c r="U900" s="567">
        <v>45.17</v>
      </c>
      <c r="V900" s="567">
        <v>44.16</v>
      </c>
      <c r="W900" s="567">
        <v>46.93</v>
      </c>
      <c r="X900" s="567">
        <v>47.11</v>
      </c>
      <c r="Y900" s="567">
        <v>48.99</v>
      </c>
      <c r="Z900" s="567">
        <v>44.16</v>
      </c>
      <c r="AA900" s="567">
        <v>58.07</v>
      </c>
      <c r="AB900" s="567">
        <v>49.56</v>
      </c>
      <c r="AC900" s="567">
        <v>38.340000000000003</v>
      </c>
      <c r="AD900" s="567">
        <v>40.82</v>
      </c>
      <c r="AE900" s="567">
        <v>38.340000000000003</v>
      </c>
      <c r="AF900" s="567">
        <v>44.5</v>
      </c>
      <c r="AG900" s="567">
        <v>50.01</v>
      </c>
      <c r="AH900" s="567">
        <v>49.06</v>
      </c>
      <c r="AI900" s="567">
        <v>42.25</v>
      </c>
      <c r="AJ900" s="567">
        <v>42.25</v>
      </c>
      <c r="AK900" s="567">
        <v>42.06</v>
      </c>
      <c r="AL900" s="567">
        <v>42.96</v>
      </c>
      <c r="AM900" s="567">
        <v>35.9</v>
      </c>
      <c r="AN900" s="567">
        <v>37.950000000000003</v>
      </c>
      <c r="AO900" s="567">
        <v>35.9</v>
      </c>
      <c r="AP900" s="567">
        <v>15.71</v>
      </c>
      <c r="AQ900" s="567">
        <v>15.1</v>
      </c>
      <c r="AR900" s="567">
        <v>20.57</v>
      </c>
      <c r="AS900" s="567">
        <v>27.74</v>
      </c>
      <c r="AT900" s="567">
        <v>15.1</v>
      </c>
      <c r="AU900" s="567">
        <v>35.409999999999997</v>
      </c>
      <c r="AV900" s="567">
        <v>51.72</v>
      </c>
      <c r="AW900" s="567">
        <v>41.44</v>
      </c>
      <c r="AX900" s="567">
        <v>36.840000000000003</v>
      </c>
      <c r="AY900" s="567">
        <v>35.409999999999997</v>
      </c>
      <c r="AZ900" s="567">
        <v>32.25</v>
      </c>
      <c r="BA900" s="567">
        <v>26.84</v>
      </c>
      <c r="BB900" s="567">
        <v>26.42</v>
      </c>
      <c r="BC900" s="567">
        <v>29.1</v>
      </c>
      <c r="BD900" s="567">
        <v>26.42</v>
      </c>
      <c r="BE900" s="567">
        <v>33.85</v>
      </c>
      <c r="BF900" s="567">
        <v>31.18</v>
      </c>
      <c r="BG900" s="567">
        <v>28.59</v>
      </c>
      <c r="BH900" s="567">
        <v>28.99</v>
      </c>
      <c r="BI900" s="568">
        <v>28.59</v>
      </c>
      <c r="BJ900" s="464"/>
      <c r="BK900" s="464"/>
      <c r="BL900" s="464"/>
      <c r="BM900" s="464"/>
      <c r="BN900" s="464"/>
      <c r="BO900" s="464"/>
      <c r="BP900" s="464"/>
      <c r="BQ900" s="464"/>
      <c r="BR900" s="464"/>
      <c r="BS900" s="464"/>
      <c r="BT900" s="464"/>
      <c r="BU900" s="464"/>
      <c r="BV900" s="565"/>
      <c r="BW900" s="566"/>
    </row>
    <row r="901" spans="1:75" ht="15.75" hidden="1" customHeight="1" outlineLevel="1" x14ac:dyDescent="0.2">
      <c r="A901" s="563" t="s">
        <v>935</v>
      </c>
      <c r="B901" s="464"/>
      <c r="C901" s="464" t="str">
        <f t="array" aca="1" ref="C901" ca="1">IFERROR(BDP(MO.Ticker.Bloomberg&amp;" Equity","INTERVAL_LOW","MARKET_DATA_OVERRIDE=PX_LAST","START_DATE_OVERRIDE",TEXT(INDEX(MO_SNA_FPStartDate,0,COLUMN()),"YYYYMMDD"),"END_DATE_OVERRIDE",TEXT(INDEX(MO_Common_QEndDate,0,COLUMN()),"YYYYMMDD")),"N/A")</f>
        <v>N/A</v>
      </c>
      <c r="D901" s="464" t="str">
        <f t="array" aca="1" ref="D901" ca="1">IFERROR(BDP(MO.Ticker.Bloomberg&amp;" Equity","INTERVAL_LOW","MARKET_DATA_OVERRIDE=PX_LAST","START_DATE_OVERRIDE",TEXT(INDEX(MO_SNA_FPStartDate,0,COLUMN()),"YYYYMMDD"),"END_DATE_OVERRIDE",TEXT(INDEX(MO_Common_QEndDate,0,COLUMN()),"YYYYMMDD")),"N/A")</f>
        <v>N/A</v>
      </c>
      <c r="E901" s="464" t="str">
        <f t="array" aca="1" ref="E901" ca="1">IFERROR(BDP(MO.Ticker.Bloomberg&amp;" Equity","INTERVAL_LOW","MARKET_DATA_OVERRIDE=PX_LAST","START_DATE_OVERRIDE",TEXT(INDEX(MO_SNA_FPStartDate,0,COLUMN()),"YYYYMMDD"),"END_DATE_OVERRIDE",TEXT(INDEX(MO_Common_QEndDate,0,COLUMN()),"YYYYMMDD")),"N/A")</f>
        <v>N/A</v>
      </c>
      <c r="F901" s="464" t="str">
        <f t="array" aca="1" ref="F901" ca="1">IFERROR(BDP(MO.Ticker.Bloomberg&amp;" Equity","INTERVAL_LOW","MARKET_DATA_OVERRIDE=PX_LAST","START_DATE_OVERRIDE",TEXT(INDEX(MO_SNA_FPStartDate,0,COLUMN()),"YYYYMMDD"),"END_DATE_OVERRIDE",TEXT(INDEX(MO_Common_QEndDate,0,COLUMN()),"YYYYMMDD")),"N/A")</f>
        <v>N/A</v>
      </c>
      <c r="G901" s="464" t="str">
        <f t="array" aca="1" ref="G901" ca="1">IFERROR(BDP(MO.Ticker.Bloomberg&amp;" Equity","INTERVAL_LOW","MARKET_DATA_OVERRIDE=PX_LAST","START_DATE_OVERRIDE",TEXT(INDEX(MO_SNA_FPStartDate,0,COLUMN()),"YYYYMMDD"),"END_DATE_OVERRIDE",TEXT(INDEX(MO_Common_QEndDate,0,COLUMN()),"YYYYMMDD")),"N/A")</f>
        <v>N/A</v>
      </c>
      <c r="H901" s="464" t="str">
        <f t="array" aca="1" ref="H901" ca="1">IFERROR(BDP(MO.Ticker.Bloomberg&amp;" Equity","INTERVAL_LOW","MARKET_DATA_OVERRIDE=PX_LAST","START_DATE_OVERRIDE",TEXT(INDEX(MO_SNA_FPStartDate,0,COLUMN()),"YYYYMMDD"),"END_DATE_OVERRIDE",TEXT(INDEX(MO_Common_QEndDate,0,COLUMN()),"YYYYMMDD")),"N/A")</f>
        <v>N/A</v>
      </c>
      <c r="I901" s="464" t="str">
        <f t="array" aca="1" ref="I901" ca="1">IFERROR(BDP(MO.Ticker.Bloomberg&amp;" Equity","INTERVAL_LOW","MARKET_DATA_OVERRIDE=PX_LAST","START_DATE_OVERRIDE",TEXT(INDEX(MO_SNA_FPStartDate,0,COLUMN()),"YYYYMMDD"),"END_DATE_OVERRIDE",TEXT(INDEX(MO_Common_QEndDate,0,COLUMN()),"YYYYMMDD")),"N/A")</f>
        <v>N/A</v>
      </c>
      <c r="J901" s="464" t="str">
        <f t="array" aca="1" ref="J901" ca="1">IFERROR(BDP(MO.Ticker.Bloomberg&amp;" Equity","INTERVAL_LOW","MARKET_DATA_OVERRIDE=PX_LAST","START_DATE_OVERRIDE",TEXT(INDEX(MO_SNA_FPStartDate,0,COLUMN()),"YYYYMMDD"),"END_DATE_OVERRIDE",TEXT(INDEX(MO_Common_QEndDate,0,COLUMN()),"YYYYMMDD")),"N/A")</f>
        <v>N/A</v>
      </c>
      <c r="K901" s="464" t="str">
        <f t="array" aca="1" ref="K901" ca="1">IFERROR(BDP(MO.Ticker.Bloomberg&amp;" Equity","INTERVAL_LOW","MARKET_DATA_OVERRIDE=PX_LAST","START_DATE_OVERRIDE",TEXT(INDEX(MO_SNA_FPStartDate,0,COLUMN()),"YYYYMMDD"),"END_DATE_OVERRIDE",TEXT(INDEX(MO_Common_QEndDate,0,COLUMN()),"YYYYMMDD")),"N/A")</f>
        <v>N/A</v>
      </c>
      <c r="L901" s="464" t="str">
        <f t="array" aca="1" ref="L901" ca="1">IFERROR(BDP(MO.Ticker.Bloomberg&amp;" Equity","INTERVAL_LOW","MARKET_DATA_OVERRIDE=PX_LAST","START_DATE_OVERRIDE",TEXT(INDEX(MO_SNA_FPStartDate,0,COLUMN()),"YYYYMMDD"),"END_DATE_OVERRIDE",TEXT(INDEX(MO_Common_QEndDate,0,COLUMN()),"YYYYMMDD")),"N/A")</f>
        <v>N/A</v>
      </c>
      <c r="M901" s="464" t="str">
        <f t="array" aca="1" ref="M901" ca="1">IFERROR(BDP(MO.Ticker.Bloomberg&amp;" Equity","INTERVAL_LOW","MARKET_DATA_OVERRIDE=PX_LAST","START_DATE_OVERRIDE",TEXT(INDEX(MO_SNA_FPStartDate,0,COLUMN()),"YYYYMMDD"),"END_DATE_OVERRIDE",TEXT(INDEX(MO_Common_QEndDate,0,COLUMN()),"YYYYMMDD")),"N/A")</f>
        <v>N/A</v>
      </c>
      <c r="N901" s="464" t="str">
        <f t="array" aca="1" ref="N901" ca="1">IFERROR(BDP(MO.Ticker.Bloomberg&amp;" Equity","INTERVAL_LOW","MARKET_DATA_OVERRIDE=PX_LAST","START_DATE_OVERRIDE",TEXT(INDEX(MO_SNA_FPStartDate,0,COLUMN()),"YYYYMMDD"),"END_DATE_OVERRIDE",TEXT(INDEX(MO_Common_QEndDate,0,COLUMN()),"YYYYMMDD")),"N/A")</f>
        <v>N/A</v>
      </c>
      <c r="O901" s="464" t="str">
        <f t="array" aca="1" ref="O901" ca="1">IFERROR(BDP(MO.Ticker.Bloomberg&amp;" Equity","INTERVAL_LOW","MARKET_DATA_OVERRIDE=PX_LAST","START_DATE_OVERRIDE",TEXT(INDEX(MO_SNA_FPStartDate,0,COLUMN()),"YYYYMMDD"),"END_DATE_OVERRIDE",TEXT(INDEX(MO_Common_QEndDate,0,COLUMN()),"YYYYMMDD")),"N/A")</f>
        <v>N/A</v>
      </c>
      <c r="P901" s="464" t="str">
        <f t="array" aca="1" ref="P901" ca="1">IFERROR(BDP(MO.Ticker.Bloomberg&amp;" Equity","INTERVAL_LOW","MARKET_DATA_OVERRIDE=PX_LAST","START_DATE_OVERRIDE",TEXT(INDEX(MO_SNA_FPStartDate,0,COLUMN()),"YYYYMMDD"),"END_DATE_OVERRIDE",TEXT(INDEX(MO_Common_QEndDate,0,COLUMN()),"YYYYMMDD")),"N/A")</f>
        <v>N/A</v>
      </c>
      <c r="Q901" s="464" t="str">
        <f t="array" aca="1" ref="Q901" ca="1">IFERROR(BDP(MO.Ticker.Bloomberg&amp;" Equity","INTERVAL_LOW","MARKET_DATA_OVERRIDE=PX_LAST","START_DATE_OVERRIDE",TEXT(INDEX(MO_SNA_FPStartDate,0,COLUMN()),"YYYYMMDD"),"END_DATE_OVERRIDE",TEXT(INDEX(MO_Common_QEndDate,0,COLUMN()),"YYYYMMDD")),"N/A")</f>
        <v>N/A</v>
      </c>
      <c r="R901" s="464" t="str">
        <f t="array" aca="1" ref="R901" ca="1">IFERROR(BDP(MO.Ticker.Bloomberg&amp;" Equity","INTERVAL_LOW","MARKET_DATA_OVERRIDE=PX_LAST","START_DATE_OVERRIDE",TEXT(INDEX(MO_SNA_FPStartDate,0,COLUMN()),"YYYYMMDD"),"END_DATE_OVERRIDE",TEXT(INDEX(MO_Common_QEndDate,0,COLUMN()),"YYYYMMDD")),"N/A")</f>
        <v>N/A</v>
      </c>
      <c r="S901" s="464" t="str">
        <f t="array" aca="1" ref="S901" ca="1">IFERROR(BDP(MO.Ticker.Bloomberg&amp;" Equity","INTERVAL_LOW","MARKET_DATA_OVERRIDE=PX_LAST","START_DATE_OVERRIDE",TEXT(INDEX(MO_SNA_FPStartDate,0,COLUMN()),"YYYYMMDD"),"END_DATE_OVERRIDE",TEXT(INDEX(MO_Common_QEndDate,0,COLUMN()),"YYYYMMDD")),"N/A")</f>
        <v>N/A</v>
      </c>
      <c r="T901" s="464" t="str">
        <f t="array" aca="1" ref="T901" ca="1">IFERROR(BDP(MO.Ticker.Bloomberg&amp;" Equity","INTERVAL_LOW","MARKET_DATA_OVERRIDE=PX_LAST","START_DATE_OVERRIDE",TEXT(INDEX(MO_SNA_FPStartDate,0,COLUMN()),"YYYYMMDD"),"END_DATE_OVERRIDE",TEXT(INDEX(MO_Common_QEndDate,0,COLUMN()),"YYYYMMDD")),"N/A")</f>
        <v>N/A</v>
      </c>
      <c r="U901" s="464" t="str">
        <f t="array" aca="1" ref="U901" ca="1">IFERROR(BDP(MO.Ticker.Bloomberg&amp;" Equity","INTERVAL_LOW","MARKET_DATA_OVERRIDE=PX_LAST","START_DATE_OVERRIDE",TEXT(INDEX(MO_SNA_FPStartDate,0,COLUMN()),"YYYYMMDD"),"END_DATE_OVERRIDE",TEXT(INDEX(MO_Common_QEndDate,0,COLUMN()),"YYYYMMDD")),"N/A")</f>
        <v>N/A</v>
      </c>
      <c r="V901" s="464" t="str">
        <f t="array" aca="1" ref="V901" ca="1">IFERROR(BDP(MO.Ticker.Bloomberg&amp;" Equity","INTERVAL_LOW","MARKET_DATA_OVERRIDE=PX_LAST","START_DATE_OVERRIDE",TEXT(INDEX(MO_SNA_FPStartDate,0,COLUMN()),"YYYYMMDD"),"END_DATE_OVERRIDE",TEXT(INDEX(MO_Common_QEndDate,0,COLUMN()),"YYYYMMDD")),"N/A")</f>
        <v>N/A</v>
      </c>
      <c r="W901" s="464" t="str">
        <f t="array" aca="1" ref="W901" ca="1">IFERROR(BDP(MO.Ticker.Bloomberg&amp;" Equity","INTERVAL_LOW","MARKET_DATA_OVERRIDE=PX_LAST","START_DATE_OVERRIDE",TEXT(INDEX(MO_SNA_FPStartDate,0,COLUMN()),"YYYYMMDD"),"END_DATE_OVERRIDE",TEXT(INDEX(MO_Common_QEndDate,0,COLUMN()),"YYYYMMDD")),"N/A")</f>
        <v>N/A</v>
      </c>
      <c r="X901" s="464" t="str">
        <f t="array" aca="1" ref="X901" ca="1">IFERROR(BDP(MO.Ticker.Bloomberg&amp;" Equity","INTERVAL_LOW","MARKET_DATA_OVERRIDE=PX_LAST","START_DATE_OVERRIDE",TEXT(INDEX(MO_SNA_FPStartDate,0,COLUMN()),"YYYYMMDD"),"END_DATE_OVERRIDE",TEXT(INDEX(MO_Common_QEndDate,0,COLUMN()),"YYYYMMDD")),"N/A")</f>
        <v>N/A</v>
      </c>
      <c r="Y901" s="464" t="str">
        <f t="array" aca="1" ref="Y901" ca="1">IFERROR(BDP(MO.Ticker.Bloomberg&amp;" Equity","INTERVAL_LOW","MARKET_DATA_OVERRIDE=PX_LAST","START_DATE_OVERRIDE",TEXT(INDEX(MO_SNA_FPStartDate,0,COLUMN()),"YYYYMMDD"),"END_DATE_OVERRIDE",TEXT(INDEX(MO_Common_QEndDate,0,COLUMN()),"YYYYMMDD")),"N/A")</f>
        <v>N/A</v>
      </c>
      <c r="Z901" s="464" t="str">
        <f t="array" aca="1" ref="Z901" ca="1">IFERROR(BDP(MO.Ticker.Bloomberg&amp;" Equity","INTERVAL_LOW","MARKET_DATA_OVERRIDE=PX_LAST","START_DATE_OVERRIDE",TEXT(INDEX(MO_SNA_FPStartDate,0,COLUMN()),"YYYYMMDD"),"END_DATE_OVERRIDE",TEXT(INDEX(MO_Common_QEndDate,0,COLUMN()),"YYYYMMDD")),"N/A")</f>
        <v>N/A</v>
      </c>
      <c r="AA901" s="464" t="str">
        <f t="array" aca="1" ref="AA901" ca="1">IFERROR(BDP(MO.Ticker.Bloomberg&amp;" Equity","INTERVAL_LOW","MARKET_DATA_OVERRIDE=PX_LAST","START_DATE_OVERRIDE",TEXT(INDEX(MO_SNA_FPStartDate,0,COLUMN()),"YYYYMMDD"),"END_DATE_OVERRIDE",TEXT(INDEX(MO_Common_QEndDate,0,COLUMN()),"YYYYMMDD")),"N/A")</f>
        <v>N/A</v>
      </c>
      <c r="AB901" s="464" t="str">
        <f t="array" aca="1" ref="AB901" ca="1">IFERROR(BDP(MO.Ticker.Bloomberg&amp;" Equity","INTERVAL_LOW","MARKET_DATA_OVERRIDE=PX_LAST","START_DATE_OVERRIDE",TEXT(INDEX(MO_SNA_FPStartDate,0,COLUMN()),"YYYYMMDD"),"END_DATE_OVERRIDE",TEXT(INDEX(MO_Common_QEndDate,0,COLUMN()),"YYYYMMDD")),"N/A")</f>
        <v>N/A</v>
      </c>
      <c r="AC901" s="464" t="str">
        <f t="array" aca="1" ref="AC901" ca="1">IFERROR(BDP(MO.Ticker.Bloomberg&amp;" Equity","INTERVAL_LOW","MARKET_DATA_OVERRIDE=PX_LAST","START_DATE_OVERRIDE",TEXT(INDEX(MO_SNA_FPStartDate,0,COLUMN()),"YYYYMMDD"),"END_DATE_OVERRIDE",TEXT(INDEX(MO_Common_QEndDate,0,COLUMN()),"YYYYMMDD")),"N/A")</f>
        <v>N/A</v>
      </c>
      <c r="AD901" s="464" t="str">
        <f t="array" aca="1" ref="AD901" ca="1">IFERROR(BDP(MO.Ticker.Bloomberg&amp;" Equity","INTERVAL_LOW","MARKET_DATA_OVERRIDE=PX_LAST","START_DATE_OVERRIDE",TEXT(INDEX(MO_SNA_FPStartDate,0,COLUMN()),"YYYYMMDD"),"END_DATE_OVERRIDE",TEXT(INDEX(MO_Common_QEndDate,0,COLUMN()),"YYYYMMDD")),"N/A")</f>
        <v>N/A</v>
      </c>
      <c r="AE901" s="464" t="str">
        <f t="array" aca="1" ref="AE901" ca="1">IFERROR(BDP(MO.Ticker.Bloomberg&amp;" Equity","INTERVAL_LOW","MARKET_DATA_OVERRIDE=PX_LAST","START_DATE_OVERRIDE",TEXT(INDEX(MO_SNA_FPStartDate,0,COLUMN()),"YYYYMMDD"),"END_DATE_OVERRIDE",TEXT(INDEX(MO_Common_QEndDate,0,COLUMN()),"YYYYMMDD")),"N/A")</f>
        <v>N/A</v>
      </c>
      <c r="AF901" s="464" t="str">
        <f t="array" aca="1" ref="AF901" ca="1">IFERROR(BDP(MO.Ticker.Bloomberg&amp;" Equity","INTERVAL_LOW","MARKET_DATA_OVERRIDE=PX_LAST","START_DATE_OVERRIDE",TEXT(INDEX(MO_SNA_FPStartDate,0,COLUMN()),"YYYYMMDD"),"END_DATE_OVERRIDE",TEXT(INDEX(MO_Common_QEndDate,0,COLUMN()),"YYYYMMDD")),"N/A")</f>
        <v>N/A</v>
      </c>
      <c r="AG901" s="464" t="str">
        <f t="array" aca="1" ref="AG901" ca="1">IFERROR(BDP(MO.Ticker.Bloomberg&amp;" Equity","INTERVAL_LOW","MARKET_DATA_OVERRIDE=PX_LAST","START_DATE_OVERRIDE",TEXT(INDEX(MO_SNA_FPStartDate,0,COLUMN()),"YYYYMMDD"),"END_DATE_OVERRIDE",TEXT(INDEX(MO_Common_QEndDate,0,COLUMN()),"YYYYMMDD")),"N/A")</f>
        <v>N/A</v>
      </c>
      <c r="AH901" s="464" t="str">
        <f t="array" aca="1" ref="AH901" ca="1">IFERROR(BDP(MO.Ticker.Bloomberg&amp;" Equity","INTERVAL_LOW","MARKET_DATA_OVERRIDE=PX_LAST","START_DATE_OVERRIDE",TEXT(INDEX(MO_SNA_FPStartDate,0,COLUMN()),"YYYYMMDD"),"END_DATE_OVERRIDE",TEXT(INDEX(MO_Common_QEndDate,0,COLUMN()),"YYYYMMDD")),"N/A")</f>
        <v>N/A</v>
      </c>
      <c r="AI901" s="464" t="str">
        <f t="array" aca="1" ref="AI901" ca="1">IFERROR(BDP(MO.Ticker.Bloomberg&amp;" Equity","INTERVAL_LOW","MARKET_DATA_OVERRIDE=PX_LAST","START_DATE_OVERRIDE",TEXT(INDEX(MO_SNA_FPStartDate,0,COLUMN()),"YYYYMMDD"),"END_DATE_OVERRIDE",TEXT(INDEX(MO_Common_QEndDate,0,COLUMN()),"YYYYMMDD")),"N/A")</f>
        <v>N/A</v>
      </c>
      <c r="AJ901" s="464" t="str">
        <f t="array" aca="1" ref="AJ901" ca="1">IFERROR(BDP(MO.Ticker.Bloomberg&amp;" Equity","INTERVAL_LOW","MARKET_DATA_OVERRIDE=PX_LAST","START_DATE_OVERRIDE",TEXT(INDEX(MO_SNA_FPStartDate,0,COLUMN()),"YYYYMMDD"),"END_DATE_OVERRIDE",TEXT(INDEX(MO_Common_QEndDate,0,COLUMN()),"YYYYMMDD")),"N/A")</f>
        <v>N/A</v>
      </c>
      <c r="AK901" s="464" t="str">
        <f t="array" aca="1" ref="AK901" ca="1">IFERROR(BDP(MO.Ticker.Bloomberg&amp;" Equity","INTERVAL_LOW","MARKET_DATA_OVERRIDE=PX_LAST","START_DATE_OVERRIDE",TEXT(INDEX(MO_SNA_FPStartDate,0,COLUMN()),"YYYYMMDD"),"END_DATE_OVERRIDE",TEXT(INDEX(MO_Common_QEndDate,0,COLUMN()),"YYYYMMDD")),"N/A")</f>
        <v>N/A</v>
      </c>
      <c r="AL901" s="464" t="str">
        <f t="array" aca="1" ref="AL901" ca="1">IFERROR(BDP(MO.Ticker.Bloomberg&amp;" Equity","INTERVAL_LOW","MARKET_DATA_OVERRIDE=PX_LAST","START_DATE_OVERRIDE",TEXT(INDEX(MO_SNA_FPStartDate,0,COLUMN()),"YYYYMMDD"),"END_DATE_OVERRIDE",TEXT(INDEX(MO_Common_QEndDate,0,COLUMN()),"YYYYMMDD")),"N/A")</f>
        <v>N/A</v>
      </c>
      <c r="AM901" s="464" t="str">
        <f t="array" aca="1" ref="AM901" ca="1">IFERROR(BDP(MO.Ticker.Bloomberg&amp;" Equity","INTERVAL_LOW","MARKET_DATA_OVERRIDE=PX_LAST","START_DATE_OVERRIDE",TEXT(INDEX(MO_SNA_FPStartDate,0,COLUMN()),"YYYYMMDD"),"END_DATE_OVERRIDE",TEXT(INDEX(MO_Common_QEndDate,0,COLUMN()),"YYYYMMDD")),"N/A")</f>
        <v>N/A</v>
      </c>
      <c r="AN901" s="464" t="str">
        <f t="array" aca="1" ref="AN901" ca="1">IFERROR(BDP(MO.Ticker.Bloomberg&amp;" Equity","INTERVAL_LOW","MARKET_DATA_OVERRIDE=PX_LAST","START_DATE_OVERRIDE",TEXT(INDEX(MO_SNA_FPStartDate,0,COLUMN()),"YYYYMMDD"),"END_DATE_OVERRIDE",TEXT(INDEX(MO_Common_QEndDate,0,COLUMN()),"YYYYMMDD")),"N/A")</f>
        <v>N/A</v>
      </c>
      <c r="AO901" s="464" t="str">
        <f t="array" aca="1" ref="AO901" ca="1">IFERROR(BDP(MO.Ticker.Bloomberg&amp;" Equity","INTERVAL_LOW","MARKET_DATA_OVERRIDE=PX_LAST","START_DATE_OVERRIDE",TEXT(INDEX(MO_SNA_FPStartDate,0,COLUMN()),"YYYYMMDD"),"END_DATE_OVERRIDE",TEXT(INDEX(MO_Common_QEndDate,0,COLUMN()),"YYYYMMDD")),"N/A")</f>
        <v>N/A</v>
      </c>
      <c r="AP901" s="464" t="str">
        <f t="array" aca="1" ref="AP901" ca="1">IFERROR(BDP(MO.Ticker.Bloomberg&amp;" Equity","INTERVAL_LOW","MARKET_DATA_OVERRIDE=PX_LAST","START_DATE_OVERRIDE",TEXT(INDEX(MO_SNA_FPStartDate,0,COLUMN()),"YYYYMMDD"),"END_DATE_OVERRIDE",TEXT(INDEX(MO_Common_QEndDate,0,COLUMN()),"YYYYMMDD")),"N/A")</f>
        <v>N/A</v>
      </c>
      <c r="AQ901" s="464" t="str">
        <f t="array" aca="1" ref="AQ901" ca="1">IFERROR(BDP(MO.Ticker.Bloomberg&amp;" Equity","INTERVAL_LOW","MARKET_DATA_OVERRIDE=PX_LAST","START_DATE_OVERRIDE",TEXT(INDEX(MO_SNA_FPStartDate,0,COLUMN()),"YYYYMMDD"),"END_DATE_OVERRIDE",TEXT(INDEX(MO_Common_QEndDate,0,COLUMN()),"YYYYMMDD")),"N/A")</f>
        <v>N/A</v>
      </c>
      <c r="AR901" s="464" t="str">
        <f t="array" aca="1" ref="AR901" ca="1">IFERROR(BDP(MO.Ticker.Bloomberg&amp;" Equity","INTERVAL_LOW","MARKET_DATA_OVERRIDE=PX_LAST","START_DATE_OVERRIDE",TEXT(INDEX(MO_SNA_FPStartDate,0,COLUMN()),"YYYYMMDD"),"END_DATE_OVERRIDE",TEXT(INDEX(MO_Common_QEndDate,0,COLUMN()),"YYYYMMDD")),"N/A")</f>
        <v>N/A</v>
      </c>
      <c r="AS901" s="464" t="str">
        <f t="array" aca="1" ref="AS901" ca="1">IFERROR(BDP(MO.Ticker.Bloomberg&amp;" Equity","INTERVAL_LOW","MARKET_DATA_OVERRIDE=PX_LAST","START_DATE_OVERRIDE",TEXT(INDEX(MO_SNA_FPStartDate,0,COLUMN()),"YYYYMMDD"),"END_DATE_OVERRIDE",TEXT(INDEX(MO_Common_QEndDate,0,COLUMN()),"YYYYMMDD")),"N/A")</f>
        <v>N/A</v>
      </c>
      <c r="AT901" s="464" t="str">
        <f t="array" aca="1" ref="AT901" ca="1">IFERROR(BDP(MO.Ticker.Bloomberg&amp;" Equity","INTERVAL_LOW","MARKET_DATA_OVERRIDE=PX_LAST","START_DATE_OVERRIDE",TEXT(INDEX(MO_SNA_FPStartDate,0,COLUMN()),"YYYYMMDD"),"END_DATE_OVERRIDE",TEXT(INDEX(MO_Common_QEndDate,0,COLUMN()),"YYYYMMDD")),"N/A")</f>
        <v>N/A</v>
      </c>
      <c r="AU901" s="464" t="str">
        <f t="array" aca="1" ref="AU901" ca="1">IFERROR(BDP(MO.Ticker.Bloomberg&amp;" Equity","INTERVAL_LOW","MARKET_DATA_OVERRIDE=PX_LAST","START_DATE_OVERRIDE",TEXT(INDEX(MO_SNA_FPStartDate,0,COLUMN()),"YYYYMMDD"),"END_DATE_OVERRIDE",TEXT(INDEX(MO_Common_QEndDate,0,COLUMN()),"YYYYMMDD")),"N/A")</f>
        <v>N/A</v>
      </c>
      <c r="AV901" s="464" t="str">
        <f t="array" aca="1" ref="AV901" ca="1">IFERROR(BDP(MO.Ticker.Bloomberg&amp;" Equity","INTERVAL_LOW","MARKET_DATA_OVERRIDE=PX_LAST","START_DATE_OVERRIDE",TEXT(INDEX(MO_SNA_FPStartDate,0,COLUMN()),"YYYYMMDD"),"END_DATE_OVERRIDE",TEXT(INDEX(MO_Common_QEndDate,0,COLUMN()),"YYYYMMDD")),"N/A")</f>
        <v>N/A</v>
      </c>
      <c r="AW901" s="464" t="str">
        <f t="array" aca="1" ref="AW901" ca="1">IFERROR(BDP(MO.Ticker.Bloomberg&amp;" Equity","INTERVAL_LOW","MARKET_DATA_OVERRIDE=PX_LAST","START_DATE_OVERRIDE",TEXT(INDEX(MO_SNA_FPStartDate,0,COLUMN()),"YYYYMMDD"),"END_DATE_OVERRIDE",TEXT(INDEX(MO_Common_QEndDate,0,COLUMN()),"YYYYMMDD")),"N/A")</f>
        <v>N/A</v>
      </c>
      <c r="AX901" s="464" t="str">
        <f t="array" aca="1" ref="AX901" ca="1">IFERROR(BDP(MO.Ticker.Bloomberg&amp;" Equity","INTERVAL_LOW","MARKET_DATA_OVERRIDE=PX_LAST","START_DATE_OVERRIDE",TEXT(INDEX(MO_SNA_FPStartDate,0,COLUMN()),"YYYYMMDD"),"END_DATE_OVERRIDE",TEXT(INDEX(MO_Common_QEndDate,0,COLUMN()),"YYYYMMDD")),"N/A")</f>
        <v>N/A</v>
      </c>
      <c r="AY901" s="464" t="str">
        <f t="array" aca="1" ref="AY901" ca="1">IFERROR(BDP(MO.Ticker.Bloomberg&amp;" Equity","INTERVAL_LOW","MARKET_DATA_OVERRIDE=PX_LAST","START_DATE_OVERRIDE",TEXT(INDEX(MO_SNA_FPStartDate,0,COLUMN()),"YYYYMMDD"),"END_DATE_OVERRIDE",TEXT(INDEX(MO_Common_QEndDate,0,COLUMN()),"YYYYMMDD")),"N/A")</f>
        <v>N/A</v>
      </c>
      <c r="AZ901" s="464" t="str">
        <f t="array" aca="1" ref="AZ901" ca="1">IFERROR(BDP(MO.Ticker.Bloomberg&amp;" Equity","INTERVAL_LOW","MARKET_DATA_OVERRIDE=PX_LAST","START_DATE_OVERRIDE",TEXT(INDEX(MO_SNA_FPStartDate,0,COLUMN()),"YYYYMMDD"),"END_DATE_OVERRIDE",TEXT(INDEX(MO_Common_QEndDate,0,COLUMN()),"YYYYMMDD")),"N/A")</f>
        <v>N/A</v>
      </c>
      <c r="BA901" s="464" t="str">
        <f t="array" aca="1" ref="BA901" ca="1">IFERROR(BDP(MO.Ticker.Bloomberg&amp;" Equity","INTERVAL_LOW","MARKET_DATA_OVERRIDE=PX_LAST","START_DATE_OVERRIDE",TEXT(INDEX(MO_SNA_FPStartDate,0,COLUMN()),"YYYYMMDD"),"END_DATE_OVERRIDE",TEXT(INDEX(MO_Common_QEndDate,0,COLUMN()),"YYYYMMDD")),"N/A")</f>
        <v>N/A</v>
      </c>
      <c r="BB901" s="464" t="str">
        <f t="array" aca="1" ref="BB901" ca="1">IFERROR(BDP(MO.Ticker.Bloomberg&amp;" Equity","INTERVAL_LOW","MARKET_DATA_OVERRIDE=PX_LAST","START_DATE_OVERRIDE",TEXT(INDEX(MO_SNA_FPStartDate,0,COLUMN()),"YYYYMMDD"),"END_DATE_OVERRIDE",TEXT(INDEX(MO_Common_QEndDate,0,COLUMN()),"YYYYMMDD")),"N/A")</f>
        <v>N/A</v>
      </c>
      <c r="BC901" s="464" t="str">
        <f t="array" aca="1" ref="BC901" ca="1">IFERROR(BDP(MO.Ticker.Bloomberg&amp;" Equity","INTERVAL_LOW","MARKET_DATA_OVERRIDE=PX_LAST","START_DATE_OVERRIDE",TEXT(INDEX(MO_SNA_FPStartDate,0,COLUMN()),"YYYYMMDD"),"END_DATE_OVERRIDE",TEXT(INDEX(MO_Common_QEndDate,0,COLUMN()),"YYYYMMDD")),"N/A")</f>
        <v>N/A</v>
      </c>
      <c r="BD901" s="464" t="str">
        <f t="array" aca="1" ref="BD901" ca="1">IFERROR(BDP(MO.Ticker.Bloomberg&amp;" Equity","INTERVAL_LOW","MARKET_DATA_OVERRIDE=PX_LAST","START_DATE_OVERRIDE",TEXT(INDEX(MO_SNA_FPStartDate,0,COLUMN()),"YYYYMMDD"),"END_DATE_OVERRIDE",TEXT(INDEX(MO_Common_QEndDate,0,COLUMN()),"YYYYMMDD")),"N/A")</f>
        <v>N/A</v>
      </c>
      <c r="BE901" s="464" t="str">
        <f t="array" aca="1" ref="BE901" ca="1">IFERROR(BDP(MO.Ticker.Bloomberg&amp;" Equity","INTERVAL_LOW","MARKET_DATA_OVERRIDE=PX_LAST","START_DATE_OVERRIDE",TEXT(INDEX(MO_SNA_FPStartDate,0,COLUMN()),"YYYYMMDD"),"END_DATE_OVERRIDE",TEXT(INDEX(MO_Common_QEndDate,0,COLUMN()),"YYYYMMDD")),"N/A")</f>
        <v>N/A</v>
      </c>
      <c r="BF901" s="464" t="str">
        <f t="array" aca="1" ref="BF901" ca="1">IFERROR(BDP(MO.Ticker.Bloomberg&amp;" Equity","INTERVAL_LOW","MARKET_DATA_OVERRIDE=PX_LAST","START_DATE_OVERRIDE",TEXT(INDEX(MO_SNA_FPStartDate,0,COLUMN()),"YYYYMMDD"),"END_DATE_OVERRIDE",TEXT(INDEX(MO_Common_QEndDate,0,COLUMN()),"YYYYMMDD")),"N/A")</f>
        <v>N/A</v>
      </c>
      <c r="BG901" s="464" t="str">
        <f t="array" aca="1" ref="BG901" ca="1">IFERROR(BDP(MO.Ticker.Bloomberg&amp;" Equity","INTERVAL_LOW","MARKET_DATA_OVERRIDE=PX_LAST","START_DATE_OVERRIDE",TEXT(INDEX(MO_SNA_FPStartDate,0,COLUMN()),"YYYYMMDD"),"END_DATE_OVERRIDE",TEXT(INDEX(MO_Common_QEndDate,0,COLUMN()),"YYYYMMDD")),"N/A")</f>
        <v>N/A</v>
      </c>
      <c r="BH901" s="464" t="str">
        <f t="array" aca="1" ref="BH901" ca="1">IFERROR(BDP(MO.Ticker.Bloomberg&amp;" Equity","INTERVAL_LOW","MARKET_DATA_OVERRIDE=PX_LAST","START_DATE_OVERRIDE",TEXT(INDEX(MO_SNA_FPStartDate,0,COLUMN()),"YYYYMMDD"),"END_DATE_OVERRIDE",TEXT(INDEX(MO_Common_QEndDate,0,COLUMN()),"YYYYMMDD")),"N/A")</f>
        <v>N/A</v>
      </c>
      <c r="BI901" s="564" t="str">
        <f t="array" aca="1" ref="BI901" ca="1">IFERROR(BDP(MO.Ticker.Bloomberg&amp;" Equity","INTERVAL_LOW","MARKET_DATA_OVERRIDE=PX_LAST","START_DATE_OVERRIDE",TEXT(INDEX(MO_SNA_FPStartDate,0,COLUMN()),"YYYYMMDD"),"END_DATE_OVERRIDE",TEXT(INDEX(MO_Common_QEndDate,0,COLUMN()),"YYYYMMDD")),"N/A")</f>
        <v>N/A</v>
      </c>
      <c r="BJ901" s="464" t="str">
        <f t="array" aca="1" ref="BJ901" ca="1">IFERROR(BDP(MO.Ticker.Bloomberg&amp;" Equity","INTERVAL_LOW","MARKET_DATA_OVERRIDE=PX_LAST","START_DATE_OVERRIDE",TEXT(INDEX(MO_SNA_FPStartDate,0,COLUMN()),"YYYYMMDD"),"END_DATE_OVERRIDE",TEXT(INDEX(MO_Common_QEndDate,0,COLUMN()),"YYYYMMDD")),"N/A")</f>
        <v>N/A</v>
      </c>
      <c r="BK901" s="464" t="str">
        <f t="array" aca="1" ref="BK901" ca="1">IFERROR(BDP(MO.Ticker.Bloomberg&amp;" Equity","INTERVAL_LOW","MARKET_DATA_OVERRIDE=PX_LAST","START_DATE_OVERRIDE",TEXT(INDEX(MO_SNA_FPStartDate,0,COLUMN()),"YYYYMMDD"),"END_DATE_OVERRIDE",TEXT(INDEX(MO_Common_QEndDate,0,COLUMN()),"YYYYMMDD")),"N/A")</f>
        <v>N/A</v>
      </c>
      <c r="BL901" s="464" t="str">
        <f t="array" aca="1" ref="BL901" ca="1">IFERROR(BDP(MO.Ticker.Bloomberg&amp;" Equity","INTERVAL_LOW","MARKET_DATA_OVERRIDE=PX_LAST","START_DATE_OVERRIDE",TEXT(INDEX(MO_SNA_FPStartDate,0,COLUMN()),"YYYYMMDD"),"END_DATE_OVERRIDE",TEXT(INDEX(MO_Common_QEndDate,0,COLUMN()),"YYYYMMDD")),"N/A")</f>
        <v>N/A</v>
      </c>
      <c r="BM901" s="464" t="str">
        <f t="array" aca="1" ref="BM901" ca="1">IFERROR(BDP(MO.Ticker.Bloomberg&amp;" Equity","INTERVAL_LOW","MARKET_DATA_OVERRIDE=PX_LAST","START_DATE_OVERRIDE",TEXT(INDEX(MO_SNA_FPStartDate,0,COLUMN()),"YYYYMMDD"),"END_DATE_OVERRIDE",TEXT(INDEX(MO_Common_QEndDate,0,COLUMN()),"YYYYMMDD")),"N/A")</f>
        <v>N/A</v>
      </c>
      <c r="BN901" s="464" t="str">
        <f t="array" aca="1" ref="BN901" ca="1">IFERROR(BDP(MO.Ticker.Bloomberg&amp;" Equity","INTERVAL_LOW","MARKET_DATA_OVERRIDE=PX_LAST","START_DATE_OVERRIDE",TEXT(INDEX(MO_SNA_FPStartDate,0,COLUMN()),"YYYYMMDD"),"END_DATE_OVERRIDE",TEXT(INDEX(MO_Common_QEndDate,0,COLUMN()),"YYYYMMDD")),"N/A")</f>
        <v>N/A</v>
      </c>
      <c r="BO901" s="464" t="str">
        <f t="array" aca="1" ref="BO901" ca="1">IFERROR(BDP(MO.Ticker.Bloomberg&amp;" Equity","INTERVAL_LOW","MARKET_DATA_OVERRIDE=PX_LAST","START_DATE_OVERRIDE",TEXT(INDEX(MO_SNA_FPStartDate,0,COLUMN()),"YYYYMMDD"),"END_DATE_OVERRIDE",TEXT(INDEX(MO_Common_QEndDate,0,COLUMN()),"YYYYMMDD")),"N/A")</f>
        <v>N/A</v>
      </c>
      <c r="BP901" s="464" t="str">
        <f t="array" aca="1" ref="BP901" ca="1">IFERROR(BDP(MO.Ticker.Bloomberg&amp;" Equity","INTERVAL_LOW","MARKET_DATA_OVERRIDE=PX_LAST","START_DATE_OVERRIDE",TEXT(INDEX(MO_SNA_FPStartDate,0,COLUMN()),"YYYYMMDD"),"END_DATE_OVERRIDE",TEXT(INDEX(MO_Common_QEndDate,0,COLUMN()),"YYYYMMDD")),"N/A")</f>
        <v>N/A</v>
      </c>
      <c r="BQ901" s="464" t="str">
        <f t="array" aca="1" ref="BQ901" ca="1">IFERROR(BDP(MO.Ticker.Bloomberg&amp;" Equity","INTERVAL_LOW","MARKET_DATA_OVERRIDE=PX_LAST","START_DATE_OVERRIDE",TEXT(INDEX(MO_SNA_FPStartDate,0,COLUMN()),"YYYYMMDD"),"END_DATE_OVERRIDE",TEXT(INDEX(MO_Common_QEndDate,0,COLUMN()),"YYYYMMDD")),"N/A")</f>
        <v>N/A</v>
      </c>
      <c r="BR901" s="464" t="str">
        <f t="array" aca="1" ref="BR901" ca="1">IFERROR(BDP(MO.Ticker.Bloomberg&amp;" Equity","INTERVAL_LOW","MARKET_DATA_OVERRIDE=PX_LAST","START_DATE_OVERRIDE",TEXT(INDEX(MO_SNA_FPStartDate,0,COLUMN()),"YYYYMMDD"),"END_DATE_OVERRIDE",TEXT(INDEX(MO_Common_QEndDate,0,COLUMN()),"YYYYMMDD")),"N/A")</f>
        <v>N/A</v>
      </c>
      <c r="BS901" s="464" t="str">
        <f t="array" aca="1" ref="BS901" ca="1">IFERROR(BDP(MO.Ticker.Bloomberg&amp;" Equity","INTERVAL_LOW","MARKET_DATA_OVERRIDE=PX_LAST","START_DATE_OVERRIDE",TEXT(INDEX(MO_SNA_FPStartDate,0,COLUMN()),"YYYYMMDD"),"END_DATE_OVERRIDE",TEXT(INDEX(MO_Common_QEndDate,0,COLUMN()),"YYYYMMDD")),"N/A")</f>
        <v>N/A</v>
      </c>
      <c r="BT901" s="464" t="str">
        <f t="array" aca="1" ref="BT901" ca="1">IFERROR(BDP(MO.Ticker.Bloomberg&amp;" Equity","INTERVAL_LOW","MARKET_DATA_OVERRIDE=PX_LAST","START_DATE_OVERRIDE",TEXT(INDEX(MO_SNA_FPStartDate,0,COLUMN()),"YYYYMMDD"),"END_DATE_OVERRIDE",TEXT(INDEX(MO_Common_QEndDate,0,COLUMN()),"YYYYMMDD")),"N/A")</f>
        <v>N/A</v>
      </c>
      <c r="BU901" s="464" t="str">
        <f t="array" aca="1" ref="BU901" ca="1">IFERROR(BDP(MO.Ticker.Bloomberg&amp;" Equity","INTERVAL_LOW","MARKET_DATA_OVERRIDE=PX_LAST","START_DATE_OVERRIDE",TEXT(INDEX(MO_SNA_FPStartDate,0,COLUMN()),"YYYYMMDD"),"END_DATE_OVERRIDE",TEXT(INDEX(MO_Common_QEndDate,0,COLUMN()),"YYYYMMDD")),"N/A")</f>
        <v>N/A</v>
      </c>
      <c r="BV901" s="565" t="str">
        <f t="array" aca="1" ref="BV901" ca="1">IFERROR(BDP(MO.Ticker.Bloomberg&amp;" Equity","INTERVAL_LOW","MARKET_DATA_OVERRIDE=PX_LAST","START_DATE_OVERRIDE",TEXT(INDEX(MO_SNA_FPStartDate,0,COLUMN()),"YYYYMMDD"),"END_DATE_OVERRIDE",TEXT(INDEX(MO_Common_QEndDate,0,COLUMN()),"YYYYMMDD")),"N/A")</f>
        <v>N/A</v>
      </c>
      <c r="BW901" s="566"/>
    </row>
    <row r="902" spans="1:75" ht="15.75" hidden="1" customHeight="1" outlineLevel="1" x14ac:dyDescent="0.2">
      <c r="A902" s="563" t="s">
        <v>936</v>
      </c>
      <c r="B902" s="464"/>
      <c r="C902" s="464" t="str">
        <f t="array" aca="1" ref="C902" ca="1">IFERROR(_xll.ciqfunctions.udf.CIQLO(MO.Ticker.CapIQ,"IQ_LASTSALEPRICE",INDEX(MO_SNA_FPStartDate,0,COLUMN()),INDEX(MO_Common_QEndDate,0,COLUMN())),"N/A")</f>
        <v>N/A</v>
      </c>
      <c r="D902" s="464" t="str">
        <f t="array" aca="1" ref="D902" ca="1">IFERROR(_xll.ciqfunctions.udf.CIQLO(MO.Ticker.CapIQ,"IQ_LASTSALEPRICE",INDEX(MO_SNA_FPStartDate,0,COLUMN()),INDEX(MO_Common_QEndDate,0,COLUMN())),"N/A")</f>
        <v>N/A</v>
      </c>
      <c r="E902" s="464" t="str">
        <f t="array" aca="1" ref="E902" ca="1">IFERROR(_xll.ciqfunctions.udf.CIQLO(MO.Ticker.CapIQ,"IQ_LASTSALEPRICE",INDEX(MO_SNA_FPStartDate,0,COLUMN()),INDEX(MO_Common_QEndDate,0,COLUMN())),"N/A")</f>
        <v>N/A</v>
      </c>
      <c r="F902" s="464" t="str">
        <f t="array" aca="1" ref="F902" ca="1">IFERROR(_xll.ciqfunctions.udf.CIQLO(MO.Ticker.CapIQ,"IQ_LASTSALEPRICE",INDEX(MO_SNA_FPStartDate,0,COLUMN()),INDEX(MO_Common_QEndDate,0,COLUMN())),"N/A")</f>
        <v>N/A</v>
      </c>
      <c r="G902" s="464" t="str">
        <f t="array" aca="1" ref="G902" ca="1">IFERROR(_xll.ciqfunctions.udf.CIQLO(MO.Ticker.CapIQ,"IQ_LASTSALEPRICE",INDEX(MO_SNA_FPStartDate,0,COLUMN()),INDEX(MO_Common_QEndDate,0,COLUMN())),"N/A")</f>
        <v>N/A</v>
      </c>
      <c r="H902" s="464" t="str">
        <f t="array" aca="1" ref="H902" ca="1">IFERROR(_xll.ciqfunctions.udf.CIQLO(MO.Ticker.CapIQ,"IQ_LASTSALEPRICE",INDEX(MO_SNA_FPStartDate,0,COLUMN()),INDEX(MO_Common_QEndDate,0,COLUMN())),"N/A")</f>
        <v>N/A</v>
      </c>
      <c r="I902" s="464" t="str">
        <f t="array" aca="1" ref="I902" ca="1">IFERROR(_xll.ciqfunctions.udf.CIQLO(MO.Ticker.CapIQ,"IQ_LASTSALEPRICE",INDEX(MO_SNA_FPStartDate,0,COLUMN()),INDEX(MO_Common_QEndDate,0,COLUMN())),"N/A")</f>
        <v>N/A</v>
      </c>
      <c r="J902" s="464" t="str">
        <f t="array" aca="1" ref="J902" ca="1">IFERROR(_xll.ciqfunctions.udf.CIQLO(MO.Ticker.CapIQ,"IQ_LASTSALEPRICE",INDEX(MO_SNA_FPStartDate,0,COLUMN()),INDEX(MO_Common_QEndDate,0,COLUMN())),"N/A")</f>
        <v>N/A</v>
      </c>
      <c r="K902" s="464" t="str">
        <f t="array" aca="1" ref="K902" ca="1">IFERROR(_xll.ciqfunctions.udf.CIQLO(MO.Ticker.CapIQ,"IQ_LASTSALEPRICE",INDEX(MO_SNA_FPStartDate,0,COLUMN()),INDEX(MO_Common_QEndDate,0,COLUMN())),"N/A")</f>
        <v>N/A</v>
      </c>
      <c r="L902" s="464" t="str">
        <f t="array" aca="1" ref="L902" ca="1">IFERROR(_xll.ciqfunctions.udf.CIQLO(MO.Ticker.CapIQ,"IQ_LASTSALEPRICE",INDEX(MO_SNA_FPStartDate,0,COLUMN()),INDEX(MO_Common_QEndDate,0,COLUMN())),"N/A")</f>
        <v>N/A</v>
      </c>
      <c r="M902" s="464" t="str">
        <f t="array" aca="1" ref="M902" ca="1">IFERROR(_xll.ciqfunctions.udf.CIQLO(MO.Ticker.CapIQ,"IQ_LASTSALEPRICE",INDEX(MO_SNA_FPStartDate,0,COLUMN()),INDEX(MO_Common_QEndDate,0,COLUMN())),"N/A")</f>
        <v>N/A</v>
      </c>
      <c r="N902" s="464" t="str">
        <f t="array" aca="1" ref="N902" ca="1">IFERROR(_xll.ciqfunctions.udf.CIQLO(MO.Ticker.CapIQ,"IQ_LASTSALEPRICE",INDEX(MO_SNA_FPStartDate,0,COLUMN()),INDEX(MO_Common_QEndDate,0,COLUMN())),"N/A")</f>
        <v>N/A</v>
      </c>
      <c r="O902" s="464" t="str">
        <f t="array" aca="1" ref="O902" ca="1">IFERROR(_xll.ciqfunctions.udf.CIQLO(MO.Ticker.CapIQ,"IQ_LASTSALEPRICE",INDEX(MO_SNA_FPStartDate,0,COLUMN()),INDEX(MO_Common_QEndDate,0,COLUMN())),"N/A")</f>
        <v>N/A</v>
      </c>
      <c r="P902" s="464" t="str">
        <f t="array" aca="1" ref="P902" ca="1">IFERROR(_xll.ciqfunctions.udf.CIQLO(MO.Ticker.CapIQ,"IQ_LASTSALEPRICE",INDEX(MO_SNA_FPStartDate,0,COLUMN()),INDEX(MO_Common_QEndDate,0,COLUMN())),"N/A")</f>
        <v>N/A</v>
      </c>
      <c r="Q902" s="464" t="str">
        <f t="array" aca="1" ref="Q902" ca="1">IFERROR(_xll.ciqfunctions.udf.CIQLO(MO.Ticker.CapIQ,"IQ_LASTSALEPRICE",INDEX(MO_SNA_FPStartDate,0,COLUMN()),INDEX(MO_Common_QEndDate,0,COLUMN())),"N/A")</f>
        <v>N/A</v>
      </c>
      <c r="R902" s="464" t="str">
        <f t="array" aca="1" ref="R902" ca="1">IFERROR(_xll.ciqfunctions.udf.CIQLO(MO.Ticker.CapIQ,"IQ_LASTSALEPRICE",INDEX(MO_SNA_FPStartDate,0,COLUMN()),INDEX(MO_Common_QEndDate,0,COLUMN())),"N/A")</f>
        <v>N/A</v>
      </c>
      <c r="S902" s="464" t="str">
        <f t="array" aca="1" ref="S902" ca="1">IFERROR(_xll.ciqfunctions.udf.CIQLO(MO.Ticker.CapIQ,"IQ_LASTSALEPRICE",INDEX(MO_SNA_FPStartDate,0,COLUMN()),INDEX(MO_Common_QEndDate,0,COLUMN())),"N/A")</f>
        <v>N/A</v>
      </c>
      <c r="T902" s="464" t="str">
        <f t="array" aca="1" ref="T902" ca="1">IFERROR(_xll.ciqfunctions.udf.CIQLO(MO.Ticker.CapIQ,"IQ_LASTSALEPRICE",INDEX(MO_SNA_FPStartDate,0,COLUMN()),INDEX(MO_Common_QEndDate,0,COLUMN())),"N/A")</f>
        <v>N/A</v>
      </c>
      <c r="U902" s="464" t="str">
        <f t="array" aca="1" ref="U902" ca="1">IFERROR(_xll.ciqfunctions.udf.CIQLO(MO.Ticker.CapIQ,"IQ_LASTSALEPRICE",INDEX(MO_SNA_FPStartDate,0,COLUMN()),INDEX(MO_Common_QEndDate,0,COLUMN())),"N/A")</f>
        <v>N/A</v>
      </c>
      <c r="V902" s="464" t="str">
        <f t="array" aca="1" ref="V902" ca="1">IFERROR(_xll.ciqfunctions.udf.CIQLO(MO.Ticker.CapIQ,"IQ_LASTSALEPRICE",INDEX(MO_SNA_FPStartDate,0,COLUMN()),INDEX(MO_Common_QEndDate,0,COLUMN())),"N/A")</f>
        <v>N/A</v>
      </c>
      <c r="W902" s="464" t="str">
        <f t="array" aca="1" ref="W902" ca="1">IFERROR(_xll.ciqfunctions.udf.CIQLO(MO.Ticker.CapIQ,"IQ_LASTSALEPRICE",INDEX(MO_SNA_FPStartDate,0,COLUMN()),INDEX(MO_Common_QEndDate,0,COLUMN())),"N/A")</f>
        <v>N/A</v>
      </c>
      <c r="X902" s="464" t="str">
        <f t="array" aca="1" ref="X902" ca="1">IFERROR(_xll.ciqfunctions.udf.CIQLO(MO.Ticker.CapIQ,"IQ_LASTSALEPRICE",INDEX(MO_SNA_FPStartDate,0,COLUMN()),INDEX(MO_Common_QEndDate,0,COLUMN())),"N/A")</f>
        <v>N/A</v>
      </c>
      <c r="Y902" s="464" t="str">
        <f t="array" aca="1" ref="Y902" ca="1">IFERROR(_xll.ciqfunctions.udf.CIQLO(MO.Ticker.CapIQ,"IQ_LASTSALEPRICE",INDEX(MO_SNA_FPStartDate,0,COLUMN()),INDEX(MO_Common_QEndDate,0,COLUMN())),"N/A")</f>
        <v>N/A</v>
      </c>
      <c r="Z902" s="464" t="str">
        <f t="array" aca="1" ref="Z902" ca="1">IFERROR(_xll.ciqfunctions.udf.CIQLO(MO.Ticker.CapIQ,"IQ_LASTSALEPRICE",INDEX(MO_SNA_FPStartDate,0,COLUMN()),INDEX(MO_Common_QEndDate,0,COLUMN())),"N/A")</f>
        <v>N/A</v>
      </c>
      <c r="AA902" s="464" t="str">
        <f t="array" aca="1" ref="AA902" ca="1">IFERROR(_xll.ciqfunctions.udf.CIQLO(MO.Ticker.CapIQ,"IQ_LASTSALEPRICE",INDEX(MO_SNA_FPStartDate,0,COLUMN()),INDEX(MO_Common_QEndDate,0,COLUMN())),"N/A")</f>
        <v>N/A</v>
      </c>
      <c r="AB902" s="464" t="str">
        <f t="array" aca="1" ref="AB902" ca="1">IFERROR(_xll.ciqfunctions.udf.CIQLO(MO.Ticker.CapIQ,"IQ_LASTSALEPRICE",INDEX(MO_SNA_FPStartDate,0,COLUMN()),INDEX(MO_Common_QEndDate,0,COLUMN())),"N/A")</f>
        <v>N/A</v>
      </c>
      <c r="AC902" s="464" t="str">
        <f t="array" aca="1" ref="AC902" ca="1">IFERROR(_xll.ciqfunctions.udf.CIQLO(MO.Ticker.CapIQ,"IQ_LASTSALEPRICE",INDEX(MO_SNA_FPStartDate,0,COLUMN()),INDEX(MO_Common_QEndDate,0,COLUMN())),"N/A")</f>
        <v>N/A</v>
      </c>
      <c r="AD902" s="464" t="str">
        <f t="array" aca="1" ref="AD902" ca="1">IFERROR(_xll.ciqfunctions.udf.CIQLO(MO.Ticker.CapIQ,"IQ_LASTSALEPRICE",INDEX(MO_SNA_FPStartDate,0,COLUMN()),INDEX(MO_Common_QEndDate,0,COLUMN())),"N/A")</f>
        <v>N/A</v>
      </c>
      <c r="AE902" s="464" t="str">
        <f t="array" aca="1" ref="AE902" ca="1">IFERROR(_xll.ciqfunctions.udf.CIQLO(MO.Ticker.CapIQ,"IQ_LASTSALEPRICE",INDEX(MO_SNA_FPStartDate,0,COLUMN()),INDEX(MO_Common_QEndDate,0,COLUMN())),"N/A")</f>
        <v>N/A</v>
      </c>
      <c r="AF902" s="464" t="str">
        <f t="array" aca="1" ref="AF902" ca="1">IFERROR(_xll.ciqfunctions.udf.CIQLO(MO.Ticker.CapIQ,"IQ_LASTSALEPRICE",INDEX(MO_SNA_FPStartDate,0,COLUMN()),INDEX(MO_Common_QEndDate,0,COLUMN())),"N/A")</f>
        <v>N/A</v>
      </c>
      <c r="AG902" s="464" t="str">
        <f t="array" aca="1" ref="AG902" ca="1">IFERROR(_xll.ciqfunctions.udf.CIQLO(MO.Ticker.CapIQ,"IQ_LASTSALEPRICE",INDEX(MO_SNA_FPStartDate,0,COLUMN()),INDEX(MO_Common_QEndDate,0,COLUMN())),"N/A")</f>
        <v>N/A</v>
      </c>
      <c r="AH902" s="464" t="str">
        <f t="array" aca="1" ref="AH902" ca="1">IFERROR(_xll.ciqfunctions.udf.CIQLO(MO.Ticker.CapIQ,"IQ_LASTSALEPRICE",INDEX(MO_SNA_FPStartDate,0,COLUMN()),INDEX(MO_Common_QEndDate,0,COLUMN())),"N/A")</f>
        <v>N/A</v>
      </c>
      <c r="AI902" s="464" t="str">
        <f t="array" aca="1" ref="AI902" ca="1">IFERROR(_xll.ciqfunctions.udf.CIQLO(MO.Ticker.CapIQ,"IQ_LASTSALEPRICE",INDEX(MO_SNA_FPStartDate,0,COLUMN()),INDEX(MO_Common_QEndDate,0,COLUMN())),"N/A")</f>
        <v>N/A</v>
      </c>
      <c r="AJ902" s="464" t="str">
        <f t="array" aca="1" ref="AJ902" ca="1">IFERROR(_xll.ciqfunctions.udf.CIQLO(MO.Ticker.CapIQ,"IQ_LASTSALEPRICE",INDEX(MO_SNA_FPStartDate,0,COLUMN()),INDEX(MO_Common_QEndDate,0,COLUMN())),"N/A")</f>
        <v>N/A</v>
      </c>
      <c r="AK902" s="464" t="str">
        <f t="array" aca="1" ref="AK902" ca="1">IFERROR(_xll.ciqfunctions.udf.CIQLO(MO.Ticker.CapIQ,"IQ_LASTSALEPRICE",INDEX(MO_SNA_FPStartDate,0,COLUMN()),INDEX(MO_Common_QEndDate,0,COLUMN())),"N/A")</f>
        <v>N/A</v>
      </c>
      <c r="AL902" s="464" t="str">
        <f t="array" aca="1" ref="AL902" ca="1">IFERROR(_xll.ciqfunctions.udf.CIQLO(MO.Ticker.CapIQ,"IQ_LASTSALEPRICE",INDEX(MO_SNA_FPStartDate,0,COLUMN()),INDEX(MO_Common_QEndDate,0,COLUMN())),"N/A")</f>
        <v>N/A</v>
      </c>
      <c r="AM902" s="464" t="str">
        <f t="array" aca="1" ref="AM902" ca="1">IFERROR(_xll.ciqfunctions.udf.CIQLO(MO.Ticker.CapIQ,"IQ_LASTSALEPRICE",INDEX(MO_SNA_FPStartDate,0,COLUMN()),INDEX(MO_Common_QEndDate,0,COLUMN())),"N/A")</f>
        <v>N/A</v>
      </c>
      <c r="AN902" s="464" t="str">
        <f t="array" aca="1" ref="AN902" ca="1">IFERROR(_xll.ciqfunctions.udf.CIQLO(MO.Ticker.CapIQ,"IQ_LASTSALEPRICE",INDEX(MO_SNA_FPStartDate,0,COLUMN()),INDEX(MO_Common_QEndDate,0,COLUMN())),"N/A")</f>
        <v>N/A</v>
      </c>
      <c r="AO902" s="464" t="str">
        <f t="array" aca="1" ref="AO902" ca="1">IFERROR(_xll.ciqfunctions.udf.CIQLO(MO.Ticker.CapIQ,"IQ_LASTSALEPRICE",INDEX(MO_SNA_FPStartDate,0,COLUMN()),INDEX(MO_Common_QEndDate,0,COLUMN())),"N/A")</f>
        <v>N/A</v>
      </c>
      <c r="AP902" s="464" t="str">
        <f t="array" aca="1" ref="AP902" ca="1">IFERROR(_xll.ciqfunctions.udf.CIQLO(MO.Ticker.CapIQ,"IQ_LASTSALEPRICE",INDEX(MO_SNA_FPStartDate,0,COLUMN()),INDEX(MO_Common_QEndDate,0,COLUMN())),"N/A")</f>
        <v>N/A</v>
      </c>
      <c r="AQ902" s="464" t="str">
        <f t="array" aca="1" ref="AQ902" ca="1">IFERROR(_xll.ciqfunctions.udf.CIQLO(MO.Ticker.CapIQ,"IQ_LASTSALEPRICE",INDEX(MO_SNA_FPStartDate,0,COLUMN()),INDEX(MO_Common_QEndDate,0,COLUMN())),"N/A")</f>
        <v>N/A</v>
      </c>
      <c r="AR902" s="464" t="str">
        <f t="array" aca="1" ref="AR902" ca="1">IFERROR(_xll.ciqfunctions.udf.CIQLO(MO.Ticker.CapIQ,"IQ_LASTSALEPRICE",INDEX(MO_SNA_FPStartDate,0,COLUMN()),INDEX(MO_Common_QEndDate,0,COLUMN())),"N/A")</f>
        <v>N/A</v>
      </c>
      <c r="AS902" s="464" t="str">
        <f t="array" aca="1" ref="AS902" ca="1">IFERROR(_xll.ciqfunctions.udf.CIQLO(MO.Ticker.CapIQ,"IQ_LASTSALEPRICE",INDEX(MO_SNA_FPStartDate,0,COLUMN()),INDEX(MO_Common_QEndDate,0,COLUMN())),"N/A")</f>
        <v>N/A</v>
      </c>
      <c r="AT902" s="464" t="str">
        <f t="array" aca="1" ref="AT902" ca="1">IFERROR(_xll.ciqfunctions.udf.CIQLO(MO.Ticker.CapIQ,"IQ_LASTSALEPRICE",INDEX(MO_SNA_FPStartDate,0,COLUMN()),INDEX(MO_Common_QEndDate,0,COLUMN())),"N/A")</f>
        <v>N/A</v>
      </c>
      <c r="AU902" s="464" t="str">
        <f t="array" aca="1" ref="AU902" ca="1">IFERROR(_xll.ciqfunctions.udf.CIQLO(MO.Ticker.CapIQ,"IQ_LASTSALEPRICE",INDEX(MO_SNA_FPStartDate,0,COLUMN()),INDEX(MO_Common_QEndDate,0,COLUMN())),"N/A")</f>
        <v>N/A</v>
      </c>
      <c r="AV902" s="464" t="str">
        <f t="array" aca="1" ref="AV902" ca="1">IFERROR(_xll.ciqfunctions.udf.CIQLO(MO.Ticker.CapIQ,"IQ_LASTSALEPRICE",INDEX(MO_SNA_FPStartDate,0,COLUMN()),INDEX(MO_Common_QEndDate,0,COLUMN())),"N/A")</f>
        <v>N/A</v>
      </c>
      <c r="AW902" s="464" t="str">
        <f t="array" aca="1" ref="AW902" ca="1">IFERROR(_xll.ciqfunctions.udf.CIQLO(MO.Ticker.CapIQ,"IQ_LASTSALEPRICE",INDEX(MO_SNA_FPStartDate,0,COLUMN()),INDEX(MO_Common_QEndDate,0,COLUMN())),"N/A")</f>
        <v>N/A</v>
      </c>
      <c r="AX902" s="464" t="str">
        <f t="array" aca="1" ref="AX902" ca="1">IFERROR(_xll.ciqfunctions.udf.CIQLO(MO.Ticker.CapIQ,"IQ_LASTSALEPRICE",INDEX(MO_SNA_FPStartDate,0,COLUMN()),INDEX(MO_Common_QEndDate,0,COLUMN())),"N/A")</f>
        <v>N/A</v>
      </c>
      <c r="AY902" s="464" t="str">
        <f t="array" aca="1" ref="AY902" ca="1">IFERROR(_xll.ciqfunctions.udf.CIQLO(MO.Ticker.CapIQ,"IQ_LASTSALEPRICE",INDEX(MO_SNA_FPStartDate,0,COLUMN()),INDEX(MO_Common_QEndDate,0,COLUMN())),"N/A")</f>
        <v>N/A</v>
      </c>
      <c r="AZ902" s="464" t="str">
        <f t="array" aca="1" ref="AZ902" ca="1">IFERROR(_xll.ciqfunctions.udf.CIQLO(MO.Ticker.CapIQ,"IQ_LASTSALEPRICE",INDEX(MO_SNA_FPStartDate,0,COLUMN()),INDEX(MO_Common_QEndDate,0,COLUMN())),"N/A")</f>
        <v>N/A</v>
      </c>
      <c r="BA902" s="464" t="str">
        <f t="array" aca="1" ref="BA902" ca="1">IFERROR(_xll.ciqfunctions.udf.CIQLO(MO.Ticker.CapIQ,"IQ_LASTSALEPRICE",INDEX(MO_SNA_FPStartDate,0,COLUMN()),INDEX(MO_Common_QEndDate,0,COLUMN())),"N/A")</f>
        <v>N/A</v>
      </c>
      <c r="BB902" s="464" t="str">
        <f t="array" aca="1" ref="BB902" ca="1">IFERROR(_xll.ciqfunctions.udf.CIQLO(MO.Ticker.CapIQ,"IQ_LASTSALEPRICE",INDEX(MO_SNA_FPStartDate,0,COLUMN()),INDEX(MO_Common_QEndDate,0,COLUMN())),"N/A")</f>
        <v>N/A</v>
      </c>
      <c r="BC902" s="464" t="str">
        <f t="array" aca="1" ref="BC902" ca="1">IFERROR(_xll.ciqfunctions.udf.CIQLO(MO.Ticker.CapIQ,"IQ_LASTSALEPRICE",INDEX(MO_SNA_FPStartDate,0,COLUMN()),INDEX(MO_Common_QEndDate,0,COLUMN())),"N/A")</f>
        <v>N/A</v>
      </c>
      <c r="BD902" s="464" t="str">
        <f t="array" aca="1" ref="BD902" ca="1">IFERROR(_xll.ciqfunctions.udf.CIQLO(MO.Ticker.CapIQ,"IQ_LASTSALEPRICE",INDEX(MO_SNA_FPStartDate,0,COLUMN()),INDEX(MO_Common_QEndDate,0,COLUMN())),"N/A")</f>
        <v>N/A</v>
      </c>
      <c r="BE902" s="464" t="str">
        <f t="array" aca="1" ref="BE902" ca="1">IFERROR(_xll.ciqfunctions.udf.CIQLO(MO.Ticker.CapIQ,"IQ_LASTSALEPRICE",INDEX(MO_SNA_FPStartDate,0,COLUMN()),INDEX(MO_Common_QEndDate,0,COLUMN())),"N/A")</f>
        <v>N/A</v>
      </c>
      <c r="BF902" s="464" t="str">
        <f t="array" aca="1" ref="BF902" ca="1">IFERROR(_xll.ciqfunctions.udf.CIQLO(MO.Ticker.CapIQ,"IQ_LASTSALEPRICE",INDEX(MO_SNA_FPStartDate,0,COLUMN()),INDEX(MO_Common_QEndDate,0,COLUMN())),"N/A")</f>
        <v>N/A</v>
      </c>
      <c r="BG902" s="464" t="str">
        <f t="array" aca="1" ref="BG902" ca="1">IFERROR(_xll.ciqfunctions.udf.CIQLO(MO.Ticker.CapIQ,"IQ_LASTSALEPRICE",INDEX(MO_SNA_FPStartDate,0,COLUMN()),INDEX(MO_Common_QEndDate,0,COLUMN())),"N/A")</f>
        <v>N/A</v>
      </c>
      <c r="BH902" s="464" t="str">
        <f t="array" aca="1" ref="BH902" ca="1">IFERROR(_xll.ciqfunctions.udf.CIQLO(MO.Ticker.CapIQ,"IQ_LASTSALEPRICE",INDEX(MO_SNA_FPStartDate,0,COLUMN()),INDEX(MO_Common_QEndDate,0,COLUMN())),"N/A")</f>
        <v>N/A</v>
      </c>
      <c r="BI902" s="564" t="str">
        <f t="array" aca="1" ref="BI902" ca="1">IFERROR(_xll.ciqfunctions.udf.CIQLO(MO.Ticker.CapIQ,"IQ_LASTSALEPRICE",INDEX(MO_SNA_FPStartDate,0,COLUMN()),INDEX(MO_Common_QEndDate,0,COLUMN())),"N/A")</f>
        <v>N/A</v>
      </c>
      <c r="BJ902" s="464" t="str">
        <f t="array" aca="1" ref="BJ902" ca="1">IFERROR(_xll.ciqfunctions.udf.CIQLO(MO.Ticker.CapIQ,"IQ_LASTSALEPRICE",INDEX(MO_SNA_FPStartDate,0,COLUMN()),INDEX(MO_Common_QEndDate,0,COLUMN())),"N/A")</f>
        <v>N/A</v>
      </c>
      <c r="BK902" s="464" t="str">
        <f t="array" aca="1" ref="BK902" ca="1">IFERROR(_xll.ciqfunctions.udf.CIQLO(MO.Ticker.CapIQ,"IQ_LASTSALEPRICE",INDEX(MO_SNA_FPStartDate,0,COLUMN()),INDEX(MO_Common_QEndDate,0,COLUMN())),"N/A")</f>
        <v>N/A</v>
      </c>
      <c r="BL902" s="464" t="str">
        <f t="array" aca="1" ref="BL902" ca="1">IFERROR(_xll.ciqfunctions.udf.CIQLO(MO.Ticker.CapIQ,"IQ_LASTSALEPRICE",INDEX(MO_SNA_FPStartDate,0,COLUMN()),INDEX(MO_Common_QEndDate,0,COLUMN())),"N/A")</f>
        <v>N/A</v>
      </c>
      <c r="BM902" s="464" t="str">
        <f t="array" aca="1" ref="BM902" ca="1">IFERROR(_xll.ciqfunctions.udf.CIQLO(MO.Ticker.CapIQ,"IQ_LASTSALEPRICE",INDEX(MO_SNA_FPStartDate,0,COLUMN()),INDEX(MO_Common_QEndDate,0,COLUMN())),"N/A")</f>
        <v>N/A</v>
      </c>
      <c r="BN902" s="464" t="str">
        <f t="array" aca="1" ref="BN902" ca="1">IFERROR(_xll.ciqfunctions.udf.CIQLO(MO.Ticker.CapIQ,"IQ_LASTSALEPRICE",INDEX(MO_SNA_FPStartDate,0,COLUMN()),INDEX(MO_Common_QEndDate,0,COLUMN())),"N/A")</f>
        <v>N/A</v>
      </c>
      <c r="BO902" s="464" t="str">
        <f t="array" aca="1" ref="BO902" ca="1">IFERROR(_xll.ciqfunctions.udf.CIQLO(MO.Ticker.CapIQ,"IQ_LASTSALEPRICE",INDEX(MO_SNA_FPStartDate,0,COLUMN()),INDEX(MO_Common_QEndDate,0,COLUMN())),"N/A")</f>
        <v>N/A</v>
      </c>
      <c r="BP902" s="464" t="str">
        <f t="array" aca="1" ref="BP902" ca="1">IFERROR(_xll.ciqfunctions.udf.CIQLO(MO.Ticker.CapIQ,"IQ_LASTSALEPRICE",INDEX(MO_SNA_FPStartDate,0,COLUMN()),INDEX(MO_Common_QEndDate,0,COLUMN())),"N/A")</f>
        <v>N/A</v>
      </c>
      <c r="BQ902" s="464" t="str">
        <f t="array" aca="1" ref="BQ902" ca="1">IFERROR(_xll.ciqfunctions.udf.CIQLO(MO.Ticker.CapIQ,"IQ_LASTSALEPRICE",INDEX(MO_SNA_FPStartDate,0,COLUMN()),INDEX(MO_Common_QEndDate,0,COLUMN())),"N/A")</f>
        <v>N/A</v>
      </c>
      <c r="BR902" s="464" t="str">
        <f t="array" aca="1" ref="BR902" ca="1">IFERROR(_xll.ciqfunctions.udf.CIQLO(MO.Ticker.CapIQ,"IQ_LASTSALEPRICE",INDEX(MO_SNA_FPStartDate,0,COLUMN()),INDEX(MO_Common_QEndDate,0,COLUMN())),"N/A")</f>
        <v>N/A</v>
      </c>
      <c r="BS902" s="464" t="str">
        <f t="array" aca="1" ref="BS902" ca="1">IFERROR(_xll.ciqfunctions.udf.CIQLO(MO.Ticker.CapIQ,"IQ_LASTSALEPRICE",INDEX(MO_SNA_FPStartDate,0,COLUMN()),INDEX(MO_Common_QEndDate,0,COLUMN())),"N/A")</f>
        <v>N/A</v>
      </c>
      <c r="BT902" s="464" t="str">
        <f t="array" aca="1" ref="BT902" ca="1">IFERROR(_xll.ciqfunctions.udf.CIQLO(MO.Ticker.CapIQ,"IQ_LASTSALEPRICE",INDEX(MO_SNA_FPStartDate,0,COLUMN()),INDEX(MO_Common_QEndDate,0,COLUMN())),"N/A")</f>
        <v>N/A</v>
      </c>
      <c r="BU902" s="464" t="str">
        <f t="array" aca="1" ref="BU902" ca="1">IFERROR(_xll.ciqfunctions.udf.CIQLO(MO.Ticker.CapIQ,"IQ_LASTSALEPRICE",INDEX(MO_SNA_FPStartDate,0,COLUMN()),INDEX(MO_Common_QEndDate,0,COLUMN())),"N/A")</f>
        <v>N/A</v>
      </c>
      <c r="BV902" s="565" t="str">
        <f t="array" aca="1" ref="BV902" ca="1">IFERROR(_xll.ciqfunctions.udf.CIQLO(MO.Ticker.CapIQ,"IQ_LASTSALEPRICE",INDEX(MO_SNA_FPStartDate,0,COLUMN()),INDEX(MO_Common_QEndDate,0,COLUMN())),"N/A")</f>
        <v>N/A</v>
      </c>
      <c r="BW902" s="566"/>
    </row>
    <row r="903" spans="1:75" ht="15.75" hidden="1" customHeight="1" outlineLevel="1" x14ac:dyDescent="0.2">
      <c r="A903" s="563" t="s">
        <v>937</v>
      </c>
      <c r="B903" s="464"/>
      <c r="C903" s="464" t="str">
        <f t="array" aca="1" ref="C903" ca="1">IFERROR(FDS(MO.Ticker.FactSet,"P_PRICE_LOW"&amp;"("&amp;INDEX(MO_SNA_FPStartDate,0,COLUMN())&amp;","&amp;INDEX(MO_Common_QEndDate,0,COLUMN())&amp;",,,,""PRICE"",""CLOSE"")"),"N/A")</f>
        <v>N/A</v>
      </c>
      <c r="D903" s="464" t="str">
        <f t="array" aca="1" ref="D903" ca="1">IFERROR(FDS(MO.Ticker.FactSet,"P_PRICE_LOW"&amp;"("&amp;INDEX(MO_SNA_FPStartDate,0,COLUMN())&amp;","&amp;INDEX(MO_Common_QEndDate,0,COLUMN())&amp;",,,,""PRICE"",""CLOSE"")"),"N/A")</f>
        <v>N/A</v>
      </c>
      <c r="E903" s="464" t="str">
        <f t="array" aca="1" ref="E903" ca="1">IFERROR(FDS(MO.Ticker.FactSet,"P_PRICE_LOW"&amp;"("&amp;INDEX(MO_SNA_FPStartDate,0,COLUMN())&amp;","&amp;INDEX(MO_Common_QEndDate,0,COLUMN())&amp;",,,,""PRICE"",""CLOSE"")"),"N/A")</f>
        <v>N/A</v>
      </c>
      <c r="F903" s="464" t="str">
        <f t="array" aca="1" ref="F903" ca="1">IFERROR(FDS(MO.Ticker.FactSet,"P_PRICE_LOW"&amp;"("&amp;INDEX(MO_SNA_FPStartDate,0,COLUMN())&amp;","&amp;INDEX(MO_Common_QEndDate,0,COLUMN())&amp;",,,,""PRICE"",""CLOSE"")"),"N/A")</f>
        <v>N/A</v>
      </c>
      <c r="G903" s="464" t="str">
        <f t="array" aca="1" ref="G903" ca="1">IFERROR(FDS(MO.Ticker.FactSet,"P_PRICE_LOW"&amp;"("&amp;INDEX(MO_SNA_FPStartDate,0,COLUMN())&amp;","&amp;INDEX(MO_Common_QEndDate,0,COLUMN())&amp;",,,,""PRICE"",""CLOSE"")"),"N/A")</f>
        <v>N/A</v>
      </c>
      <c r="H903" s="464" t="str">
        <f t="array" aca="1" ref="H903" ca="1">IFERROR(FDS(MO.Ticker.FactSet,"P_PRICE_LOW"&amp;"("&amp;INDEX(MO_SNA_FPStartDate,0,COLUMN())&amp;","&amp;INDEX(MO_Common_QEndDate,0,COLUMN())&amp;",,,,""PRICE"",""CLOSE"")"),"N/A")</f>
        <v>N/A</v>
      </c>
      <c r="I903" s="464" t="str">
        <f t="array" aca="1" ref="I903" ca="1">IFERROR(FDS(MO.Ticker.FactSet,"P_PRICE_LOW"&amp;"("&amp;INDEX(MO_SNA_FPStartDate,0,COLUMN())&amp;","&amp;INDEX(MO_Common_QEndDate,0,COLUMN())&amp;",,,,""PRICE"",""CLOSE"")"),"N/A")</f>
        <v>N/A</v>
      </c>
      <c r="J903" s="464" t="str">
        <f t="array" aca="1" ref="J903" ca="1">IFERROR(FDS(MO.Ticker.FactSet,"P_PRICE_LOW"&amp;"("&amp;INDEX(MO_SNA_FPStartDate,0,COLUMN())&amp;","&amp;INDEX(MO_Common_QEndDate,0,COLUMN())&amp;",,,,""PRICE"",""CLOSE"")"),"N/A")</f>
        <v>N/A</v>
      </c>
      <c r="K903" s="464" t="str">
        <f t="array" aca="1" ref="K903" ca="1">IFERROR(FDS(MO.Ticker.FactSet,"P_PRICE_LOW"&amp;"("&amp;INDEX(MO_SNA_FPStartDate,0,COLUMN())&amp;","&amp;INDEX(MO_Common_QEndDate,0,COLUMN())&amp;",,,,""PRICE"",""CLOSE"")"),"N/A")</f>
        <v>N/A</v>
      </c>
      <c r="L903" s="464" t="str">
        <f t="array" aca="1" ref="L903" ca="1">IFERROR(FDS(MO.Ticker.FactSet,"P_PRICE_LOW"&amp;"("&amp;INDEX(MO_SNA_FPStartDate,0,COLUMN())&amp;","&amp;INDEX(MO_Common_QEndDate,0,COLUMN())&amp;",,,,""PRICE"",""CLOSE"")"),"N/A")</f>
        <v>N/A</v>
      </c>
      <c r="M903" s="464" t="str">
        <f t="array" aca="1" ref="M903" ca="1">IFERROR(FDS(MO.Ticker.FactSet,"P_PRICE_LOW"&amp;"("&amp;INDEX(MO_SNA_FPStartDate,0,COLUMN())&amp;","&amp;INDEX(MO_Common_QEndDate,0,COLUMN())&amp;",,,,""PRICE"",""CLOSE"")"),"N/A")</f>
        <v>N/A</v>
      </c>
      <c r="N903" s="464" t="str">
        <f t="array" aca="1" ref="N903" ca="1">IFERROR(FDS(MO.Ticker.FactSet,"P_PRICE_LOW"&amp;"("&amp;INDEX(MO_SNA_FPStartDate,0,COLUMN())&amp;","&amp;INDEX(MO_Common_QEndDate,0,COLUMN())&amp;",,,,""PRICE"",""CLOSE"")"),"N/A")</f>
        <v>N/A</v>
      </c>
      <c r="O903" s="464" t="str">
        <f t="array" aca="1" ref="O903" ca="1">IFERROR(FDS(MO.Ticker.FactSet,"P_PRICE_LOW"&amp;"("&amp;INDEX(MO_SNA_FPStartDate,0,COLUMN())&amp;","&amp;INDEX(MO_Common_QEndDate,0,COLUMN())&amp;",,,,""PRICE"",""CLOSE"")"),"N/A")</f>
        <v>N/A</v>
      </c>
      <c r="P903" s="464" t="str">
        <f t="array" aca="1" ref="P903" ca="1">IFERROR(FDS(MO.Ticker.FactSet,"P_PRICE_LOW"&amp;"("&amp;INDEX(MO_SNA_FPStartDate,0,COLUMN())&amp;","&amp;INDEX(MO_Common_QEndDate,0,COLUMN())&amp;",,,,""PRICE"",""CLOSE"")"),"N/A")</f>
        <v>N/A</v>
      </c>
      <c r="Q903" s="464" t="str">
        <f t="array" aca="1" ref="Q903" ca="1">IFERROR(FDS(MO.Ticker.FactSet,"P_PRICE_LOW"&amp;"("&amp;INDEX(MO_SNA_FPStartDate,0,COLUMN())&amp;","&amp;INDEX(MO_Common_QEndDate,0,COLUMN())&amp;",,,,""PRICE"",""CLOSE"")"),"N/A")</f>
        <v>N/A</v>
      </c>
      <c r="R903" s="464" t="str">
        <f t="array" aca="1" ref="R903" ca="1">IFERROR(FDS(MO.Ticker.FactSet,"P_PRICE_LOW"&amp;"("&amp;INDEX(MO_SNA_FPStartDate,0,COLUMN())&amp;","&amp;INDEX(MO_Common_QEndDate,0,COLUMN())&amp;",,,,""PRICE"",""CLOSE"")"),"N/A")</f>
        <v>N/A</v>
      </c>
      <c r="S903" s="464" t="str">
        <f t="array" aca="1" ref="S903" ca="1">IFERROR(FDS(MO.Ticker.FactSet,"P_PRICE_LOW"&amp;"("&amp;INDEX(MO_SNA_FPStartDate,0,COLUMN())&amp;","&amp;INDEX(MO_Common_QEndDate,0,COLUMN())&amp;",,,,""PRICE"",""CLOSE"")"),"N/A")</f>
        <v>N/A</v>
      </c>
      <c r="T903" s="464" t="str">
        <f t="array" aca="1" ref="T903" ca="1">IFERROR(FDS(MO.Ticker.FactSet,"P_PRICE_LOW"&amp;"("&amp;INDEX(MO_SNA_FPStartDate,0,COLUMN())&amp;","&amp;INDEX(MO_Common_QEndDate,0,COLUMN())&amp;",,,,""PRICE"",""CLOSE"")"),"N/A")</f>
        <v>N/A</v>
      </c>
      <c r="U903" s="464" t="str">
        <f t="array" aca="1" ref="U903" ca="1">IFERROR(FDS(MO.Ticker.FactSet,"P_PRICE_LOW"&amp;"("&amp;INDEX(MO_SNA_FPStartDate,0,COLUMN())&amp;","&amp;INDEX(MO_Common_QEndDate,0,COLUMN())&amp;",,,,""PRICE"",""CLOSE"")"),"N/A")</f>
        <v>N/A</v>
      </c>
      <c r="V903" s="464" t="str">
        <f t="array" aca="1" ref="V903" ca="1">IFERROR(FDS(MO.Ticker.FactSet,"P_PRICE_LOW"&amp;"("&amp;INDEX(MO_SNA_FPStartDate,0,COLUMN())&amp;","&amp;INDEX(MO_Common_QEndDate,0,COLUMN())&amp;",,,,""PRICE"",""CLOSE"")"),"N/A")</f>
        <v>N/A</v>
      </c>
      <c r="W903" s="464" t="str">
        <f t="array" aca="1" ref="W903" ca="1">IFERROR(FDS(MO.Ticker.FactSet,"P_PRICE_LOW"&amp;"("&amp;INDEX(MO_SNA_FPStartDate,0,COLUMN())&amp;","&amp;INDEX(MO_Common_QEndDate,0,COLUMN())&amp;",,,,""PRICE"",""CLOSE"")"),"N/A")</f>
        <v>N/A</v>
      </c>
      <c r="X903" s="464" t="str">
        <f t="array" aca="1" ref="X903" ca="1">IFERROR(FDS(MO.Ticker.FactSet,"P_PRICE_LOW"&amp;"("&amp;INDEX(MO_SNA_FPStartDate,0,COLUMN())&amp;","&amp;INDEX(MO_Common_QEndDate,0,COLUMN())&amp;",,,,""PRICE"",""CLOSE"")"),"N/A")</f>
        <v>N/A</v>
      </c>
      <c r="Y903" s="464" t="str">
        <f t="array" aca="1" ref="Y903" ca="1">IFERROR(FDS(MO.Ticker.FactSet,"P_PRICE_LOW"&amp;"("&amp;INDEX(MO_SNA_FPStartDate,0,COLUMN())&amp;","&amp;INDEX(MO_Common_QEndDate,0,COLUMN())&amp;",,,,""PRICE"",""CLOSE"")"),"N/A")</f>
        <v>N/A</v>
      </c>
      <c r="Z903" s="464" t="str">
        <f t="array" aca="1" ref="Z903" ca="1">IFERROR(FDS(MO.Ticker.FactSet,"P_PRICE_LOW"&amp;"("&amp;INDEX(MO_SNA_FPStartDate,0,COLUMN())&amp;","&amp;INDEX(MO_Common_QEndDate,0,COLUMN())&amp;",,,,""PRICE"",""CLOSE"")"),"N/A")</f>
        <v>N/A</v>
      </c>
      <c r="AA903" s="464" t="str">
        <f t="array" aca="1" ref="AA903" ca="1">IFERROR(FDS(MO.Ticker.FactSet,"P_PRICE_LOW"&amp;"("&amp;INDEX(MO_SNA_FPStartDate,0,COLUMN())&amp;","&amp;INDEX(MO_Common_QEndDate,0,COLUMN())&amp;",,,,""PRICE"",""CLOSE"")"),"N/A")</f>
        <v>N/A</v>
      </c>
      <c r="AB903" s="464" t="str">
        <f t="array" aca="1" ref="AB903" ca="1">IFERROR(FDS(MO.Ticker.FactSet,"P_PRICE_LOW"&amp;"("&amp;INDEX(MO_SNA_FPStartDate,0,COLUMN())&amp;","&amp;INDEX(MO_Common_QEndDate,0,COLUMN())&amp;",,,,""PRICE"",""CLOSE"")"),"N/A")</f>
        <v>N/A</v>
      </c>
      <c r="AC903" s="464" t="str">
        <f t="array" aca="1" ref="AC903" ca="1">IFERROR(FDS(MO.Ticker.FactSet,"P_PRICE_LOW"&amp;"("&amp;INDEX(MO_SNA_FPStartDate,0,COLUMN())&amp;","&amp;INDEX(MO_Common_QEndDate,0,COLUMN())&amp;",,,,""PRICE"",""CLOSE"")"),"N/A")</f>
        <v>N/A</v>
      </c>
      <c r="AD903" s="464" t="str">
        <f t="array" aca="1" ref="AD903" ca="1">IFERROR(FDS(MO.Ticker.FactSet,"P_PRICE_LOW"&amp;"("&amp;INDEX(MO_SNA_FPStartDate,0,COLUMN())&amp;","&amp;INDEX(MO_Common_QEndDate,0,COLUMN())&amp;",,,,""PRICE"",""CLOSE"")"),"N/A")</f>
        <v>N/A</v>
      </c>
      <c r="AE903" s="464" t="str">
        <f t="array" aca="1" ref="AE903" ca="1">IFERROR(FDS(MO.Ticker.FactSet,"P_PRICE_LOW"&amp;"("&amp;INDEX(MO_SNA_FPStartDate,0,COLUMN())&amp;","&amp;INDEX(MO_Common_QEndDate,0,COLUMN())&amp;",,,,""PRICE"",""CLOSE"")"),"N/A")</f>
        <v>N/A</v>
      </c>
      <c r="AF903" s="464" t="str">
        <f t="array" aca="1" ref="AF903" ca="1">IFERROR(FDS(MO.Ticker.FactSet,"P_PRICE_LOW"&amp;"("&amp;INDEX(MO_SNA_FPStartDate,0,COLUMN())&amp;","&amp;INDEX(MO_Common_QEndDate,0,COLUMN())&amp;",,,,""PRICE"",""CLOSE"")"),"N/A")</f>
        <v>N/A</v>
      </c>
      <c r="AG903" s="464" t="str">
        <f t="array" aca="1" ref="AG903" ca="1">IFERROR(FDS(MO.Ticker.FactSet,"P_PRICE_LOW"&amp;"("&amp;INDEX(MO_SNA_FPStartDate,0,COLUMN())&amp;","&amp;INDEX(MO_Common_QEndDate,0,COLUMN())&amp;",,,,""PRICE"",""CLOSE"")"),"N/A")</f>
        <v>N/A</v>
      </c>
      <c r="AH903" s="464" t="str">
        <f t="array" aca="1" ref="AH903" ca="1">IFERROR(FDS(MO.Ticker.FactSet,"P_PRICE_LOW"&amp;"("&amp;INDEX(MO_SNA_FPStartDate,0,COLUMN())&amp;","&amp;INDEX(MO_Common_QEndDate,0,COLUMN())&amp;",,,,""PRICE"",""CLOSE"")"),"N/A")</f>
        <v>N/A</v>
      </c>
      <c r="AI903" s="464" t="str">
        <f t="array" aca="1" ref="AI903" ca="1">IFERROR(FDS(MO.Ticker.FactSet,"P_PRICE_LOW"&amp;"("&amp;INDEX(MO_SNA_FPStartDate,0,COLUMN())&amp;","&amp;INDEX(MO_Common_QEndDate,0,COLUMN())&amp;",,,,""PRICE"",""CLOSE"")"),"N/A")</f>
        <v>N/A</v>
      </c>
      <c r="AJ903" s="464" t="str">
        <f t="array" aca="1" ref="AJ903" ca="1">IFERROR(FDS(MO.Ticker.FactSet,"P_PRICE_LOW"&amp;"("&amp;INDEX(MO_SNA_FPStartDate,0,COLUMN())&amp;","&amp;INDEX(MO_Common_QEndDate,0,COLUMN())&amp;",,,,""PRICE"",""CLOSE"")"),"N/A")</f>
        <v>N/A</v>
      </c>
      <c r="AK903" s="464" t="str">
        <f t="array" aca="1" ref="AK903" ca="1">IFERROR(FDS(MO.Ticker.FactSet,"P_PRICE_LOW"&amp;"("&amp;INDEX(MO_SNA_FPStartDate,0,COLUMN())&amp;","&amp;INDEX(MO_Common_QEndDate,0,COLUMN())&amp;",,,,""PRICE"",""CLOSE"")"),"N/A")</f>
        <v>N/A</v>
      </c>
      <c r="AL903" s="464" t="str">
        <f t="array" aca="1" ref="AL903" ca="1">IFERROR(FDS(MO.Ticker.FactSet,"P_PRICE_LOW"&amp;"("&amp;INDEX(MO_SNA_FPStartDate,0,COLUMN())&amp;","&amp;INDEX(MO_Common_QEndDate,0,COLUMN())&amp;",,,,""PRICE"",""CLOSE"")"),"N/A")</f>
        <v>N/A</v>
      </c>
      <c r="AM903" s="464" t="str">
        <f t="array" aca="1" ref="AM903" ca="1">IFERROR(FDS(MO.Ticker.FactSet,"P_PRICE_LOW"&amp;"("&amp;INDEX(MO_SNA_FPStartDate,0,COLUMN())&amp;","&amp;INDEX(MO_Common_QEndDate,0,COLUMN())&amp;",,,,""PRICE"",""CLOSE"")"),"N/A")</f>
        <v>N/A</v>
      </c>
      <c r="AN903" s="464" t="str">
        <f t="array" aca="1" ref="AN903" ca="1">IFERROR(FDS(MO.Ticker.FactSet,"P_PRICE_LOW"&amp;"("&amp;INDEX(MO_SNA_FPStartDate,0,COLUMN())&amp;","&amp;INDEX(MO_Common_QEndDate,0,COLUMN())&amp;",,,,""PRICE"",""CLOSE"")"),"N/A")</f>
        <v>N/A</v>
      </c>
      <c r="AO903" s="464" t="str">
        <f t="array" aca="1" ref="AO903" ca="1">IFERROR(FDS(MO.Ticker.FactSet,"P_PRICE_LOW"&amp;"("&amp;INDEX(MO_SNA_FPStartDate,0,COLUMN())&amp;","&amp;INDEX(MO_Common_QEndDate,0,COLUMN())&amp;",,,,""PRICE"",""CLOSE"")"),"N/A")</f>
        <v>N/A</v>
      </c>
      <c r="AP903" s="464" t="str">
        <f t="array" aca="1" ref="AP903" ca="1">IFERROR(FDS(MO.Ticker.FactSet,"P_PRICE_LOW"&amp;"("&amp;INDEX(MO_SNA_FPStartDate,0,COLUMN())&amp;","&amp;INDEX(MO_Common_QEndDate,0,COLUMN())&amp;",,,,""PRICE"",""CLOSE"")"),"N/A")</f>
        <v>N/A</v>
      </c>
      <c r="AQ903" s="464" t="str">
        <f t="array" aca="1" ref="AQ903" ca="1">IFERROR(FDS(MO.Ticker.FactSet,"P_PRICE_LOW"&amp;"("&amp;INDEX(MO_SNA_FPStartDate,0,COLUMN())&amp;","&amp;INDEX(MO_Common_QEndDate,0,COLUMN())&amp;",,,,""PRICE"",""CLOSE"")"),"N/A")</f>
        <v>N/A</v>
      </c>
      <c r="AR903" s="464" t="str">
        <f t="array" aca="1" ref="AR903" ca="1">IFERROR(FDS(MO.Ticker.FactSet,"P_PRICE_LOW"&amp;"("&amp;INDEX(MO_SNA_FPStartDate,0,COLUMN())&amp;","&amp;INDEX(MO_Common_QEndDate,0,COLUMN())&amp;",,,,""PRICE"",""CLOSE"")"),"N/A")</f>
        <v>N/A</v>
      </c>
      <c r="AS903" s="464" t="str">
        <f t="array" aca="1" ref="AS903" ca="1">IFERROR(FDS(MO.Ticker.FactSet,"P_PRICE_LOW"&amp;"("&amp;INDEX(MO_SNA_FPStartDate,0,COLUMN())&amp;","&amp;INDEX(MO_Common_QEndDate,0,COLUMN())&amp;",,,,""PRICE"",""CLOSE"")"),"N/A")</f>
        <v>N/A</v>
      </c>
      <c r="AT903" s="464" t="str">
        <f t="array" aca="1" ref="AT903" ca="1">IFERROR(FDS(MO.Ticker.FactSet,"P_PRICE_LOW"&amp;"("&amp;INDEX(MO_SNA_FPStartDate,0,COLUMN())&amp;","&amp;INDEX(MO_Common_QEndDate,0,COLUMN())&amp;",,,,""PRICE"",""CLOSE"")"),"N/A")</f>
        <v>N/A</v>
      </c>
      <c r="AU903" s="464" t="str">
        <f t="array" aca="1" ref="AU903" ca="1">IFERROR(FDS(MO.Ticker.FactSet,"P_PRICE_LOW"&amp;"("&amp;INDEX(MO_SNA_FPStartDate,0,COLUMN())&amp;","&amp;INDEX(MO_Common_QEndDate,0,COLUMN())&amp;",,,,""PRICE"",""CLOSE"")"),"N/A")</f>
        <v>N/A</v>
      </c>
      <c r="AV903" s="464" t="str">
        <f t="array" aca="1" ref="AV903" ca="1">IFERROR(FDS(MO.Ticker.FactSet,"P_PRICE_LOW"&amp;"("&amp;INDEX(MO_SNA_FPStartDate,0,COLUMN())&amp;","&amp;INDEX(MO_Common_QEndDate,0,COLUMN())&amp;",,,,""PRICE"",""CLOSE"")"),"N/A")</f>
        <v>N/A</v>
      </c>
      <c r="AW903" s="464" t="str">
        <f t="array" aca="1" ref="AW903" ca="1">IFERROR(FDS(MO.Ticker.FactSet,"P_PRICE_LOW"&amp;"("&amp;INDEX(MO_SNA_FPStartDate,0,COLUMN())&amp;","&amp;INDEX(MO_Common_QEndDate,0,COLUMN())&amp;",,,,""PRICE"",""CLOSE"")"),"N/A")</f>
        <v>N/A</v>
      </c>
      <c r="AX903" s="464" t="str">
        <f t="array" aca="1" ref="AX903" ca="1">IFERROR(FDS(MO.Ticker.FactSet,"P_PRICE_LOW"&amp;"("&amp;INDEX(MO_SNA_FPStartDate,0,COLUMN())&amp;","&amp;INDEX(MO_Common_QEndDate,0,COLUMN())&amp;",,,,""PRICE"",""CLOSE"")"),"N/A")</f>
        <v>N/A</v>
      </c>
      <c r="AY903" s="464" t="str">
        <f t="array" aca="1" ref="AY903" ca="1">IFERROR(FDS(MO.Ticker.FactSet,"P_PRICE_LOW"&amp;"("&amp;INDEX(MO_SNA_FPStartDate,0,COLUMN())&amp;","&amp;INDEX(MO_Common_QEndDate,0,COLUMN())&amp;",,,,""PRICE"",""CLOSE"")"),"N/A")</f>
        <v>N/A</v>
      </c>
      <c r="AZ903" s="464" t="str">
        <f t="array" aca="1" ref="AZ903" ca="1">IFERROR(FDS(MO.Ticker.FactSet,"P_PRICE_LOW"&amp;"("&amp;INDEX(MO_SNA_FPStartDate,0,COLUMN())&amp;","&amp;INDEX(MO_Common_QEndDate,0,COLUMN())&amp;",,,,""PRICE"",""CLOSE"")"),"N/A")</f>
        <v>N/A</v>
      </c>
      <c r="BA903" s="464" t="str">
        <f t="array" aca="1" ref="BA903" ca="1">IFERROR(FDS(MO.Ticker.FactSet,"P_PRICE_LOW"&amp;"("&amp;INDEX(MO_SNA_FPStartDate,0,COLUMN())&amp;","&amp;INDEX(MO_Common_QEndDate,0,COLUMN())&amp;",,,,""PRICE"",""CLOSE"")"),"N/A")</f>
        <v>N/A</v>
      </c>
      <c r="BB903" s="464" t="str">
        <f t="array" aca="1" ref="BB903" ca="1">IFERROR(FDS(MO.Ticker.FactSet,"P_PRICE_LOW"&amp;"("&amp;INDEX(MO_SNA_FPStartDate,0,COLUMN())&amp;","&amp;INDEX(MO_Common_QEndDate,0,COLUMN())&amp;",,,,""PRICE"",""CLOSE"")"),"N/A")</f>
        <v>N/A</v>
      </c>
      <c r="BC903" s="464" t="str">
        <f t="array" aca="1" ref="BC903" ca="1">IFERROR(FDS(MO.Ticker.FactSet,"P_PRICE_LOW"&amp;"("&amp;INDEX(MO_SNA_FPStartDate,0,COLUMN())&amp;","&amp;INDEX(MO_Common_QEndDate,0,COLUMN())&amp;",,,,""PRICE"",""CLOSE"")"),"N/A")</f>
        <v>N/A</v>
      </c>
      <c r="BD903" s="464" t="str">
        <f t="array" aca="1" ref="BD903" ca="1">IFERROR(FDS(MO.Ticker.FactSet,"P_PRICE_LOW"&amp;"("&amp;INDEX(MO_SNA_FPStartDate,0,COLUMN())&amp;","&amp;INDEX(MO_Common_QEndDate,0,COLUMN())&amp;",,,,""PRICE"",""CLOSE"")"),"N/A")</f>
        <v>N/A</v>
      </c>
      <c r="BE903" s="464" t="str">
        <f t="array" aca="1" ref="BE903" ca="1">IFERROR(FDS(MO.Ticker.FactSet,"P_PRICE_LOW"&amp;"("&amp;INDEX(MO_SNA_FPStartDate,0,COLUMN())&amp;","&amp;INDEX(MO_Common_QEndDate,0,COLUMN())&amp;",,,,""PRICE"",""CLOSE"")"),"N/A")</f>
        <v>N/A</v>
      </c>
      <c r="BF903" s="464" t="str">
        <f t="array" aca="1" ref="BF903" ca="1">IFERROR(FDS(MO.Ticker.FactSet,"P_PRICE_LOW"&amp;"("&amp;INDEX(MO_SNA_FPStartDate,0,COLUMN())&amp;","&amp;INDEX(MO_Common_QEndDate,0,COLUMN())&amp;",,,,""PRICE"",""CLOSE"")"),"N/A")</f>
        <v>N/A</v>
      </c>
      <c r="BG903" s="464" t="str">
        <f t="array" aca="1" ref="BG903" ca="1">IFERROR(FDS(MO.Ticker.FactSet,"P_PRICE_LOW"&amp;"("&amp;INDEX(MO_SNA_FPStartDate,0,COLUMN())&amp;","&amp;INDEX(MO_Common_QEndDate,0,COLUMN())&amp;",,,,""PRICE"",""CLOSE"")"),"N/A")</f>
        <v>N/A</v>
      </c>
      <c r="BH903" s="464" t="str">
        <f t="array" aca="1" ref="BH903" ca="1">IFERROR(FDS(MO.Ticker.FactSet,"P_PRICE_LOW"&amp;"("&amp;INDEX(MO_SNA_FPStartDate,0,COLUMN())&amp;","&amp;INDEX(MO_Common_QEndDate,0,COLUMN())&amp;",,,,""PRICE"",""CLOSE"")"),"N/A")</f>
        <v>N/A</v>
      </c>
      <c r="BI903" s="564" t="str">
        <f t="array" aca="1" ref="BI903" ca="1">IFERROR(FDS(MO.Ticker.FactSet,"P_PRICE_LOW"&amp;"("&amp;INDEX(MO_SNA_FPStartDate,0,COLUMN())&amp;","&amp;INDEX(MO_Common_QEndDate,0,COLUMN())&amp;",,,,""PRICE"",""CLOSE"")"),"N/A")</f>
        <v>N/A</v>
      </c>
      <c r="BJ903" s="464" t="str">
        <f t="array" aca="1" ref="BJ903" ca="1">IFERROR(FDS(MO.Ticker.FactSet,"P_PRICE_LOW"&amp;"("&amp;INDEX(MO_SNA_FPStartDate,0,COLUMN())&amp;","&amp;INDEX(MO_Common_QEndDate,0,COLUMN())&amp;",,,,""PRICE"",""CLOSE"")"),"N/A")</f>
        <v>N/A</v>
      </c>
      <c r="BK903" s="464" t="str">
        <f t="array" aca="1" ref="BK903" ca="1">IFERROR(FDS(MO.Ticker.FactSet,"P_PRICE_LOW"&amp;"("&amp;INDEX(MO_SNA_FPStartDate,0,COLUMN())&amp;","&amp;INDEX(MO_Common_QEndDate,0,COLUMN())&amp;",,,,""PRICE"",""CLOSE"")"),"N/A")</f>
        <v>N/A</v>
      </c>
      <c r="BL903" s="464" t="str">
        <f t="array" aca="1" ref="BL903" ca="1">IFERROR(FDS(MO.Ticker.FactSet,"P_PRICE_LOW"&amp;"("&amp;INDEX(MO_SNA_FPStartDate,0,COLUMN())&amp;","&amp;INDEX(MO_Common_QEndDate,0,COLUMN())&amp;",,,,""PRICE"",""CLOSE"")"),"N/A")</f>
        <v>N/A</v>
      </c>
      <c r="BM903" s="464" t="str">
        <f t="array" aca="1" ref="BM903" ca="1">IFERROR(FDS(MO.Ticker.FactSet,"P_PRICE_LOW"&amp;"("&amp;INDEX(MO_SNA_FPStartDate,0,COLUMN())&amp;","&amp;INDEX(MO_Common_QEndDate,0,COLUMN())&amp;",,,,""PRICE"",""CLOSE"")"),"N/A")</f>
        <v>N/A</v>
      </c>
      <c r="BN903" s="464" t="str">
        <f t="array" aca="1" ref="BN903" ca="1">IFERROR(FDS(MO.Ticker.FactSet,"P_PRICE_LOW"&amp;"("&amp;INDEX(MO_SNA_FPStartDate,0,COLUMN())&amp;","&amp;INDEX(MO_Common_QEndDate,0,COLUMN())&amp;",,,,""PRICE"",""CLOSE"")"),"N/A")</f>
        <v>N/A</v>
      </c>
      <c r="BO903" s="464" t="str">
        <f t="array" aca="1" ref="BO903" ca="1">IFERROR(FDS(MO.Ticker.FactSet,"P_PRICE_LOW"&amp;"("&amp;INDEX(MO_SNA_FPStartDate,0,COLUMN())&amp;","&amp;INDEX(MO_Common_QEndDate,0,COLUMN())&amp;",,,,""PRICE"",""CLOSE"")"),"N/A")</f>
        <v>N/A</v>
      </c>
      <c r="BP903" s="464" t="str">
        <f t="array" aca="1" ref="BP903" ca="1">IFERROR(FDS(MO.Ticker.FactSet,"P_PRICE_LOW"&amp;"("&amp;INDEX(MO_SNA_FPStartDate,0,COLUMN())&amp;","&amp;INDEX(MO_Common_QEndDate,0,COLUMN())&amp;",,,,""PRICE"",""CLOSE"")"),"N/A")</f>
        <v>N/A</v>
      </c>
      <c r="BQ903" s="464" t="str">
        <f t="array" aca="1" ref="BQ903" ca="1">IFERROR(FDS(MO.Ticker.FactSet,"P_PRICE_LOW"&amp;"("&amp;INDEX(MO_SNA_FPStartDate,0,COLUMN())&amp;","&amp;INDEX(MO_Common_QEndDate,0,COLUMN())&amp;",,,,""PRICE"",""CLOSE"")"),"N/A")</f>
        <v>N/A</v>
      </c>
      <c r="BR903" s="464" t="str">
        <f t="array" aca="1" ref="BR903" ca="1">IFERROR(FDS(MO.Ticker.FactSet,"P_PRICE_LOW"&amp;"("&amp;INDEX(MO_SNA_FPStartDate,0,COLUMN())&amp;","&amp;INDEX(MO_Common_QEndDate,0,COLUMN())&amp;",,,,""PRICE"",""CLOSE"")"),"N/A")</f>
        <v>N/A</v>
      </c>
      <c r="BS903" s="464" t="str">
        <f t="array" aca="1" ref="BS903" ca="1">IFERROR(FDS(MO.Ticker.FactSet,"P_PRICE_LOW"&amp;"("&amp;INDEX(MO_SNA_FPStartDate,0,COLUMN())&amp;","&amp;INDEX(MO_Common_QEndDate,0,COLUMN())&amp;",,,,""PRICE"",""CLOSE"")"),"N/A")</f>
        <v>N/A</v>
      </c>
      <c r="BT903" s="464" t="str">
        <f t="array" aca="1" ref="BT903" ca="1">IFERROR(FDS(MO.Ticker.FactSet,"P_PRICE_LOW"&amp;"("&amp;INDEX(MO_SNA_FPStartDate,0,COLUMN())&amp;","&amp;INDEX(MO_Common_QEndDate,0,COLUMN())&amp;",,,,""PRICE"",""CLOSE"")"),"N/A")</f>
        <v>N/A</v>
      </c>
      <c r="BU903" s="464" t="str">
        <f t="array" aca="1" ref="BU903" ca="1">IFERROR(FDS(MO.Ticker.FactSet,"P_PRICE_LOW"&amp;"("&amp;INDEX(MO_SNA_FPStartDate,0,COLUMN())&amp;","&amp;INDEX(MO_Common_QEndDate,0,COLUMN())&amp;",,,,""PRICE"",""CLOSE"")"),"N/A")</f>
        <v>N/A</v>
      </c>
      <c r="BV903" s="565" t="str">
        <f t="array" aca="1" ref="BV903" ca="1">IFERROR(FDS(MO.Ticker.FactSet,"P_PRICE_LOW"&amp;"("&amp;INDEX(MO_SNA_FPStartDate,0,COLUMN())&amp;","&amp;INDEX(MO_Common_QEndDate,0,COLUMN())&amp;",,,,""PRICE"",""CLOSE"")"),"N/A")</f>
        <v>N/A</v>
      </c>
      <c r="BW903" s="566"/>
    </row>
    <row r="904" spans="1:75" ht="15.75" hidden="1" customHeight="1" outlineLevel="1" x14ac:dyDescent="0.2">
      <c r="A904" s="563" t="s">
        <v>938</v>
      </c>
      <c r="B904" s="464"/>
      <c r="C904" s="464" t="str">
        <f t="array" aca="1" ref="C904" ca="1">IFERROR(_xll.TR(MO.Ticker.Thomson,"Min(TR.PriceLow)","sdate:#1 edate:#2",,INDEX(MO_SNA_FPStartDate,0,COLUMN()),INDEX(MO_Common_QEndDate,0,COLUMN())),"N/A")</f>
        <v>N/A</v>
      </c>
      <c r="D904" s="464" t="str">
        <f t="array" aca="1" ref="D904" ca="1">IFERROR(_xll.TR(MO.Ticker.Thomson,"Min(TR.PriceLow)","sdate:#1 edate:#2",,INDEX(MO_SNA_FPStartDate,0,COLUMN()),INDEX(MO_Common_QEndDate,0,COLUMN())),"N/A")</f>
        <v>N/A</v>
      </c>
      <c r="E904" s="464" t="str">
        <f t="array" aca="1" ref="E904" ca="1">IFERROR(_xll.TR(MO.Ticker.Thomson,"Min(TR.PriceLow)","sdate:#1 edate:#2",,INDEX(MO_SNA_FPStartDate,0,COLUMN()),INDEX(MO_Common_QEndDate,0,COLUMN())),"N/A")</f>
        <v>N/A</v>
      </c>
      <c r="F904" s="464" t="str">
        <f t="array" aca="1" ref="F904" ca="1">IFERROR(_xll.TR(MO.Ticker.Thomson,"Min(TR.PriceLow)","sdate:#1 edate:#2",,INDEX(MO_SNA_FPStartDate,0,COLUMN()),INDEX(MO_Common_QEndDate,0,COLUMN())),"N/A")</f>
        <v>N/A</v>
      </c>
      <c r="G904" s="464" t="str">
        <f t="array" aca="1" ref="G904" ca="1">IFERROR(_xll.TR(MO.Ticker.Thomson,"Min(TR.PriceLow)","sdate:#1 edate:#2",,INDEX(MO_SNA_FPStartDate,0,COLUMN()),INDEX(MO_Common_QEndDate,0,COLUMN())),"N/A")</f>
        <v>N/A</v>
      </c>
      <c r="H904" s="464" t="str">
        <f t="array" aca="1" ref="H904" ca="1">IFERROR(_xll.TR(MO.Ticker.Thomson,"Min(TR.PriceLow)","sdate:#1 edate:#2",,INDEX(MO_SNA_FPStartDate,0,COLUMN()),INDEX(MO_Common_QEndDate,0,COLUMN())),"N/A")</f>
        <v>N/A</v>
      </c>
      <c r="I904" s="464" t="str">
        <f t="array" aca="1" ref="I904" ca="1">IFERROR(_xll.TR(MO.Ticker.Thomson,"Min(TR.PriceLow)","sdate:#1 edate:#2",,INDEX(MO_SNA_FPStartDate,0,COLUMN()),INDEX(MO_Common_QEndDate,0,COLUMN())),"N/A")</f>
        <v>N/A</v>
      </c>
      <c r="J904" s="464" t="str">
        <f t="array" aca="1" ref="J904" ca="1">IFERROR(_xll.TR(MO.Ticker.Thomson,"Min(TR.PriceLow)","sdate:#1 edate:#2",,INDEX(MO_SNA_FPStartDate,0,COLUMN()),INDEX(MO_Common_QEndDate,0,COLUMN())),"N/A")</f>
        <v>N/A</v>
      </c>
      <c r="K904" s="464" t="str">
        <f t="array" aca="1" ref="K904" ca="1">IFERROR(_xll.TR(MO.Ticker.Thomson,"Min(TR.PriceLow)","sdate:#1 edate:#2",,INDEX(MO_SNA_FPStartDate,0,COLUMN()),INDEX(MO_Common_QEndDate,0,COLUMN())),"N/A")</f>
        <v>N/A</v>
      </c>
      <c r="L904" s="464" t="str">
        <f t="array" aca="1" ref="L904" ca="1">IFERROR(_xll.TR(MO.Ticker.Thomson,"Min(TR.PriceLow)","sdate:#1 edate:#2",,INDEX(MO_SNA_FPStartDate,0,COLUMN()),INDEX(MO_Common_QEndDate,0,COLUMN())),"N/A")</f>
        <v>N/A</v>
      </c>
      <c r="M904" s="464" t="str">
        <f t="array" aca="1" ref="M904" ca="1">IFERROR(_xll.TR(MO.Ticker.Thomson,"Min(TR.PriceLow)","sdate:#1 edate:#2",,INDEX(MO_SNA_FPStartDate,0,COLUMN()),INDEX(MO_Common_QEndDate,0,COLUMN())),"N/A")</f>
        <v>N/A</v>
      </c>
      <c r="N904" s="464" t="str">
        <f t="array" aca="1" ref="N904" ca="1">IFERROR(_xll.TR(MO.Ticker.Thomson,"Min(TR.PriceLow)","sdate:#1 edate:#2",,INDEX(MO_SNA_FPStartDate,0,COLUMN()),INDEX(MO_Common_QEndDate,0,COLUMN())),"N/A")</f>
        <v>N/A</v>
      </c>
      <c r="O904" s="464" t="str">
        <f t="array" aca="1" ref="O904" ca="1">IFERROR(_xll.TR(MO.Ticker.Thomson,"Min(TR.PriceLow)","sdate:#1 edate:#2",,INDEX(MO_SNA_FPStartDate,0,COLUMN()),INDEX(MO_Common_QEndDate,0,COLUMN())),"N/A")</f>
        <v>N/A</v>
      </c>
      <c r="P904" s="464" t="str">
        <f t="array" aca="1" ref="P904" ca="1">IFERROR(_xll.TR(MO.Ticker.Thomson,"Min(TR.PriceLow)","sdate:#1 edate:#2",,INDEX(MO_SNA_FPStartDate,0,COLUMN()),INDEX(MO_Common_QEndDate,0,COLUMN())),"N/A")</f>
        <v>N/A</v>
      </c>
      <c r="Q904" s="464" t="str">
        <f t="array" aca="1" ref="Q904" ca="1">IFERROR(_xll.TR(MO.Ticker.Thomson,"Min(TR.PriceLow)","sdate:#1 edate:#2",,INDEX(MO_SNA_FPStartDate,0,COLUMN()),INDEX(MO_Common_QEndDate,0,COLUMN())),"N/A")</f>
        <v>N/A</v>
      </c>
      <c r="R904" s="464" t="str">
        <f t="array" aca="1" ref="R904" ca="1">IFERROR(_xll.TR(MO.Ticker.Thomson,"Min(TR.PriceLow)","sdate:#1 edate:#2",,INDEX(MO_SNA_FPStartDate,0,COLUMN()),INDEX(MO_Common_QEndDate,0,COLUMN())),"N/A")</f>
        <v>N/A</v>
      </c>
      <c r="S904" s="464" t="str">
        <f t="array" aca="1" ref="S904" ca="1">IFERROR(_xll.TR(MO.Ticker.Thomson,"Min(TR.PriceLow)","sdate:#1 edate:#2",,INDEX(MO_SNA_FPStartDate,0,COLUMN()),INDEX(MO_Common_QEndDate,0,COLUMN())),"N/A")</f>
        <v>N/A</v>
      </c>
      <c r="T904" s="464" t="str">
        <f t="array" aca="1" ref="T904" ca="1">IFERROR(_xll.TR(MO.Ticker.Thomson,"Min(TR.PriceLow)","sdate:#1 edate:#2",,INDEX(MO_SNA_FPStartDate,0,COLUMN()),INDEX(MO_Common_QEndDate,0,COLUMN())),"N/A")</f>
        <v>N/A</v>
      </c>
      <c r="U904" s="464" t="str">
        <f t="array" aca="1" ref="U904" ca="1">IFERROR(_xll.TR(MO.Ticker.Thomson,"Min(TR.PriceLow)","sdate:#1 edate:#2",,INDEX(MO_SNA_FPStartDate,0,COLUMN()),INDEX(MO_Common_QEndDate,0,COLUMN())),"N/A")</f>
        <v>N/A</v>
      </c>
      <c r="V904" s="464" t="str">
        <f t="array" aca="1" ref="V904" ca="1">IFERROR(_xll.TR(MO.Ticker.Thomson,"Min(TR.PriceLow)","sdate:#1 edate:#2",,INDEX(MO_SNA_FPStartDate,0,COLUMN()),INDEX(MO_Common_QEndDate,0,COLUMN())),"N/A")</f>
        <v>N/A</v>
      </c>
      <c r="W904" s="464" t="str">
        <f t="array" aca="1" ref="W904" ca="1">IFERROR(_xll.TR(MO.Ticker.Thomson,"Min(TR.PriceLow)","sdate:#1 edate:#2",,INDEX(MO_SNA_FPStartDate,0,COLUMN()),INDEX(MO_Common_QEndDate,0,COLUMN())),"N/A")</f>
        <v>N/A</v>
      </c>
      <c r="X904" s="464" t="str">
        <f t="array" aca="1" ref="X904" ca="1">IFERROR(_xll.TR(MO.Ticker.Thomson,"Min(TR.PriceLow)","sdate:#1 edate:#2",,INDEX(MO_SNA_FPStartDate,0,COLUMN()),INDEX(MO_Common_QEndDate,0,COLUMN())),"N/A")</f>
        <v>N/A</v>
      </c>
      <c r="Y904" s="464" t="str">
        <f t="array" aca="1" ref="Y904" ca="1">IFERROR(_xll.TR(MO.Ticker.Thomson,"Min(TR.PriceLow)","sdate:#1 edate:#2",,INDEX(MO_SNA_FPStartDate,0,COLUMN()),INDEX(MO_Common_QEndDate,0,COLUMN())),"N/A")</f>
        <v>N/A</v>
      </c>
      <c r="Z904" s="464" t="str">
        <f t="array" aca="1" ref="Z904" ca="1">IFERROR(_xll.TR(MO.Ticker.Thomson,"Min(TR.PriceLow)","sdate:#1 edate:#2",,INDEX(MO_SNA_FPStartDate,0,COLUMN()),INDEX(MO_Common_QEndDate,0,COLUMN())),"N/A")</f>
        <v>N/A</v>
      </c>
      <c r="AA904" s="464" t="str">
        <f t="array" aca="1" ref="AA904" ca="1">IFERROR(_xll.TR(MO.Ticker.Thomson,"Min(TR.PriceLow)","sdate:#1 edate:#2",,INDEX(MO_SNA_FPStartDate,0,COLUMN()),INDEX(MO_Common_QEndDate,0,COLUMN())),"N/A")</f>
        <v>N/A</v>
      </c>
      <c r="AB904" s="464" t="str">
        <f t="array" aca="1" ref="AB904" ca="1">IFERROR(_xll.TR(MO.Ticker.Thomson,"Min(TR.PriceLow)","sdate:#1 edate:#2",,INDEX(MO_SNA_FPStartDate,0,COLUMN()),INDEX(MO_Common_QEndDate,0,COLUMN())),"N/A")</f>
        <v>N/A</v>
      </c>
      <c r="AC904" s="464" t="str">
        <f t="array" aca="1" ref="AC904" ca="1">IFERROR(_xll.TR(MO.Ticker.Thomson,"Min(TR.PriceLow)","sdate:#1 edate:#2",,INDEX(MO_SNA_FPStartDate,0,COLUMN()),INDEX(MO_Common_QEndDate,0,COLUMN())),"N/A")</f>
        <v>N/A</v>
      </c>
      <c r="AD904" s="464" t="str">
        <f t="array" aca="1" ref="AD904" ca="1">IFERROR(_xll.TR(MO.Ticker.Thomson,"Min(TR.PriceLow)","sdate:#1 edate:#2",,INDEX(MO_SNA_FPStartDate,0,COLUMN()),INDEX(MO_Common_QEndDate,0,COLUMN())),"N/A")</f>
        <v>N/A</v>
      </c>
      <c r="AE904" s="464" t="str">
        <f t="array" aca="1" ref="AE904" ca="1">IFERROR(_xll.TR(MO.Ticker.Thomson,"Min(TR.PriceLow)","sdate:#1 edate:#2",,INDEX(MO_SNA_FPStartDate,0,COLUMN()),INDEX(MO_Common_QEndDate,0,COLUMN())),"N/A")</f>
        <v>N/A</v>
      </c>
      <c r="AF904" s="464" t="str">
        <f t="array" aca="1" ref="AF904" ca="1">IFERROR(_xll.TR(MO.Ticker.Thomson,"Min(TR.PriceLow)","sdate:#1 edate:#2",,INDEX(MO_SNA_FPStartDate,0,COLUMN()),INDEX(MO_Common_QEndDate,0,COLUMN())),"N/A")</f>
        <v>N/A</v>
      </c>
      <c r="AG904" s="464" t="str">
        <f t="array" aca="1" ref="AG904" ca="1">IFERROR(_xll.TR(MO.Ticker.Thomson,"Min(TR.PriceLow)","sdate:#1 edate:#2",,INDEX(MO_SNA_FPStartDate,0,COLUMN()),INDEX(MO_Common_QEndDate,0,COLUMN())),"N/A")</f>
        <v>N/A</v>
      </c>
      <c r="AH904" s="464" t="str">
        <f t="array" aca="1" ref="AH904" ca="1">IFERROR(_xll.TR(MO.Ticker.Thomson,"Min(TR.PriceLow)","sdate:#1 edate:#2",,INDEX(MO_SNA_FPStartDate,0,COLUMN()),INDEX(MO_Common_QEndDate,0,COLUMN())),"N/A")</f>
        <v>N/A</v>
      </c>
      <c r="AI904" s="464" t="str">
        <f t="array" aca="1" ref="AI904" ca="1">IFERROR(_xll.TR(MO.Ticker.Thomson,"Min(TR.PriceLow)","sdate:#1 edate:#2",,INDEX(MO_SNA_FPStartDate,0,COLUMN()),INDEX(MO_Common_QEndDate,0,COLUMN())),"N/A")</f>
        <v>N/A</v>
      </c>
      <c r="AJ904" s="464" t="str">
        <f t="array" aca="1" ref="AJ904" ca="1">IFERROR(_xll.TR(MO.Ticker.Thomson,"Min(TR.PriceLow)","sdate:#1 edate:#2",,INDEX(MO_SNA_FPStartDate,0,COLUMN()),INDEX(MO_Common_QEndDate,0,COLUMN())),"N/A")</f>
        <v>N/A</v>
      </c>
      <c r="AK904" s="464" t="str">
        <f t="array" aca="1" ref="AK904" ca="1">IFERROR(_xll.TR(MO.Ticker.Thomson,"Min(TR.PriceLow)","sdate:#1 edate:#2",,INDEX(MO_SNA_FPStartDate,0,COLUMN()),INDEX(MO_Common_QEndDate,0,COLUMN())),"N/A")</f>
        <v>N/A</v>
      </c>
      <c r="AL904" s="464" t="str">
        <f t="array" aca="1" ref="AL904" ca="1">IFERROR(_xll.TR(MO.Ticker.Thomson,"Min(TR.PriceLow)","sdate:#1 edate:#2",,INDEX(MO_SNA_FPStartDate,0,COLUMN()),INDEX(MO_Common_QEndDate,0,COLUMN())),"N/A")</f>
        <v>N/A</v>
      </c>
      <c r="AM904" s="464" t="str">
        <f t="array" aca="1" ref="AM904" ca="1">IFERROR(_xll.TR(MO.Ticker.Thomson,"Min(TR.PriceLow)","sdate:#1 edate:#2",,INDEX(MO_SNA_FPStartDate,0,COLUMN()),INDEX(MO_Common_QEndDate,0,COLUMN())),"N/A")</f>
        <v>N/A</v>
      </c>
      <c r="AN904" s="464" t="str">
        <f t="array" aca="1" ref="AN904" ca="1">IFERROR(_xll.TR(MO.Ticker.Thomson,"Min(TR.PriceLow)","sdate:#1 edate:#2",,INDEX(MO_SNA_FPStartDate,0,COLUMN()),INDEX(MO_Common_QEndDate,0,COLUMN())),"N/A")</f>
        <v>N/A</v>
      </c>
      <c r="AO904" s="464" t="str">
        <f t="array" aca="1" ref="AO904" ca="1">IFERROR(_xll.TR(MO.Ticker.Thomson,"Min(TR.PriceLow)","sdate:#1 edate:#2",,INDEX(MO_SNA_FPStartDate,0,COLUMN()),INDEX(MO_Common_QEndDate,0,COLUMN())),"N/A")</f>
        <v>N/A</v>
      </c>
      <c r="AP904" s="464" t="str">
        <f t="array" aca="1" ref="AP904" ca="1">IFERROR(_xll.TR(MO.Ticker.Thomson,"Min(TR.PriceLow)","sdate:#1 edate:#2",,INDEX(MO_SNA_FPStartDate,0,COLUMN()),INDEX(MO_Common_QEndDate,0,COLUMN())),"N/A")</f>
        <v>N/A</v>
      </c>
      <c r="AQ904" s="464" t="str">
        <f t="array" aca="1" ref="AQ904" ca="1">IFERROR(_xll.TR(MO.Ticker.Thomson,"Min(TR.PriceLow)","sdate:#1 edate:#2",,INDEX(MO_SNA_FPStartDate,0,COLUMN()),INDEX(MO_Common_QEndDate,0,COLUMN())),"N/A")</f>
        <v>N/A</v>
      </c>
      <c r="AR904" s="464" t="str">
        <f t="array" aca="1" ref="AR904" ca="1">IFERROR(_xll.TR(MO.Ticker.Thomson,"Min(TR.PriceLow)","sdate:#1 edate:#2",,INDEX(MO_SNA_FPStartDate,0,COLUMN()),INDEX(MO_Common_QEndDate,0,COLUMN())),"N/A")</f>
        <v>N/A</v>
      </c>
      <c r="AS904" s="464" t="str">
        <f t="array" aca="1" ref="AS904" ca="1">IFERROR(_xll.TR(MO.Ticker.Thomson,"Min(TR.PriceLow)","sdate:#1 edate:#2",,INDEX(MO_SNA_FPStartDate,0,COLUMN()),INDEX(MO_Common_QEndDate,0,COLUMN())),"N/A")</f>
        <v>N/A</v>
      </c>
      <c r="AT904" s="464" t="str">
        <f t="array" aca="1" ref="AT904" ca="1">IFERROR(_xll.TR(MO.Ticker.Thomson,"Min(TR.PriceLow)","sdate:#1 edate:#2",,INDEX(MO_SNA_FPStartDate,0,COLUMN()),INDEX(MO_Common_QEndDate,0,COLUMN())),"N/A")</f>
        <v>N/A</v>
      </c>
      <c r="AU904" s="464" t="str">
        <f t="array" aca="1" ref="AU904" ca="1">IFERROR(_xll.TR(MO.Ticker.Thomson,"Min(TR.PriceLow)","sdate:#1 edate:#2",,INDEX(MO_SNA_FPStartDate,0,COLUMN()),INDEX(MO_Common_QEndDate,0,COLUMN())),"N/A")</f>
        <v>N/A</v>
      </c>
      <c r="AV904" s="464" t="str">
        <f t="array" aca="1" ref="AV904" ca="1">IFERROR(_xll.TR(MO.Ticker.Thomson,"Min(TR.PriceLow)","sdate:#1 edate:#2",,INDEX(MO_SNA_FPStartDate,0,COLUMN()),INDEX(MO_Common_QEndDate,0,COLUMN())),"N/A")</f>
        <v>N/A</v>
      </c>
      <c r="AW904" s="464" t="str">
        <f t="array" aca="1" ref="AW904" ca="1">IFERROR(_xll.TR(MO.Ticker.Thomson,"Min(TR.PriceLow)","sdate:#1 edate:#2",,INDEX(MO_SNA_FPStartDate,0,COLUMN()),INDEX(MO_Common_QEndDate,0,COLUMN())),"N/A")</f>
        <v>N/A</v>
      </c>
      <c r="AX904" s="464" t="str">
        <f t="array" aca="1" ref="AX904" ca="1">IFERROR(_xll.TR(MO.Ticker.Thomson,"Min(TR.PriceLow)","sdate:#1 edate:#2",,INDEX(MO_SNA_FPStartDate,0,COLUMN()),INDEX(MO_Common_QEndDate,0,COLUMN())),"N/A")</f>
        <v>N/A</v>
      </c>
      <c r="AY904" s="464" t="str">
        <f t="array" aca="1" ref="AY904" ca="1">IFERROR(_xll.TR(MO.Ticker.Thomson,"Min(TR.PriceLow)","sdate:#1 edate:#2",,INDEX(MO_SNA_FPStartDate,0,COLUMN()),INDEX(MO_Common_QEndDate,0,COLUMN())),"N/A")</f>
        <v>N/A</v>
      </c>
      <c r="AZ904" s="464" t="str">
        <f t="array" aca="1" ref="AZ904" ca="1">IFERROR(_xll.TR(MO.Ticker.Thomson,"Min(TR.PriceLow)","sdate:#1 edate:#2",,INDEX(MO_SNA_FPStartDate,0,COLUMN()),INDEX(MO_Common_QEndDate,0,COLUMN())),"N/A")</f>
        <v>N/A</v>
      </c>
      <c r="BA904" s="464" t="str">
        <f t="array" aca="1" ref="BA904" ca="1">IFERROR(_xll.TR(MO.Ticker.Thomson,"Min(TR.PriceLow)","sdate:#1 edate:#2",,INDEX(MO_SNA_FPStartDate,0,COLUMN()),INDEX(MO_Common_QEndDate,0,COLUMN())),"N/A")</f>
        <v>N/A</v>
      </c>
      <c r="BB904" s="464" t="str">
        <f t="array" aca="1" ref="BB904" ca="1">IFERROR(_xll.TR(MO.Ticker.Thomson,"Min(TR.PriceLow)","sdate:#1 edate:#2",,INDEX(MO_SNA_FPStartDate,0,COLUMN()),INDEX(MO_Common_QEndDate,0,COLUMN())),"N/A")</f>
        <v>N/A</v>
      </c>
      <c r="BC904" s="464" t="str">
        <f t="array" aca="1" ref="BC904" ca="1">IFERROR(_xll.TR(MO.Ticker.Thomson,"Min(TR.PriceLow)","sdate:#1 edate:#2",,INDEX(MO_SNA_FPStartDate,0,COLUMN()),INDEX(MO_Common_QEndDate,0,COLUMN())),"N/A")</f>
        <v>N/A</v>
      </c>
      <c r="BD904" s="464" t="str">
        <f t="array" aca="1" ref="BD904" ca="1">IFERROR(_xll.TR(MO.Ticker.Thomson,"Min(TR.PriceLow)","sdate:#1 edate:#2",,INDEX(MO_SNA_FPStartDate,0,COLUMN()),INDEX(MO_Common_QEndDate,0,COLUMN())),"N/A")</f>
        <v>N/A</v>
      </c>
      <c r="BE904" s="464" t="str">
        <f t="array" aca="1" ref="BE904" ca="1">IFERROR(_xll.TR(MO.Ticker.Thomson,"Min(TR.PriceLow)","sdate:#1 edate:#2",,INDEX(MO_SNA_FPStartDate,0,COLUMN()),INDEX(MO_Common_QEndDate,0,COLUMN())),"N/A")</f>
        <v>N/A</v>
      </c>
      <c r="BF904" s="464" t="str">
        <f t="array" aca="1" ref="BF904" ca="1">IFERROR(_xll.TR(MO.Ticker.Thomson,"Min(TR.PriceLow)","sdate:#1 edate:#2",,INDEX(MO_SNA_FPStartDate,0,COLUMN()),INDEX(MO_Common_QEndDate,0,COLUMN())),"N/A")</f>
        <v>N/A</v>
      </c>
      <c r="BG904" s="464" t="str">
        <f t="array" aca="1" ref="BG904" ca="1">IFERROR(_xll.TR(MO.Ticker.Thomson,"Min(TR.PriceLow)","sdate:#1 edate:#2",,INDEX(MO_SNA_FPStartDate,0,COLUMN()),INDEX(MO_Common_QEndDate,0,COLUMN())),"N/A")</f>
        <v>N/A</v>
      </c>
      <c r="BH904" s="464" t="str">
        <f t="array" aca="1" ref="BH904" ca="1">IFERROR(_xll.TR(MO.Ticker.Thomson,"Min(TR.PriceLow)","sdate:#1 edate:#2",,INDEX(MO_SNA_FPStartDate,0,COLUMN()),INDEX(MO_Common_QEndDate,0,COLUMN())),"N/A")</f>
        <v>N/A</v>
      </c>
      <c r="BI904" s="564" t="str">
        <f t="array" aca="1" ref="BI904" ca="1">IFERROR(_xll.TR(MO.Ticker.Thomson,"Min(TR.PriceLow)","sdate:#1 edate:#2",,INDEX(MO_SNA_FPStartDate,0,COLUMN()),INDEX(MO_Common_QEndDate,0,COLUMN())),"N/A")</f>
        <v>N/A</v>
      </c>
      <c r="BJ904" s="464" t="str">
        <f t="array" aca="1" ref="BJ904" ca="1">IFERROR(_xll.TR(MO.Ticker.Thomson,"Min(TR.PriceLow)","sdate:#1 edate:#2",,INDEX(MO_SNA_FPStartDate,0,COLUMN()),INDEX(MO_Common_QEndDate,0,COLUMN())),"N/A")</f>
        <v>N/A</v>
      </c>
      <c r="BK904" s="464" t="str">
        <f t="array" aca="1" ref="BK904" ca="1">IFERROR(_xll.TR(MO.Ticker.Thomson,"Min(TR.PriceLow)","sdate:#1 edate:#2",,INDEX(MO_SNA_FPStartDate,0,COLUMN()),INDEX(MO_Common_QEndDate,0,COLUMN())),"N/A")</f>
        <v>N/A</v>
      </c>
      <c r="BL904" s="464" t="str">
        <f t="array" aca="1" ref="BL904" ca="1">IFERROR(_xll.TR(MO.Ticker.Thomson,"Min(TR.PriceLow)","sdate:#1 edate:#2",,INDEX(MO_SNA_FPStartDate,0,COLUMN()),INDEX(MO_Common_QEndDate,0,COLUMN())),"N/A")</f>
        <v>N/A</v>
      </c>
      <c r="BM904" s="464" t="str">
        <f t="array" aca="1" ref="BM904" ca="1">IFERROR(_xll.TR(MO.Ticker.Thomson,"Min(TR.PriceLow)","sdate:#1 edate:#2",,INDEX(MO_SNA_FPStartDate,0,COLUMN()),INDEX(MO_Common_QEndDate,0,COLUMN())),"N/A")</f>
        <v>N/A</v>
      </c>
      <c r="BN904" s="464" t="str">
        <f t="array" aca="1" ref="BN904" ca="1">IFERROR(_xll.TR(MO.Ticker.Thomson,"Min(TR.PriceLow)","sdate:#1 edate:#2",,INDEX(MO_SNA_FPStartDate,0,COLUMN()),INDEX(MO_Common_QEndDate,0,COLUMN())),"N/A")</f>
        <v>N/A</v>
      </c>
      <c r="BO904" s="464" t="str">
        <f t="array" aca="1" ref="BO904" ca="1">IFERROR(_xll.TR(MO.Ticker.Thomson,"Min(TR.PriceLow)","sdate:#1 edate:#2",,INDEX(MO_SNA_FPStartDate,0,COLUMN()),INDEX(MO_Common_QEndDate,0,COLUMN())),"N/A")</f>
        <v>N/A</v>
      </c>
      <c r="BP904" s="464" t="str">
        <f t="array" aca="1" ref="BP904" ca="1">IFERROR(_xll.TR(MO.Ticker.Thomson,"Min(TR.PriceLow)","sdate:#1 edate:#2",,INDEX(MO_SNA_FPStartDate,0,COLUMN()),INDEX(MO_Common_QEndDate,0,COLUMN())),"N/A")</f>
        <v>N/A</v>
      </c>
      <c r="BQ904" s="464" t="str">
        <f t="array" aca="1" ref="BQ904" ca="1">IFERROR(_xll.TR(MO.Ticker.Thomson,"Min(TR.PriceLow)","sdate:#1 edate:#2",,INDEX(MO_SNA_FPStartDate,0,COLUMN()),INDEX(MO_Common_QEndDate,0,COLUMN())),"N/A")</f>
        <v>N/A</v>
      </c>
      <c r="BR904" s="464" t="str">
        <f t="array" aca="1" ref="BR904" ca="1">IFERROR(_xll.TR(MO.Ticker.Thomson,"Min(TR.PriceLow)","sdate:#1 edate:#2",,INDEX(MO_SNA_FPStartDate,0,COLUMN()),INDEX(MO_Common_QEndDate,0,COLUMN())),"N/A")</f>
        <v>N/A</v>
      </c>
      <c r="BS904" s="464" t="str">
        <f t="array" aca="1" ref="BS904" ca="1">IFERROR(_xll.TR(MO.Ticker.Thomson,"Min(TR.PriceLow)","sdate:#1 edate:#2",,INDEX(MO_SNA_FPStartDate,0,COLUMN()),INDEX(MO_Common_QEndDate,0,COLUMN())),"N/A")</f>
        <v>N/A</v>
      </c>
      <c r="BT904" s="464" t="str">
        <f t="array" aca="1" ref="BT904" ca="1">IFERROR(_xll.TR(MO.Ticker.Thomson,"Min(TR.PriceLow)","sdate:#1 edate:#2",,INDEX(MO_SNA_FPStartDate,0,COLUMN()),INDEX(MO_Common_QEndDate,0,COLUMN())),"N/A")</f>
        <v>N/A</v>
      </c>
      <c r="BU904" s="464" t="str">
        <f t="array" aca="1" ref="BU904" ca="1">IFERROR(_xll.TR(MO.Ticker.Thomson,"Min(TR.PriceLow)","sdate:#1 edate:#2",,INDEX(MO_SNA_FPStartDate,0,COLUMN()),INDEX(MO_Common_QEndDate,0,COLUMN())),"N/A")</f>
        <v>N/A</v>
      </c>
      <c r="BV904" s="565" t="str">
        <f t="array" aca="1" ref="BV904" ca="1">IFERROR(_xll.TR(MO.Ticker.Thomson,"Min(TR.PriceLow)","sdate:#1 edate:#2",,INDEX(MO_SNA_FPStartDate,0,COLUMN()),INDEX(MO_Common_QEndDate,0,COLUMN())),"N/A")</f>
        <v>N/A</v>
      </c>
      <c r="BW904" s="566"/>
    </row>
    <row r="905" spans="1:75" ht="15.75" hidden="1" customHeight="1" outlineLevel="1" x14ac:dyDescent="0.2">
      <c r="A905" s="56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10"/>
      <c r="BJ905" s="9"/>
      <c r="BK905" s="9"/>
      <c r="BL905" s="9"/>
      <c r="BM905" s="9"/>
      <c r="BN905" s="9"/>
      <c r="BO905" s="9"/>
      <c r="BP905" s="9"/>
      <c r="BQ905" s="9"/>
      <c r="BR905" s="9"/>
      <c r="BS905" s="9"/>
      <c r="BT905" s="9"/>
      <c r="BU905" s="9"/>
      <c r="BV905" s="570"/>
      <c r="BW905" s="552"/>
    </row>
    <row r="906" spans="1:75" ht="15.75" customHeight="1" collapsed="1" x14ac:dyDescent="0.2">
      <c r="A906" s="563" t="str">
        <f ca="1">"Stock Average: "&amp;IF(OR(MO.RealTimeStockPriceToggle=FALSE,VLOOKUP(MO.DataSourceName,MO_SPT_StockAverage_Sources,COLUMN()+2,FALSE)="N/A"),"Real-Time Off Source",MO.DataSourceName)</f>
        <v>Stock Average: Real-Time Off Source</v>
      </c>
      <c r="B906" s="464"/>
      <c r="C906" s="464">
        <f t="shared" ref="C906:AH906" ca="1" si="1823">IF(OR(MO.RealTimeStockPriceToggle=FALSE,VLOOKUP(MO.DataSourceName,MO_SPT_StockAverage_Sources,COLUMN(),FALSE)="N/A"),VLOOKUP("Real-Time Off Source",MO_SPT_StockAverage_Sources,COLUMN(),FALSE),VLOOKUP(MO.DataSourceName,MO_SPT_StockAverage_Sources,COLUMN(),FALSE))</f>
        <v>15.776249999999999</v>
      </c>
      <c r="D906" s="464">
        <f t="shared" ca="1" si="1823"/>
        <v>26.27375</v>
      </c>
      <c r="E906" s="464">
        <f t="shared" ca="1" si="1823"/>
        <v>28.997499999999999</v>
      </c>
      <c r="F906" s="464">
        <f t="shared" ca="1" si="1823"/>
        <v>32.178750000000001</v>
      </c>
      <c r="G906" s="464">
        <f t="shared" ca="1" si="1823"/>
        <v>35.67</v>
      </c>
      <c r="H906" s="464">
        <f t="shared" ca="1" si="1823"/>
        <v>39.765000000000001</v>
      </c>
      <c r="I906" s="464">
        <f t="shared" ca="1" si="1823"/>
        <v>42.325000000000003</v>
      </c>
      <c r="J906" s="464">
        <f t="shared" ca="1" si="1823"/>
        <v>45.884999999999998</v>
      </c>
      <c r="K906" s="464">
        <f t="shared" ca="1" si="1823"/>
        <v>40.911250000000003</v>
      </c>
      <c r="L906" s="464">
        <f t="shared" ca="1" si="1823"/>
        <v>45.97</v>
      </c>
      <c r="M906" s="464">
        <f t="shared" ca="1" si="1823"/>
        <v>46.34</v>
      </c>
      <c r="N906" s="464">
        <f t="shared" ca="1" si="1823"/>
        <v>44.814999999999998</v>
      </c>
      <c r="O906" s="464">
        <f t="shared" ca="1" si="1823"/>
        <v>46.725000000000001</v>
      </c>
      <c r="P906" s="464">
        <f t="shared" ca="1" si="1823"/>
        <v>45.962499999999999</v>
      </c>
      <c r="Q906" s="464">
        <f t="shared" ca="1" si="1823"/>
        <v>50.835000000000001</v>
      </c>
      <c r="R906" s="464">
        <f t="shared" ca="1" si="1823"/>
        <v>51.695</v>
      </c>
      <c r="S906" s="464">
        <f t="shared" ca="1" si="1823"/>
        <v>54.44</v>
      </c>
      <c r="T906" s="464">
        <f t="shared" ca="1" si="1823"/>
        <v>50.35</v>
      </c>
      <c r="U906" s="464">
        <f t="shared" ca="1" si="1823"/>
        <v>51.83</v>
      </c>
      <c r="V906" s="464">
        <f t="shared" ca="1" si="1823"/>
        <v>49.145000000000003</v>
      </c>
      <c r="W906" s="464">
        <f t="shared" ca="1" si="1823"/>
        <v>50.31</v>
      </c>
      <c r="X906" s="464">
        <f t="shared" ca="1" si="1823"/>
        <v>50.18</v>
      </c>
      <c r="Y906" s="464">
        <f t="shared" ca="1" si="1823"/>
        <v>56.7</v>
      </c>
      <c r="Z906" s="464">
        <f t="shared" ca="1" si="1823"/>
        <v>51.583750000000002</v>
      </c>
      <c r="AA906" s="464">
        <f t="shared" ca="1" si="1823"/>
        <v>60.9</v>
      </c>
      <c r="AB906" s="464">
        <f t="shared" ca="1" si="1823"/>
        <v>58.35</v>
      </c>
      <c r="AC906" s="464">
        <f t="shared" ca="1" si="1823"/>
        <v>44.625</v>
      </c>
      <c r="AD906" s="464">
        <f t="shared" ca="1" si="1823"/>
        <v>45.945</v>
      </c>
      <c r="AE906" s="464">
        <f t="shared" ca="1" si="1823"/>
        <v>52.454999999999998</v>
      </c>
      <c r="AF906" s="464">
        <f t="shared" ca="1" si="1823"/>
        <v>48.005000000000003</v>
      </c>
      <c r="AG906" s="464">
        <f t="shared" ca="1" si="1823"/>
        <v>53.187734374999998</v>
      </c>
      <c r="AH906" s="464">
        <f t="shared" ca="1" si="1823"/>
        <v>53.935873015873</v>
      </c>
      <c r="AI906" s="464">
        <f t="shared" ref="AI906:BN906" ca="1" si="1824">IF(OR(MO.RealTimeStockPriceToggle=FALSE,VLOOKUP(MO.DataSourceName,MO_SPT_StockAverage_Sources,COLUMN(),FALSE)="N/A"),VLOOKUP("Real-Time Off Source",MO_SPT_StockAverage_Sources,COLUMN(),FALSE),VLOOKUP(MO.DataSourceName,MO_SPT_StockAverage_Sources,COLUMN(),FALSE))</f>
        <v>48.3427868852459</v>
      </c>
      <c r="AJ906" s="464">
        <f t="shared" ca="1" si="1824"/>
        <v>50.90878</v>
      </c>
      <c r="AK906" s="464">
        <f t="shared" ca="1" si="1824"/>
        <v>46.049206349206301</v>
      </c>
      <c r="AL906" s="464">
        <f t="shared" ca="1" si="1824"/>
        <v>46.5426984126984</v>
      </c>
      <c r="AM906" s="464">
        <f t="shared" ca="1" si="1824"/>
        <v>41.0833333333333</v>
      </c>
      <c r="AN906" s="464">
        <f t="shared" ca="1" si="1824"/>
        <v>41.2253968253968</v>
      </c>
      <c r="AO906" s="464">
        <f t="shared" ca="1" si="1824"/>
        <v>43.725158730158697</v>
      </c>
      <c r="AP906" s="464">
        <f t="shared" ca="1" si="1824"/>
        <v>33.687177419354803</v>
      </c>
      <c r="AQ906" s="464">
        <f t="shared" ca="1" si="1824"/>
        <v>21.038809523809501</v>
      </c>
      <c r="AR906" s="464">
        <f t="shared" ca="1" si="1824"/>
        <v>26.2019047619048</v>
      </c>
      <c r="AS906" s="464">
        <f t="shared" ca="1" si="1824"/>
        <v>34.122222222222199</v>
      </c>
      <c r="AT906" s="464">
        <f t="shared" ca="1" si="1824"/>
        <v>28.7429083665339</v>
      </c>
      <c r="AU906" s="464">
        <f t="shared" ca="1" si="1824"/>
        <v>50.0092741935484</v>
      </c>
      <c r="AV906" s="464">
        <f t="shared" ca="1" si="1824"/>
        <v>57.88</v>
      </c>
      <c r="AW906" s="464">
        <f t="shared" ca="1" si="1824"/>
        <v>47.073333333333302</v>
      </c>
      <c r="AX906" s="464">
        <f t="shared" ca="1" si="1824"/>
        <v>42.410158730158699</v>
      </c>
      <c r="AY906" s="464">
        <f t="shared" ca="1" si="1824"/>
        <v>49.335278884462198</v>
      </c>
      <c r="AZ906" s="464">
        <f t="shared" ca="1" si="1824"/>
        <v>38.207460317460303</v>
      </c>
      <c r="BA906" s="464">
        <f t="shared" ca="1" si="1824"/>
        <v>33.629677419354799</v>
      </c>
      <c r="BB906" s="464">
        <f t="shared" ca="1" si="1824"/>
        <v>30.259523809523799</v>
      </c>
      <c r="BC906" s="464">
        <f t="shared" ca="1" si="1824"/>
        <v>33.256060606060601</v>
      </c>
      <c r="BD906" s="464">
        <f t="shared" ca="1" si="1824"/>
        <v>33.832125984252002</v>
      </c>
      <c r="BE906" s="464">
        <f t="shared" ca="1" si="1824"/>
        <v>37.234516129032301</v>
      </c>
      <c r="BF906" s="464">
        <f t="shared" ca="1" si="1824"/>
        <v>33.156774193548401</v>
      </c>
      <c r="BG906" s="464">
        <f t="shared" ca="1" si="1824"/>
        <v>33.164531250000003</v>
      </c>
      <c r="BH906" s="464">
        <f t="shared" ca="1" si="1824"/>
        <v>32.025245901639302</v>
      </c>
      <c r="BI906" s="564">
        <f t="shared" ca="1" si="1824"/>
        <v>33.896907630522101</v>
      </c>
      <c r="BJ906" s="464">
        <f t="shared" ca="1" si="1824"/>
        <v>0</v>
      </c>
      <c r="BK906" s="464">
        <f t="shared" ca="1" si="1824"/>
        <v>0</v>
      </c>
      <c r="BL906" s="464">
        <f t="shared" ca="1" si="1824"/>
        <v>0</v>
      </c>
      <c r="BM906" s="464">
        <f t="shared" ca="1" si="1824"/>
        <v>0</v>
      </c>
      <c r="BN906" s="464">
        <f t="shared" ca="1" si="1824"/>
        <v>0</v>
      </c>
      <c r="BO906" s="464">
        <f t="shared" ref="BO906:BV906" ca="1" si="1825">IF(OR(MO.RealTimeStockPriceToggle=FALSE,VLOOKUP(MO.DataSourceName,MO_SPT_StockAverage_Sources,COLUMN(),FALSE)="N/A"),VLOOKUP("Real-Time Off Source",MO_SPT_StockAverage_Sources,COLUMN(),FALSE),VLOOKUP(MO.DataSourceName,MO_SPT_StockAverage_Sources,COLUMN(),FALSE))</f>
        <v>0</v>
      </c>
      <c r="BP906" s="464">
        <f t="shared" ca="1" si="1825"/>
        <v>0</v>
      </c>
      <c r="BQ906" s="464">
        <f t="shared" ca="1" si="1825"/>
        <v>0</v>
      </c>
      <c r="BR906" s="464">
        <f t="shared" ca="1" si="1825"/>
        <v>0</v>
      </c>
      <c r="BS906" s="464">
        <f t="shared" ca="1" si="1825"/>
        <v>0</v>
      </c>
      <c r="BT906" s="464">
        <f t="shared" ca="1" si="1825"/>
        <v>0</v>
      </c>
      <c r="BU906" s="464">
        <f t="shared" ca="1" si="1825"/>
        <v>0</v>
      </c>
      <c r="BV906" s="565">
        <f t="shared" ca="1" si="1825"/>
        <v>0</v>
      </c>
      <c r="BW906" s="566"/>
    </row>
    <row r="907" spans="1:75" ht="15.75" hidden="1" customHeight="1" outlineLevel="1" x14ac:dyDescent="0.2">
      <c r="A907" s="563" t="s">
        <v>934</v>
      </c>
      <c r="B907" s="464"/>
      <c r="C907" s="567">
        <v>15.776249999999999</v>
      </c>
      <c r="D907" s="567">
        <v>26.27375</v>
      </c>
      <c r="E907" s="567">
        <v>28.997499999999999</v>
      </c>
      <c r="F907" s="567">
        <v>32.178750000000001</v>
      </c>
      <c r="G907" s="567">
        <v>35.67</v>
      </c>
      <c r="H907" s="567">
        <v>39.765000000000001</v>
      </c>
      <c r="I907" s="567">
        <v>42.325000000000003</v>
      </c>
      <c r="J907" s="567">
        <v>45.884999999999998</v>
      </c>
      <c r="K907" s="567">
        <v>40.911250000000003</v>
      </c>
      <c r="L907" s="567">
        <v>45.97</v>
      </c>
      <c r="M907" s="567">
        <v>46.34</v>
      </c>
      <c r="N907" s="567">
        <v>44.814999999999998</v>
      </c>
      <c r="O907" s="567">
        <v>46.725000000000001</v>
      </c>
      <c r="P907" s="567">
        <v>45.962499999999999</v>
      </c>
      <c r="Q907" s="567">
        <v>50.835000000000001</v>
      </c>
      <c r="R907" s="567">
        <v>51.695</v>
      </c>
      <c r="S907" s="567">
        <v>54.44</v>
      </c>
      <c r="T907" s="567">
        <v>50.35</v>
      </c>
      <c r="U907" s="567">
        <v>51.83</v>
      </c>
      <c r="V907" s="567">
        <v>49.145000000000003</v>
      </c>
      <c r="W907" s="567">
        <v>50.31</v>
      </c>
      <c r="X907" s="567">
        <v>50.18</v>
      </c>
      <c r="Y907" s="567">
        <v>56.7</v>
      </c>
      <c r="Z907" s="567">
        <v>51.583750000000002</v>
      </c>
      <c r="AA907" s="567">
        <v>60.9</v>
      </c>
      <c r="AB907" s="567">
        <v>58.35</v>
      </c>
      <c r="AC907" s="567">
        <v>44.625</v>
      </c>
      <c r="AD907" s="567">
        <v>45.945</v>
      </c>
      <c r="AE907" s="567">
        <v>52.454999999999998</v>
      </c>
      <c r="AF907" s="567">
        <v>48.005000000000003</v>
      </c>
      <c r="AG907" s="567">
        <v>53.187734374999998</v>
      </c>
      <c r="AH907" s="567">
        <v>53.935873015873</v>
      </c>
      <c r="AI907" s="567">
        <v>48.3427868852459</v>
      </c>
      <c r="AJ907" s="567">
        <v>50.90878</v>
      </c>
      <c r="AK907" s="567">
        <v>46.049206349206301</v>
      </c>
      <c r="AL907" s="567">
        <v>46.5426984126984</v>
      </c>
      <c r="AM907" s="567">
        <v>41.0833333333333</v>
      </c>
      <c r="AN907" s="567">
        <v>41.2253968253968</v>
      </c>
      <c r="AO907" s="567">
        <v>43.725158730158697</v>
      </c>
      <c r="AP907" s="567">
        <v>33.687177419354803</v>
      </c>
      <c r="AQ907" s="567">
        <v>21.038809523809501</v>
      </c>
      <c r="AR907" s="567">
        <v>26.2019047619048</v>
      </c>
      <c r="AS907" s="567">
        <v>34.122222222222199</v>
      </c>
      <c r="AT907" s="567">
        <v>28.7429083665339</v>
      </c>
      <c r="AU907" s="567">
        <v>50.0092741935484</v>
      </c>
      <c r="AV907" s="567">
        <v>57.88</v>
      </c>
      <c r="AW907" s="567">
        <v>47.073333333333302</v>
      </c>
      <c r="AX907" s="567">
        <v>42.410158730158699</v>
      </c>
      <c r="AY907" s="567">
        <v>49.335278884462198</v>
      </c>
      <c r="AZ907" s="567">
        <v>38.207460317460303</v>
      </c>
      <c r="BA907" s="567">
        <v>33.629677419354799</v>
      </c>
      <c r="BB907" s="567">
        <v>30.259523809523799</v>
      </c>
      <c r="BC907" s="567">
        <v>33.256060606060601</v>
      </c>
      <c r="BD907" s="567">
        <v>33.832125984252002</v>
      </c>
      <c r="BE907" s="567">
        <v>37.234516129032301</v>
      </c>
      <c r="BF907" s="567">
        <v>33.156774193548401</v>
      </c>
      <c r="BG907" s="567">
        <v>33.164531250000003</v>
      </c>
      <c r="BH907" s="567">
        <v>32.025245901639302</v>
      </c>
      <c r="BI907" s="568">
        <v>33.896907630522101</v>
      </c>
      <c r="BJ907" s="464"/>
      <c r="BK907" s="464"/>
      <c r="BL907" s="464"/>
      <c r="BM907" s="464"/>
      <c r="BN907" s="464"/>
      <c r="BO907" s="464"/>
      <c r="BP907" s="464"/>
      <c r="BQ907" s="464"/>
      <c r="BR907" s="464"/>
      <c r="BS907" s="464"/>
      <c r="BT907" s="464"/>
      <c r="BU907" s="464"/>
      <c r="BV907" s="565"/>
      <c r="BW907" s="566"/>
    </row>
    <row r="908" spans="1:75" ht="15.75" hidden="1" customHeight="1" outlineLevel="1" x14ac:dyDescent="0.2">
      <c r="A908" s="563" t="s">
        <v>935</v>
      </c>
      <c r="B908" s="464"/>
      <c r="C908" s="464" t="str">
        <f t="array" aca="1" ref="C908" ca="1">IFERROR(BDP(MO.Ticker.Bloomberg&amp;" Equity","INTERVAL_AVG","MARKET_DATA_OVERRIDE=PX_LAST","START_DATE_OVERRIDE",TEXT(INDEX(MO_SNA_FPStartDate,0,COLUMN()),"YYYYMMDD"),"END_DATE_OVERRIDE",TEXT(INDEX(MO_Common_QEndDate,0,COLUMN()),"YYYYMMDD")),"N/A")</f>
        <v>N/A</v>
      </c>
      <c r="D908" s="464" t="str">
        <f t="array" aca="1" ref="D908" ca="1">IFERROR(BDP(MO.Ticker.Bloomberg&amp;" Equity","INTERVAL_AVG","MARKET_DATA_OVERRIDE=PX_LAST","START_DATE_OVERRIDE",TEXT(INDEX(MO_SNA_FPStartDate,0,COLUMN()),"YYYYMMDD"),"END_DATE_OVERRIDE",TEXT(INDEX(MO_Common_QEndDate,0,COLUMN()),"YYYYMMDD")),"N/A")</f>
        <v>N/A</v>
      </c>
      <c r="E908" s="464" t="str">
        <f t="array" aca="1" ref="E908" ca="1">IFERROR(BDP(MO.Ticker.Bloomberg&amp;" Equity","INTERVAL_AVG","MARKET_DATA_OVERRIDE=PX_LAST","START_DATE_OVERRIDE",TEXT(INDEX(MO_SNA_FPStartDate,0,COLUMN()),"YYYYMMDD"),"END_DATE_OVERRIDE",TEXT(INDEX(MO_Common_QEndDate,0,COLUMN()),"YYYYMMDD")),"N/A")</f>
        <v>N/A</v>
      </c>
      <c r="F908" s="464" t="str">
        <f t="array" aca="1" ref="F908" ca="1">IFERROR(BDP(MO.Ticker.Bloomberg&amp;" Equity","INTERVAL_AVG","MARKET_DATA_OVERRIDE=PX_LAST","START_DATE_OVERRIDE",TEXT(INDEX(MO_SNA_FPStartDate,0,COLUMN()),"YYYYMMDD"),"END_DATE_OVERRIDE",TEXT(INDEX(MO_Common_QEndDate,0,COLUMN()),"YYYYMMDD")),"N/A")</f>
        <v>N/A</v>
      </c>
      <c r="G908" s="464" t="str">
        <f t="array" aca="1" ref="G908" ca="1">IFERROR(BDP(MO.Ticker.Bloomberg&amp;" Equity","INTERVAL_AVG","MARKET_DATA_OVERRIDE=PX_LAST","START_DATE_OVERRIDE",TEXT(INDEX(MO_SNA_FPStartDate,0,COLUMN()),"YYYYMMDD"),"END_DATE_OVERRIDE",TEXT(INDEX(MO_Common_QEndDate,0,COLUMN()),"YYYYMMDD")),"N/A")</f>
        <v>N/A</v>
      </c>
      <c r="H908" s="464" t="str">
        <f t="array" aca="1" ref="H908" ca="1">IFERROR(BDP(MO.Ticker.Bloomberg&amp;" Equity","INTERVAL_AVG","MARKET_DATA_OVERRIDE=PX_LAST","START_DATE_OVERRIDE",TEXT(INDEX(MO_SNA_FPStartDate,0,COLUMN()),"YYYYMMDD"),"END_DATE_OVERRIDE",TEXT(INDEX(MO_Common_QEndDate,0,COLUMN()),"YYYYMMDD")),"N/A")</f>
        <v>N/A</v>
      </c>
      <c r="I908" s="464" t="str">
        <f t="array" aca="1" ref="I908" ca="1">IFERROR(BDP(MO.Ticker.Bloomberg&amp;" Equity","INTERVAL_AVG","MARKET_DATA_OVERRIDE=PX_LAST","START_DATE_OVERRIDE",TEXT(INDEX(MO_SNA_FPStartDate,0,COLUMN()),"YYYYMMDD"),"END_DATE_OVERRIDE",TEXT(INDEX(MO_Common_QEndDate,0,COLUMN()),"YYYYMMDD")),"N/A")</f>
        <v>N/A</v>
      </c>
      <c r="J908" s="464" t="str">
        <f t="array" aca="1" ref="J908" ca="1">IFERROR(BDP(MO.Ticker.Bloomberg&amp;" Equity","INTERVAL_AVG","MARKET_DATA_OVERRIDE=PX_LAST","START_DATE_OVERRIDE",TEXT(INDEX(MO_SNA_FPStartDate,0,COLUMN()),"YYYYMMDD"),"END_DATE_OVERRIDE",TEXT(INDEX(MO_Common_QEndDate,0,COLUMN()),"YYYYMMDD")),"N/A")</f>
        <v>N/A</v>
      </c>
      <c r="K908" s="464" t="str">
        <f t="array" aca="1" ref="K908" ca="1">IFERROR(BDP(MO.Ticker.Bloomberg&amp;" Equity","INTERVAL_AVG","MARKET_DATA_OVERRIDE=PX_LAST","START_DATE_OVERRIDE",TEXT(INDEX(MO_SNA_FPStartDate,0,COLUMN()),"YYYYMMDD"),"END_DATE_OVERRIDE",TEXT(INDEX(MO_Common_QEndDate,0,COLUMN()),"YYYYMMDD")),"N/A")</f>
        <v>N/A</v>
      </c>
      <c r="L908" s="464" t="str">
        <f t="array" aca="1" ref="L908" ca="1">IFERROR(BDP(MO.Ticker.Bloomberg&amp;" Equity","INTERVAL_AVG","MARKET_DATA_OVERRIDE=PX_LAST","START_DATE_OVERRIDE",TEXT(INDEX(MO_SNA_FPStartDate,0,COLUMN()),"YYYYMMDD"),"END_DATE_OVERRIDE",TEXT(INDEX(MO_Common_QEndDate,0,COLUMN()),"YYYYMMDD")),"N/A")</f>
        <v>N/A</v>
      </c>
      <c r="M908" s="464" t="str">
        <f t="array" aca="1" ref="M908" ca="1">IFERROR(BDP(MO.Ticker.Bloomberg&amp;" Equity","INTERVAL_AVG","MARKET_DATA_OVERRIDE=PX_LAST","START_DATE_OVERRIDE",TEXT(INDEX(MO_SNA_FPStartDate,0,COLUMN()),"YYYYMMDD"),"END_DATE_OVERRIDE",TEXT(INDEX(MO_Common_QEndDate,0,COLUMN()),"YYYYMMDD")),"N/A")</f>
        <v>N/A</v>
      </c>
      <c r="N908" s="464" t="str">
        <f t="array" aca="1" ref="N908" ca="1">IFERROR(BDP(MO.Ticker.Bloomberg&amp;" Equity","INTERVAL_AVG","MARKET_DATA_OVERRIDE=PX_LAST","START_DATE_OVERRIDE",TEXT(INDEX(MO_SNA_FPStartDate,0,COLUMN()),"YYYYMMDD"),"END_DATE_OVERRIDE",TEXT(INDEX(MO_Common_QEndDate,0,COLUMN()),"YYYYMMDD")),"N/A")</f>
        <v>N/A</v>
      </c>
      <c r="O908" s="464" t="str">
        <f t="array" aca="1" ref="O908" ca="1">IFERROR(BDP(MO.Ticker.Bloomberg&amp;" Equity","INTERVAL_AVG","MARKET_DATA_OVERRIDE=PX_LAST","START_DATE_OVERRIDE",TEXT(INDEX(MO_SNA_FPStartDate,0,COLUMN()),"YYYYMMDD"),"END_DATE_OVERRIDE",TEXT(INDEX(MO_Common_QEndDate,0,COLUMN()),"YYYYMMDD")),"N/A")</f>
        <v>N/A</v>
      </c>
      <c r="P908" s="464" t="str">
        <f t="array" aca="1" ref="P908" ca="1">IFERROR(BDP(MO.Ticker.Bloomberg&amp;" Equity","INTERVAL_AVG","MARKET_DATA_OVERRIDE=PX_LAST","START_DATE_OVERRIDE",TEXT(INDEX(MO_SNA_FPStartDate,0,COLUMN()),"YYYYMMDD"),"END_DATE_OVERRIDE",TEXT(INDEX(MO_Common_QEndDate,0,COLUMN()),"YYYYMMDD")),"N/A")</f>
        <v>N/A</v>
      </c>
      <c r="Q908" s="464" t="str">
        <f t="array" aca="1" ref="Q908" ca="1">IFERROR(BDP(MO.Ticker.Bloomberg&amp;" Equity","INTERVAL_AVG","MARKET_DATA_OVERRIDE=PX_LAST","START_DATE_OVERRIDE",TEXT(INDEX(MO_SNA_FPStartDate,0,COLUMN()),"YYYYMMDD"),"END_DATE_OVERRIDE",TEXT(INDEX(MO_Common_QEndDate,0,COLUMN()),"YYYYMMDD")),"N/A")</f>
        <v>N/A</v>
      </c>
      <c r="R908" s="464" t="str">
        <f t="array" aca="1" ref="R908" ca="1">IFERROR(BDP(MO.Ticker.Bloomberg&amp;" Equity","INTERVAL_AVG","MARKET_DATA_OVERRIDE=PX_LAST","START_DATE_OVERRIDE",TEXT(INDEX(MO_SNA_FPStartDate,0,COLUMN()),"YYYYMMDD"),"END_DATE_OVERRIDE",TEXT(INDEX(MO_Common_QEndDate,0,COLUMN()),"YYYYMMDD")),"N/A")</f>
        <v>N/A</v>
      </c>
      <c r="S908" s="464" t="str">
        <f t="array" aca="1" ref="S908" ca="1">IFERROR(BDP(MO.Ticker.Bloomberg&amp;" Equity","INTERVAL_AVG","MARKET_DATA_OVERRIDE=PX_LAST","START_DATE_OVERRIDE",TEXT(INDEX(MO_SNA_FPStartDate,0,COLUMN()),"YYYYMMDD"),"END_DATE_OVERRIDE",TEXT(INDEX(MO_Common_QEndDate,0,COLUMN()),"YYYYMMDD")),"N/A")</f>
        <v>N/A</v>
      </c>
      <c r="T908" s="464" t="str">
        <f t="array" aca="1" ref="T908" ca="1">IFERROR(BDP(MO.Ticker.Bloomberg&amp;" Equity","INTERVAL_AVG","MARKET_DATA_OVERRIDE=PX_LAST","START_DATE_OVERRIDE",TEXT(INDEX(MO_SNA_FPStartDate,0,COLUMN()),"YYYYMMDD"),"END_DATE_OVERRIDE",TEXT(INDEX(MO_Common_QEndDate,0,COLUMN()),"YYYYMMDD")),"N/A")</f>
        <v>N/A</v>
      </c>
      <c r="U908" s="464" t="str">
        <f t="array" aca="1" ref="U908" ca="1">IFERROR(BDP(MO.Ticker.Bloomberg&amp;" Equity","INTERVAL_AVG","MARKET_DATA_OVERRIDE=PX_LAST","START_DATE_OVERRIDE",TEXT(INDEX(MO_SNA_FPStartDate,0,COLUMN()),"YYYYMMDD"),"END_DATE_OVERRIDE",TEXT(INDEX(MO_Common_QEndDate,0,COLUMN()),"YYYYMMDD")),"N/A")</f>
        <v>N/A</v>
      </c>
      <c r="V908" s="464" t="str">
        <f t="array" aca="1" ref="V908" ca="1">IFERROR(BDP(MO.Ticker.Bloomberg&amp;" Equity","INTERVAL_AVG","MARKET_DATA_OVERRIDE=PX_LAST","START_DATE_OVERRIDE",TEXT(INDEX(MO_SNA_FPStartDate,0,COLUMN()),"YYYYMMDD"),"END_DATE_OVERRIDE",TEXT(INDEX(MO_Common_QEndDate,0,COLUMN()),"YYYYMMDD")),"N/A")</f>
        <v>N/A</v>
      </c>
      <c r="W908" s="464" t="str">
        <f t="array" aca="1" ref="W908" ca="1">IFERROR(BDP(MO.Ticker.Bloomberg&amp;" Equity","INTERVAL_AVG","MARKET_DATA_OVERRIDE=PX_LAST","START_DATE_OVERRIDE",TEXT(INDEX(MO_SNA_FPStartDate,0,COLUMN()),"YYYYMMDD"),"END_DATE_OVERRIDE",TEXT(INDEX(MO_Common_QEndDate,0,COLUMN()),"YYYYMMDD")),"N/A")</f>
        <v>N/A</v>
      </c>
      <c r="X908" s="464" t="str">
        <f t="array" aca="1" ref="X908" ca="1">IFERROR(BDP(MO.Ticker.Bloomberg&amp;" Equity","INTERVAL_AVG","MARKET_DATA_OVERRIDE=PX_LAST","START_DATE_OVERRIDE",TEXT(INDEX(MO_SNA_FPStartDate,0,COLUMN()),"YYYYMMDD"),"END_DATE_OVERRIDE",TEXT(INDEX(MO_Common_QEndDate,0,COLUMN()),"YYYYMMDD")),"N/A")</f>
        <v>N/A</v>
      </c>
      <c r="Y908" s="464" t="str">
        <f t="array" aca="1" ref="Y908" ca="1">IFERROR(BDP(MO.Ticker.Bloomberg&amp;" Equity","INTERVAL_AVG","MARKET_DATA_OVERRIDE=PX_LAST","START_DATE_OVERRIDE",TEXT(INDEX(MO_SNA_FPStartDate,0,COLUMN()),"YYYYMMDD"),"END_DATE_OVERRIDE",TEXT(INDEX(MO_Common_QEndDate,0,COLUMN()),"YYYYMMDD")),"N/A")</f>
        <v>N/A</v>
      </c>
      <c r="Z908" s="464" t="str">
        <f t="array" aca="1" ref="Z908" ca="1">IFERROR(BDP(MO.Ticker.Bloomberg&amp;" Equity","INTERVAL_AVG","MARKET_DATA_OVERRIDE=PX_LAST","START_DATE_OVERRIDE",TEXT(INDEX(MO_SNA_FPStartDate,0,COLUMN()),"YYYYMMDD"),"END_DATE_OVERRIDE",TEXT(INDEX(MO_Common_QEndDate,0,COLUMN()),"YYYYMMDD")),"N/A")</f>
        <v>N/A</v>
      </c>
      <c r="AA908" s="464" t="str">
        <f t="array" aca="1" ref="AA908" ca="1">IFERROR(BDP(MO.Ticker.Bloomberg&amp;" Equity","INTERVAL_AVG","MARKET_DATA_OVERRIDE=PX_LAST","START_DATE_OVERRIDE",TEXT(INDEX(MO_SNA_FPStartDate,0,COLUMN()),"YYYYMMDD"),"END_DATE_OVERRIDE",TEXT(INDEX(MO_Common_QEndDate,0,COLUMN()),"YYYYMMDD")),"N/A")</f>
        <v>N/A</v>
      </c>
      <c r="AB908" s="464" t="str">
        <f t="array" aca="1" ref="AB908" ca="1">IFERROR(BDP(MO.Ticker.Bloomberg&amp;" Equity","INTERVAL_AVG","MARKET_DATA_OVERRIDE=PX_LAST","START_DATE_OVERRIDE",TEXT(INDEX(MO_SNA_FPStartDate,0,COLUMN()),"YYYYMMDD"),"END_DATE_OVERRIDE",TEXT(INDEX(MO_Common_QEndDate,0,COLUMN()),"YYYYMMDD")),"N/A")</f>
        <v>N/A</v>
      </c>
      <c r="AC908" s="464" t="str">
        <f t="array" aca="1" ref="AC908" ca="1">IFERROR(BDP(MO.Ticker.Bloomberg&amp;" Equity","INTERVAL_AVG","MARKET_DATA_OVERRIDE=PX_LAST","START_DATE_OVERRIDE",TEXT(INDEX(MO_SNA_FPStartDate,0,COLUMN()),"YYYYMMDD"),"END_DATE_OVERRIDE",TEXT(INDEX(MO_Common_QEndDate,0,COLUMN()),"YYYYMMDD")),"N/A")</f>
        <v>N/A</v>
      </c>
      <c r="AD908" s="464" t="str">
        <f t="array" aca="1" ref="AD908" ca="1">IFERROR(BDP(MO.Ticker.Bloomberg&amp;" Equity","INTERVAL_AVG","MARKET_DATA_OVERRIDE=PX_LAST","START_DATE_OVERRIDE",TEXT(INDEX(MO_SNA_FPStartDate,0,COLUMN()),"YYYYMMDD"),"END_DATE_OVERRIDE",TEXT(INDEX(MO_Common_QEndDate,0,COLUMN()),"YYYYMMDD")),"N/A")</f>
        <v>N/A</v>
      </c>
      <c r="AE908" s="464" t="str">
        <f t="array" aca="1" ref="AE908" ca="1">IFERROR(BDP(MO.Ticker.Bloomberg&amp;" Equity","INTERVAL_AVG","MARKET_DATA_OVERRIDE=PX_LAST","START_DATE_OVERRIDE",TEXT(INDEX(MO_SNA_FPStartDate,0,COLUMN()),"YYYYMMDD"),"END_DATE_OVERRIDE",TEXT(INDEX(MO_Common_QEndDate,0,COLUMN()),"YYYYMMDD")),"N/A")</f>
        <v>N/A</v>
      </c>
      <c r="AF908" s="464" t="str">
        <f t="array" aca="1" ref="AF908" ca="1">IFERROR(BDP(MO.Ticker.Bloomberg&amp;" Equity","INTERVAL_AVG","MARKET_DATA_OVERRIDE=PX_LAST","START_DATE_OVERRIDE",TEXT(INDEX(MO_SNA_FPStartDate,0,COLUMN()),"YYYYMMDD"),"END_DATE_OVERRIDE",TEXT(INDEX(MO_Common_QEndDate,0,COLUMN()),"YYYYMMDD")),"N/A")</f>
        <v>N/A</v>
      </c>
      <c r="AG908" s="464" t="str">
        <f t="array" aca="1" ref="AG908" ca="1">IFERROR(BDP(MO.Ticker.Bloomberg&amp;" Equity","INTERVAL_AVG","MARKET_DATA_OVERRIDE=PX_LAST","START_DATE_OVERRIDE",TEXT(INDEX(MO_SNA_FPStartDate,0,COLUMN()),"YYYYMMDD"),"END_DATE_OVERRIDE",TEXT(INDEX(MO_Common_QEndDate,0,COLUMN()),"YYYYMMDD")),"N/A")</f>
        <v>N/A</v>
      </c>
      <c r="AH908" s="464" t="str">
        <f t="array" aca="1" ref="AH908" ca="1">IFERROR(BDP(MO.Ticker.Bloomberg&amp;" Equity","INTERVAL_AVG","MARKET_DATA_OVERRIDE=PX_LAST","START_DATE_OVERRIDE",TEXT(INDEX(MO_SNA_FPStartDate,0,COLUMN()),"YYYYMMDD"),"END_DATE_OVERRIDE",TEXT(INDEX(MO_Common_QEndDate,0,COLUMN()),"YYYYMMDD")),"N/A")</f>
        <v>N/A</v>
      </c>
      <c r="AI908" s="464" t="str">
        <f t="array" aca="1" ref="AI908" ca="1">IFERROR(BDP(MO.Ticker.Bloomberg&amp;" Equity","INTERVAL_AVG","MARKET_DATA_OVERRIDE=PX_LAST","START_DATE_OVERRIDE",TEXT(INDEX(MO_SNA_FPStartDate,0,COLUMN()),"YYYYMMDD"),"END_DATE_OVERRIDE",TEXT(INDEX(MO_Common_QEndDate,0,COLUMN()),"YYYYMMDD")),"N/A")</f>
        <v>N/A</v>
      </c>
      <c r="AJ908" s="464" t="str">
        <f t="array" aca="1" ref="AJ908" ca="1">IFERROR(BDP(MO.Ticker.Bloomberg&amp;" Equity","INTERVAL_AVG","MARKET_DATA_OVERRIDE=PX_LAST","START_DATE_OVERRIDE",TEXT(INDEX(MO_SNA_FPStartDate,0,COLUMN()),"YYYYMMDD"),"END_DATE_OVERRIDE",TEXT(INDEX(MO_Common_QEndDate,0,COLUMN()),"YYYYMMDD")),"N/A")</f>
        <v>N/A</v>
      </c>
      <c r="AK908" s="464" t="str">
        <f t="array" aca="1" ref="AK908" ca="1">IFERROR(BDP(MO.Ticker.Bloomberg&amp;" Equity","INTERVAL_AVG","MARKET_DATA_OVERRIDE=PX_LAST","START_DATE_OVERRIDE",TEXT(INDEX(MO_SNA_FPStartDate,0,COLUMN()),"YYYYMMDD"),"END_DATE_OVERRIDE",TEXT(INDEX(MO_Common_QEndDate,0,COLUMN()),"YYYYMMDD")),"N/A")</f>
        <v>N/A</v>
      </c>
      <c r="AL908" s="464" t="str">
        <f t="array" aca="1" ref="AL908" ca="1">IFERROR(BDP(MO.Ticker.Bloomberg&amp;" Equity","INTERVAL_AVG","MARKET_DATA_OVERRIDE=PX_LAST","START_DATE_OVERRIDE",TEXT(INDEX(MO_SNA_FPStartDate,0,COLUMN()),"YYYYMMDD"),"END_DATE_OVERRIDE",TEXT(INDEX(MO_Common_QEndDate,0,COLUMN()),"YYYYMMDD")),"N/A")</f>
        <v>N/A</v>
      </c>
      <c r="AM908" s="464" t="str">
        <f t="array" aca="1" ref="AM908" ca="1">IFERROR(BDP(MO.Ticker.Bloomberg&amp;" Equity","INTERVAL_AVG","MARKET_DATA_OVERRIDE=PX_LAST","START_DATE_OVERRIDE",TEXT(INDEX(MO_SNA_FPStartDate,0,COLUMN()),"YYYYMMDD"),"END_DATE_OVERRIDE",TEXT(INDEX(MO_Common_QEndDate,0,COLUMN()),"YYYYMMDD")),"N/A")</f>
        <v>N/A</v>
      </c>
      <c r="AN908" s="464" t="str">
        <f t="array" aca="1" ref="AN908" ca="1">IFERROR(BDP(MO.Ticker.Bloomberg&amp;" Equity","INTERVAL_AVG","MARKET_DATA_OVERRIDE=PX_LAST","START_DATE_OVERRIDE",TEXT(INDEX(MO_SNA_FPStartDate,0,COLUMN()),"YYYYMMDD"),"END_DATE_OVERRIDE",TEXT(INDEX(MO_Common_QEndDate,0,COLUMN()),"YYYYMMDD")),"N/A")</f>
        <v>N/A</v>
      </c>
      <c r="AO908" s="464" t="str">
        <f t="array" aca="1" ref="AO908" ca="1">IFERROR(BDP(MO.Ticker.Bloomberg&amp;" Equity","INTERVAL_AVG","MARKET_DATA_OVERRIDE=PX_LAST","START_DATE_OVERRIDE",TEXT(INDEX(MO_SNA_FPStartDate,0,COLUMN()),"YYYYMMDD"),"END_DATE_OVERRIDE",TEXT(INDEX(MO_Common_QEndDate,0,COLUMN()),"YYYYMMDD")),"N/A")</f>
        <v>N/A</v>
      </c>
      <c r="AP908" s="464" t="str">
        <f t="array" aca="1" ref="AP908" ca="1">IFERROR(BDP(MO.Ticker.Bloomberg&amp;" Equity","INTERVAL_AVG","MARKET_DATA_OVERRIDE=PX_LAST","START_DATE_OVERRIDE",TEXT(INDEX(MO_SNA_FPStartDate,0,COLUMN()),"YYYYMMDD"),"END_DATE_OVERRIDE",TEXT(INDEX(MO_Common_QEndDate,0,COLUMN()),"YYYYMMDD")),"N/A")</f>
        <v>N/A</v>
      </c>
      <c r="AQ908" s="464" t="str">
        <f t="array" aca="1" ref="AQ908" ca="1">IFERROR(BDP(MO.Ticker.Bloomberg&amp;" Equity","INTERVAL_AVG","MARKET_DATA_OVERRIDE=PX_LAST","START_DATE_OVERRIDE",TEXT(INDEX(MO_SNA_FPStartDate,0,COLUMN()),"YYYYMMDD"),"END_DATE_OVERRIDE",TEXT(INDEX(MO_Common_QEndDate,0,COLUMN()),"YYYYMMDD")),"N/A")</f>
        <v>N/A</v>
      </c>
      <c r="AR908" s="464" t="str">
        <f t="array" aca="1" ref="AR908" ca="1">IFERROR(BDP(MO.Ticker.Bloomberg&amp;" Equity","INTERVAL_AVG","MARKET_DATA_OVERRIDE=PX_LAST","START_DATE_OVERRIDE",TEXT(INDEX(MO_SNA_FPStartDate,0,COLUMN()),"YYYYMMDD"),"END_DATE_OVERRIDE",TEXT(INDEX(MO_Common_QEndDate,0,COLUMN()),"YYYYMMDD")),"N/A")</f>
        <v>N/A</v>
      </c>
      <c r="AS908" s="464" t="str">
        <f t="array" aca="1" ref="AS908" ca="1">IFERROR(BDP(MO.Ticker.Bloomberg&amp;" Equity","INTERVAL_AVG","MARKET_DATA_OVERRIDE=PX_LAST","START_DATE_OVERRIDE",TEXT(INDEX(MO_SNA_FPStartDate,0,COLUMN()),"YYYYMMDD"),"END_DATE_OVERRIDE",TEXT(INDEX(MO_Common_QEndDate,0,COLUMN()),"YYYYMMDD")),"N/A")</f>
        <v>N/A</v>
      </c>
      <c r="AT908" s="464" t="str">
        <f t="array" aca="1" ref="AT908" ca="1">IFERROR(BDP(MO.Ticker.Bloomberg&amp;" Equity","INTERVAL_AVG","MARKET_DATA_OVERRIDE=PX_LAST","START_DATE_OVERRIDE",TEXT(INDEX(MO_SNA_FPStartDate,0,COLUMN()),"YYYYMMDD"),"END_DATE_OVERRIDE",TEXT(INDEX(MO_Common_QEndDate,0,COLUMN()),"YYYYMMDD")),"N/A")</f>
        <v>N/A</v>
      </c>
      <c r="AU908" s="464" t="str">
        <f t="array" aca="1" ref="AU908" ca="1">IFERROR(BDP(MO.Ticker.Bloomberg&amp;" Equity","INTERVAL_AVG","MARKET_DATA_OVERRIDE=PX_LAST","START_DATE_OVERRIDE",TEXT(INDEX(MO_SNA_FPStartDate,0,COLUMN()),"YYYYMMDD"),"END_DATE_OVERRIDE",TEXT(INDEX(MO_Common_QEndDate,0,COLUMN()),"YYYYMMDD")),"N/A")</f>
        <v>N/A</v>
      </c>
      <c r="AV908" s="464" t="str">
        <f t="array" aca="1" ref="AV908" ca="1">IFERROR(BDP(MO.Ticker.Bloomberg&amp;" Equity","INTERVAL_AVG","MARKET_DATA_OVERRIDE=PX_LAST","START_DATE_OVERRIDE",TEXT(INDEX(MO_SNA_FPStartDate,0,COLUMN()),"YYYYMMDD"),"END_DATE_OVERRIDE",TEXT(INDEX(MO_Common_QEndDate,0,COLUMN()),"YYYYMMDD")),"N/A")</f>
        <v>N/A</v>
      </c>
      <c r="AW908" s="464" t="str">
        <f t="array" aca="1" ref="AW908" ca="1">IFERROR(BDP(MO.Ticker.Bloomberg&amp;" Equity","INTERVAL_AVG","MARKET_DATA_OVERRIDE=PX_LAST","START_DATE_OVERRIDE",TEXT(INDEX(MO_SNA_FPStartDate,0,COLUMN()),"YYYYMMDD"),"END_DATE_OVERRIDE",TEXT(INDEX(MO_Common_QEndDate,0,COLUMN()),"YYYYMMDD")),"N/A")</f>
        <v>N/A</v>
      </c>
      <c r="AX908" s="464" t="str">
        <f t="array" aca="1" ref="AX908" ca="1">IFERROR(BDP(MO.Ticker.Bloomberg&amp;" Equity","INTERVAL_AVG","MARKET_DATA_OVERRIDE=PX_LAST","START_DATE_OVERRIDE",TEXT(INDEX(MO_SNA_FPStartDate,0,COLUMN()),"YYYYMMDD"),"END_DATE_OVERRIDE",TEXT(INDEX(MO_Common_QEndDate,0,COLUMN()),"YYYYMMDD")),"N/A")</f>
        <v>N/A</v>
      </c>
      <c r="AY908" s="464" t="str">
        <f t="array" aca="1" ref="AY908" ca="1">IFERROR(BDP(MO.Ticker.Bloomberg&amp;" Equity","INTERVAL_AVG","MARKET_DATA_OVERRIDE=PX_LAST","START_DATE_OVERRIDE",TEXT(INDEX(MO_SNA_FPStartDate,0,COLUMN()),"YYYYMMDD"),"END_DATE_OVERRIDE",TEXT(INDEX(MO_Common_QEndDate,0,COLUMN()),"YYYYMMDD")),"N/A")</f>
        <v>N/A</v>
      </c>
      <c r="AZ908" s="464" t="str">
        <f t="array" aca="1" ref="AZ908" ca="1">IFERROR(BDP(MO.Ticker.Bloomberg&amp;" Equity","INTERVAL_AVG","MARKET_DATA_OVERRIDE=PX_LAST","START_DATE_OVERRIDE",TEXT(INDEX(MO_SNA_FPStartDate,0,COLUMN()),"YYYYMMDD"),"END_DATE_OVERRIDE",TEXT(INDEX(MO_Common_QEndDate,0,COLUMN()),"YYYYMMDD")),"N/A")</f>
        <v>N/A</v>
      </c>
      <c r="BA908" s="464" t="str">
        <f t="array" aca="1" ref="BA908" ca="1">IFERROR(BDP(MO.Ticker.Bloomberg&amp;" Equity","INTERVAL_AVG","MARKET_DATA_OVERRIDE=PX_LAST","START_DATE_OVERRIDE",TEXT(INDEX(MO_SNA_FPStartDate,0,COLUMN()),"YYYYMMDD"),"END_DATE_OVERRIDE",TEXT(INDEX(MO_Common_QEndDate,0,COLUMN()),"YYYYMMDD")),"N/A")</f>
        <v>N/A</v>
      </c>
      <c r="BB908" s="464" t="str">
        <f t="array" aca="1" ref="BB908" ca="1">IFERROR(BDP(MO.Ticker.Bloomberg&amp;" Equity","INTERVAL_AVG","MARKET_DATA_OVERRIDE=PX_LAST","START_DATE_OVERRIDE",TEXT(INDEX(MO_SNA_FPStartDate,0,COLUMN()),"YYYYMMDD"),"END_DATE_OVERRIDE",TEXT(INDEX(MO_Common_QEndDate,0,COLUMN()),"YYYYMMDD")),"N/A")</f>
        <v>N/A</v>
      </c>
      <c r="BC908" s="464" t="str">
        <f t="array" aca="1" ref="BC908" ca="1">IFERROR(BDP(MO.Ticker.Bloomberg&amp;" Equity","INTERVAL_AVG","MARKET_DATA_OVERRIDE=PX_LAST","START_DATE_OVERRIDE",TEXT(INDEX(MO_SNA_FPStartDate,0,COLUMN()),"YYYYMMDD"),"END_DATE_OVERRIDE",TEXT(INDEX(MO_Common_QEndDate,0,COLUMN()),"YYYYMMDD")),"N/A")</f>
        <v>N/A</v>
      </c>
      <c r="BD908" s="464" t="str">
        <f t="array" aca="1" ref="BD908" ca="1">IFERROR(BDP(MO.Ticker.Bloomberg&amp;" Equity","INTERVAL_AVG","MARKET_DATA_OVERRIDE=PX_LAST","START_DATE_OVERRIDE",TEXT(INDEX(MO_SNA_FPStartDate,0,COLUMN()),"YYYYMMDD"),"END_DATE_OVERRIDE",TEXT(INDEX(MO_Common_QEndDate,0,COLUMN()),"YYYYMMDD")),"N/A")</f>
        <v>N/A</v>
      </c>
      <c r="BE908" s="464" t="str">
        <f t="array" aca="1" ref="BE908" ca="1">IFERROR(BDP(MO.Ticker.Bloomberg&amp;" Equity","INTERVAL_AVG","MARKET_DATA_OVERRIDE=PX_LAST","START_DATE_OVERRIDE",TEXT(INDEX(MO_SNA_FPStartDate,0,COLUMN()),"YYYYMMDD"),"END_DATE_OVERRIDE",TEXT(INDEX(MO_Common_QEndDate,0,COLUMN()),"YYYYMMDD")),"N/A")</f>
        <v>N/A</v>
      </c>
      <c r="BF908" s="464" t="str">
        <f t="array" aca="1" ref="BF908" ca="1">IFERROR(BDP(MO.Ticker.Bloomberg&amp;" Equity","INTERVAL_AVG","MARKET_DATA_OVERRIDE=PX_LAST","START_DATE_OVERRIDE",TEXT(INDEX(MO_SNA_FPStartDate,0,COLUMN()),"YYYYMMDD"),"END_DATE_OVERRIDE",TEXT(INDEX(MO_Common_QEndDate,0,COLUMN()),"YYYYMMDD")),"N/A")</f>
        <v>N/A</v>
      </c>
      <c r="BG908" s="464" t="str">
        <f t="array" aca="1" ref="BG908" ca="1">IFERROR(BDP(MO.Ticker.Bloomberg&amp;" Equity","INTERVAL_AVG","MARKET_DATA_OVERRIDE=PX_LAST","START_DATE_OVERRIDE",TEXT(INDEX(MO_SNA_FPStartDate,0,COLUMN()),"YYYYMMDD"),"END_DATE_OVERRIDE",TEXT(INDEX(MO_Common_QEndDate,0,COLUMN()),"YYYYMMDD")),"N/A")</f>
        <v>N/A</v>
      </c>
      <c r="BH908" s="464" t="str">
        <f t="array" aca="1" ref="BH908" ca="1">IFERROR(BDP(MO.Ticker.Bloomberg&amp;" Equity","INTERVAL_AVG","MARKET_DATA_OVERRIDE=PX_LAST","START_DATE_OVERRIDE",TEXT(INDEX(MO_SNA_FPStartDate,0,COLUMN()),"YYYYMMDD"),"END_DATE_OVERRIDE",TEXT(INDEX(MO_Common_QEndDate,0,COLUMN()),"YYYYMMDD")),"N/A")</f>
        <v>N/A</v>
      </c>
      <c r="BI908" s="564" t="str">
        <f t="array" aca="1" ref="BI908" ca="1">IFERROR(BDP(MO.Ticker.Bloomberg&amp;" Equity","INTERVAL_AVG","MARKET_DATA_OVERRIDE=PX_LAST","START_DATE_OVERRIDE",TEXT(INDEX(MO_SNA_FPStartDate,0,COLUMN()),"YYYYMMDD"),"END_DATE_OVERRIDE",TEXT(INDEX(MO_Common_QEndDate,0,COLUMN()),"YYYYMMDD")),"N/A")</f>
        <v>N/A</v>
      </c>
      <c r="BJ908" s="464" t="str">
        <f t="array" aca="1" ref="BJ908" ca="1">IFERROR(BDP(MO.Ticker.Bloomberg&amp;" Equity","INTERVAL_AVG","MARKET_DATA_OVERRIDE=PX_LAST","START_DATE_OVERRIDE",TEXT(INDEX(MO_SNA_FPStartDate,0,COLUMN()),"YYYYMMDD"),"END_DATE_OVERRIDE",TEXT(INDEX(MO_Common_QEndDate,0,COLUMN()),"YYYYMMDD")),"N/A")</f>
        <v>N/A</v>
      </c>
      <c r="BK908" s="464" t="str">
        <f t="array" aca="1" ref="BK908" ca="1">IFERROR(BDP(MO.Ticker.Bloomberg&amp;" Equity","INTERVAL_AVG","MARKET_DATA_OVERRIDE=PX_LAST","START_DATE_OVERRIDE",TEXT(INDEX(MO_SNA_FPStartDate,0,COLUMN()),"YYYYMMDD"),"END_DATE_OVERRIDE",TEXT(INDEX(MO_Common_QEndDate,0,COLUMN()),"YYYYMMDD")),"N/A")</f>
        <v>N/A</v>
      </c>
      <c r="BL908" s="464" t="str">
        <f t="array" aca="1" ref="BL908" ca="1">IFERROR(BDP(MO.Ticker.Bloomberg&amp;" Equity","INTERVAL_AVG","MARKET_DATA_OVERRIDE=PX_LAST","START_DATE_OVERRIDE",TEXT(INDEX(MO_SNA_FPStartDate,0,COLUMN()),"YYYYMMDD"),"END_DATE_OVERRIDE",TEXT(INDEX(MO_Common_QEndDate,0,COLUMN()),"YYYYMMDD")),"N/A")</f>
        <v>N/A</v>
      </c>
      <c r="BM908" s="464" t="str">
        <f t="array" aca="1" ref="BM908" ca="1">IFERROR(BDP(MO.Ticker.Bloomberg&amp;" Equity","INTERVAL_AVG","MARKET_DATA_OVERRIDE=PX_LAST","START_DATE_OVERRIDE",TEXT(INDEX(MO_SNA_FPStartDate,0,COLUMN()),"YYYYMMDD"),"END_DATE_OVERRIDE",TEXT(INDEX(MO_Common_QEndDate,0,COLUMN()),"YYYYMMDD")),"N/A")</f>
        <v>N/A</v>
      </c>
      <c r="BN908" s="464" t="str">
        <f t="array" aca="1" ref="BN908" ca="1">IFERROR(BDP(MO.Ticker.Bloomberg&amp;" Equity","INTERVAL_AVG","MARKET_DATA_OVERRIDE=PX_LAST","START_DATE_OVERRIDE",TEXT(INDEX(MO_SNA_FPStartDate,0,COLUMN()),"YYYYMMDD"),"END_DATE_OVERRIDE",TEXT(INDEX(MO_Common_QEndDate,0,COLUMN()),"YYYYMMDD")),"N/A")</f>
        <v>N/A</v>
      </c>
      <c r="BO908" s="464" t="str">
        <f t="array" aca="1" ref="BO908" ca="1">IFERROR(BDP(MO.Ticker.Bloomberg&amp;" Equity","INTERVAL_AVG","MARKET_DATA_OVERRIDE=PX_LAST","START_DATE_OVERRIDE",TEXT(INDEX(MO_SNA_FPStartDate,0,COLUMN()),"YYYYMMDD"),"END_DATE_OVERRIDE",TEXT(INDEX(MO_Common_QEndDate,0,COLUMN()),"YYYYMMDD")),"N/A")</f>
        <v>N/A</v>
      </c>
      <c r="BP908" s="464" t="str">
        <f t="array" aca="1" ref="BP908" ca="1">IFERROR(BDP(MO.Ticker.Bloomberg&amp;" Equity","INTERVAL_AVG","MARKET_DATA_OVERRIDE=PX_LAST","START_DATE_OVERRIDE",TEXT(INDEX(MO_SNA_FPStartDate,0,COLUMN()),"YYYYMMDD"),"END_DATE_OVERRIDE",TEXT(INDEX(MO_Common_QEndDate,0,COLUMN()),"YYYYMMDD")),"N/A")</f>
        <v>N/A</v>
      </c>
      <c r="BQ908" s="464" t="str">
        <f t="array" aca="1" ref="BQ908" ca="1">IFERROR(BDP(MO.Ticker.Bloomberg&amp;" Equity","INTERVAL_AVG","MARKET_DATA_OVERRIDE=PX_LAST","START_DATE_OVERRIDE",TEXT(INDEX(MO_SNA_FPStartDate,0,COLUMN()),"YYYYMMDD"),"END_DATE_OVERRIDE",TEXT(INDEX(MO_Common_QEndDate,0,COLUMN()),"YYYYMMDD")),"N/A")</f>
        <v>N/A</v>
      </c>
      <c r="BR908" s="464" t="str">
        <f t="array" aca="1" ref="BR908" ca="1">IFERROR(BDP(MO.Ticker.Bloomberg&amp;" Equity","INTERVAL_AVG","MARKET_DATA_OVERRIDE=PX_LAST","START_DATE_OVERRIDE",TEXT(INDEX(MO_SNA_FPStartDate,0,COLUMN()),"YYYYMMDD"),"END_DATE_OVERRIDE",TEXT(INDEX(MO_Common_QEndDate,0,COLUMN()),"YYYYMMDD")),"N/A")</f>
        <v>N/A</v>
      </c>
      <c r="BS908" s="464" t="str">
        <f t="array" aca="1" ref="BS908" ca="1">IFERROR(BDP(MO.Ticker.Bloomberg&amp;" Equity","INTERVAL_AVG","MARKET_DATA_OVERRIDE=PX_LAST","START_DATE_OVERRIDE",TEXT(INDEX(MO_SNA_FPStartDate,0,COLUMN()),"YYYYMMDD"),"END_DATE_OVERRIDE",TEXT(INDEX(MO_Common_QEndDate,0,COLUMN()),"YYYYMMDD")),"N/A")</f>
        <v>N/A</v>
      </c>
      <c r="BT908" s="464" t="str">
        <f t="array" aca="1" ref="BT908" ca="1">IFERROR(BDP(MO.Ticker.Bloomberg&amp;" Equity","INTERVAL_AVG","MARKET_DATA_OVERRIDE=PX_LAST","START_DATE_OVERRIDE",TEXT(INDEX(MO_SNA_FPStartDate,0,COLUMN()),"YYYYMMDD"),"END_DATE_OVERRIDE",TEXT(INDEX(MO_Common_QEndDate,0,COLUMN()),"YYYYMMDD")),"N/A")</f>
        <v>N/A</v>
      </c>
      <c r="BU908" s="464" t="str">
        <f t="array" aca="1" ref="BU908" ca="1">IFERROR(BDP(MO.Ticker.Bloomberg&amp;" Equity","INTERVAL_AVG","MARKET_DATA_OVERRIDE=PX_LAST","START_DATE_OVERRIDE",TEXT(INDEX(MO_SNA_FPStartDate,0,COLUMN()),"YYYYMMDD"),"END_DATE_OVERRIDE",TEXT(INDEX(MO_Common_QEndDate,0,COLUMN()),"YYYYMMDD")),"N/A")</f>
        <v>N/A</v>
      </c>
      <c r="BV908" s="565" t="str">
        <f t="array" aca="1" ref="BV908" ca="1">IFERROR(BDP(MO.Ticker.Bloomberg&amp;" Equity","INTERVAL_AVG","MARKET_DATA_OVERRIDE=PX_LAST","START_DATE_OVERRIDE",TEXT(INDEX(MO_SNA_FPStartDate,0,COLUMN()),"YYYYMMDD"),"END_DATE_OVERRIDE",TEXT(INDEX(MO_Common_QEndDate,0,COLUMN()),"YYYYMMDD")),"N/A")</f>
        <v>N/A</v>
      </c>
      <c r="BW908" s="566"/>
    </row>
    <row r="909" spans="1:75" ht="15.75" hidden="1" customHeight="1" outlineLevel="1" x14ac:dyDescent="0.2">
      <c r="A909" s="563" t="s">
        <v>936</v>
      </c>
      <c r="B909" s="464"/>
      <c r="C909" s="464" t="str">
        <f t="array" aca="1" ref="C909" ca="1">IFERROR(_xll.ciqfunctions.udf.CIQAVG(MO.Ticker.CapIQ,"IQ_LASTSALEPRICE",INDEX(MO_SNA_FPStartDate,0,COLUMN()),INDEX(MO_Common_QEndDate,0,COLUMN())),"N/A")</f>
        <v>N/A</v>
      </c>
      <c r="D909" s="464" t="str">
        <f t="array" aca="1" ref="D909" ca="1">IFERROR(_xll.ciqfunctions.udf.CIQAVG(MO.Ticker.CapIQ,"IQ_LASTSALEPRICE",INDEX(MO_SNA_FPStartDate,0,COLUMN()),INDEX(MO_Common_QEndDate,0,COLUMN())),"N/A")</f>
        <v>N/A</v>
      </c>
      <c r="E909" s="464" t="str">
        <f t="array" aca="1" ref="E909" ca="1">IFERROR(_xll.ciqfunctions.udf.CIQAVG(MO.Ticker.CapIQ,"IQ_LASTSALEPRICE",INDEX(MO_SNA_FPStartDate,0,COLUMN()),INDEX(MO_Common_QEndDate,0,COLUMN())),"N/A")</f>
        <v>N/A</v>
      </c>
      <c r="F909" s="464" t="str">
        <f t="array" aca="1" ref="F909" ca="1">IFERROR(_xll.ciqfunctions.udf.CIQAVG(MO.Ticker.CapIQ,"IQ_LASTSALEPRICE",INDEX(MO_SNA_FPStartDate,0,COLUMN()),INDEX(MO_Common_QEndDate,0,COLUMN())),"N/A")</f>
        <v>N/A</v>
      </c>
      <c r="G909" s="464" t="str">
        <f t="array" aca="1" ref="G909" ca="1">IFERROR(_xll.ciqfunctions.udf.CIQAVG(MO.Ticker.CapIQ,"IQ_LASTSALEPRICE",INDEX(MO_SNA_FPStartDate,0,COLUMN()),INDEX(MO_Common_QEndDate,0,COLUMN())),"N/A")</f>
        <v>N/A</v>
      </c>
      <c r="H909" s="464" t="str">
        <f t="array" aca="1" ref="H909" ca="1">IFERROR(_xll.ciqfunctions.udf.CIQAVG(MO.Ticker.CapIQ,"IQ_LASTSALEPRICE",INDEX(MO_SNA_FPStartDate,0,COLUMN()),INDEX(MO_Common_QEndDate,0,COLUMN())),"N/A")</f>
        <v>N/A</v>
      </c>
      <c r="I909" s="464" t="str">
        <f t="array" aca="1" ref="I909" ca="1">IFERROR(_xll.ciqfunctions.udf.CIQAVG(MO.Ticker.CapIQ,"IQ_LASTSALEPRICE",INDEX(MO_SNA_FPStartDate,0,COLUMN()),INDEX(MO_Common_QEndDate,0,COLUMN())),"N/A")</f>
        <v>N/A</v>
      </c>
      <c r="J909" s="464" t="str">
        <f t="array" aca="1" ref="J909" ca="1">IFERROR(_xll.ciqfunctions.udf.CIQAVG(MO.Ticker.CapIQ,"IQ_LASTSALEPRICE",INDEX(MO_SNA_FPStartDate,0,COLUMN()),INDEX(MO_Common_QEndDate,0,COLUMN())),"N/A")</f>
        <v>N/A</v>
      </c>
      <c r="K909" s="464" t="str">
        <f t="array" aca="1" ref="K909" ca="1">IFERROR(_xll.ciqfunctions.udf.CIQAVG(MO.Ticker.CapIQ,"IQ_LASTSALEPRICE",INDEX(MO_SNA_FPStartDate,0,COLUMN()),INDEX(MO_Common_QEndDate,0,COLUMN())),"N/A")</f>
        <v>N/A</v>
      </c>
      <c r="L909" s="464" t="str">
        <f t="array" aca="1" ref="L909" ca="1">IFERROR(_xll.ciqfunctions.udf.CIQAVG(MO.Ticker.CapIQ,"IQ_LASTSALEPRICE",INDEX(MO_SNA_FPStartDate,0,COLUMN()),INDEX(MO_Common_QEndDate,0,COLUMN())),"N/A")</f>
        <v>N/A</v>
      </c>
      <c r="M909" s="464" t="str">
        <f t="array" aca="1" ref="M909" ca="1">IFERROR(_xll.ciqfunctions.udf.CIQAVG(MO.Ticker.CapIQ,"IQ_LASTSALEPRICE",INDEX(MO_SNA_FPStartDate,0,COLUMN()),INDEX(MO_Common_QEndDate,0,COLUMN())),"N/A")</f>
        <v>N/A</v>
      </c>
      <c r="N909" s="464" t="str">
        <f t="array" aca="1" ref="N909" ca="1">IFERROR(_xll.ciqfunctions.udf.CIQAVG(MO.Ticker.CapIQ,"IQ_LASTSALEPRICE",INDEX(MO_SNA_FPStartDate,0,COLUMN()),INDEX(MO_Common_QEndDate,0,COLUMN())),"N/A")</f>
        <v>N/A</v>
      </c>
      <c r="O909" s="464" t="str">
        <f t="array" aca="1" ref="O909" ca="1">IFERROR(_xll.ciqfunctions.udf.CIQAVG(MO.Ticker.CapIQ,"IQ_LASTSALEPRICE",INDEX(MO_SNA_FPStartDate,0,COLUMN()),INDEX(MO_Common_QEndDate,0,COLUMN())),"N/A")</f>
        <v>N/A</v>
      </c>
      <c r="P909" s="464" t="str">
        <f t="array" aca="1" ref="P909" ca="1">IFERROR(_xll.ciqfunctions.udf.CIQAVG(MO.Ticker.CapIQ,"IQ_LASTSALEPRICE",INDEX(MO_SNA_FPStartDate,0,COLUMN()),INDEX(MO_Common_QEndDate,0,COLUMN())),"N/A")</f>
        <v>N/A</v>
      </c>
      <c r="Q909" s="464" t="str">
        <f t="array" aca="1" ref="Q909" ca="1">IFERROR(_xll.ciqfunctions.udf.CIQAVG(MO.Ticker.CapIQ,"IQ_LASTSALEPRICE",INDEX(MO_SNA_FPStartDate,0,COLUMN()),INDEX(MO_Common_QEndDate,0,COLUMN())),"N/A")</f>
        <v>N/A</v>
      </c>
      <c r="R909" s="464" t="str">
        <f t="array" aca="1" ref="R909" ca="1">IFERROR(_xll.ciqfunctions.udf.CIQAVG(MO.Ticker.CapIQ,"IQ_LASTSALEPRICE",INDEX(MO_SNA_FPStartDate,0,COLUMN()),INDEX(MO_Common_QEndDate,0,COLUMN())),"N/A")</f>
        <v>N/A</v>
      </c>
      <c r="S909" s="464" t="str">
        <f t="array" aca="1" ref="S909" ca="1">IFERROR(_xll.ciqfunctions.udf.CIQAVG(MO.Ticker.CapIQ,"IQ_LASTSALEPRICE",INDEX(MO_SNA_FPStartDate,0,COLUMN()),INDEX(MO_Common_QEndDate,0,COLUMN())),"N/A")</f>
        <v>N/A</v>
      </c>
      <c r="T909" s="464" t="str">
        <f t="array" aca="1" ref="T909" ca="1">IFERROR(_xll.ciqfunctions.udf.CIQAVG(MO.Ticker.CapIQ,"IQ_LASTSALEPRICE",INDEX(MO_SNA_FPStartDate,0,COLUMN()),INDEX(MO_Common_QEndDate,0,COLUMN())),"N/A")</f>
        <v>N/A</v>
      </c>
      <c r="U909" s="464" t="str">
        <f t="array" aca="1" ref="U909" ca="1">IFERROR(_xll.ciqfunctions.udf.CIQAVG(MO.Ticker.CapIQ,"IQ_LASTSALEPRICE",INDEX(MO_SNA_FPStartDate,0,COLUMN()),INDEX(MO_Common_QEndDate,0,COLUMN())),"N/A")</f>
        <v>N/A</v>
      </c>
      <c r="V909" s="464" t="str">
        <f t="array" aca="1" ref="V909" ca="1">IFERROR(_xll.ciqfunctions.udf.CIQAVG(MO.Ticker.CapIQ,"IQ_LASTSALEPRICE",INDEX(MO_SNA_FPStartDate,0,COLUMN()),INDEX(MO_Common_QEndDate,0,COLUMN())),"N/A")</f>
        <v>N/A</v>
      </c>
      <c r="W909" s="464" t="str">
        <f t="array" aca="1" ref="W909" ca="1">IFERROR(_xll.ciqfunctions.udf.CIQAVG(MO.Ticker.CapIQ,"IQ_LASTSALEPRICE",INDEX(MO_SNA_FPStartDate,0,COLUMN()),INDEX(MO_Common_QEndDate,0,COLUMN())),"N/A")</f>
        <v>N/A</v>
      </c>
      <c r="X909" s="464" t="str">
        <f t="array" aca="1" ref="X909" ca="1">IFERROR(_xll.ciqfunctions.udf.CIQAVG(MO.Ticker.CapIQ,"IQ_LASTSALEPRICE",INDEX(MO_SNA_FPStartDate,0,COLUMN()),INDEX(MO_Common_QEndDate,0,COLUMN())),"N/A")</f>
        <v>N/A</v>
      </c>
      <c r="Y909" s="464" t="str">
        <f t="array" aca="1" ref="Y909" ca="1">IFERROR(_xll.ciqfunctions.udf.CIQAVG(MO.Ticker.CapIQ,"IQ_LASTSALEPRICE",INDEX(MO_SNA_FPStartDate,0,COLUMN()),INDEX(MO_Common_QEndDate,0,COLUMN())),"N/A")</f>
        <v>N/A</v>
      </c>
      <c r="Z909" s="464" t="str">
        <f t="array" aca="1" ref="Z909" ca="1">IFERROR(_xll.ciqfunctions.udf.CIQAVG(MO.Ticker.CapIQ,"IQ_LASTSALEPRICE",INDEX(MO_SNA_FPStartDate,0,COLUMN()),INDEX(MO_Common_QEndDate,0,COLUMN())),"N/A")</f>
        <v>N/A</v>
      </c>
      <c r="AA909" s="464" t="str">
        <f t="array" aca="1" ref="AA909" ca="1">IFERROR(_xll.ciqfunctions.udf.CIQAVG(MO.Ticker.CapIQ,"IQ_LASTSALEPRICE",INDEX(MO_SNA_FPStartDate,0,COLUMN()),INDEX(MO_Common_QEndDate,0,COLUMN())),"N/A")</f>
        <v>N/A</v>
      </c>
      <c r="AB909" s="464" t="str">
        <f t="array" aca="1" ref="AB909" ca="1">IFERROR(_xll.ciqfunctions.udf.CIQAVG(MO.Ticker.CapIQ,"IQ_LASTSALEPRICE",INDEX(MO_SNA_FPStartDate,0,COLUMN()),INDEX(MO_Common_QEndDate,0,COLUMN())),"N/A")</f>
        <v>N/A</v>
      </c>
      <c r="AC909" s="464" t="str">
        <f t="array" aca="1" ref="AC909" ca="1">IFERROR(_xll.ciqfunctions.udf.CIQAVG(MO.Ticker.CapIQ,"IQ_LASTSALEPRICE",INDEX(MO_SNA_FPStartDate,0,COLUMN()),INDEX(MO_Common_QEndDate,0,COLUMN())),"N/A")</f>
        <v>N/A</v>
      </c>
      <c r="AD909" s="464" t="str">
        <f t="array" aca="1" ref="AD909" ca="1">IFERROR(_xll.ciqfunctions.udf.CIQAVG(MO.Ticker.CapIQ,"IQ_LASTSALEPRICE",INDEX(MO_SNA_FPStartDate,0,COLUMN()),INDEX(MO_Common_QEndDate,0,COLUMN())),"N/A")</f>
        <v>N/A</v>
      </c>
      <c r="AE909" s="464" t="str">
        <f t="array" aca="1" ref="AE909" ca="1">IFERROR(_xll.ciqfunctions.udf.CIQAVG(MO.Ticker.CapIQ,"IQ_LASTSALEPRICE",INDEX(MO_SNA_FPStartDate,0,COLUMN()),INDEX(MO_Common_QEndDate,0,COLUMN())),"N/A")</f>
        <v>N/A</v>
      </c>
      <c r="AF909" s="464" t="str">
        <f t="array" aca="1" ref="AF909" ca="1">IFERROR(_xll.ciqfunctions.udf.CIQAVG(MO.Ticker.CapIQ,"IQ_LASTSALEPRICE",INDEX(MO_SNA_FPStartDate,0,COLUMN()),INDEX(MO_Common_QEndDate,0,COLUMN())),"N/A")</f>
        <v>N/A</v>
      </c>
      <c r="AG909" s="464" t="str">
        <f t="array" aca="1" ref="AG909" ca="1">IFERROR(_xll.ciqfunctions.udf.CIQAVG(MO.Ticker.CapIQ,"IQ_LASTSALEPRICE",INDEX(MO_SNA_FPStartDate,0,COLUMN()),INDEX(MO_Common_QEndDate,0,COLUMN())),"N/A")</f>
        <v>N/A</v>
      </c>
      <c r="AH909" s="464" t="str">
        <f t="array" aca="1" ref="AH909" ca="1">IFERROR(_xll.ciqfunctions.udf.CIQAVG(MO.Ticker.CapIQ,"IQ_LASTSALEPRICE",INDEX(MO_SNA_FPStartDate,0,COLUMN()),INDEX(MO_Common_QEndDate,0,COLUMN())),"N/A")</f>
        <v>N/A</v>
      </c>
      <c r="AI909" s="464" t="str">
        <f t="array" aca="1" ref="AI909" ca="1">IFERROR(_xll.ciqfunctions.udf.CIQAVG(MO.Ticker.CapIQ,"IQ_LASTSALEPRICE",INDEX(MO_SNA_FPStartDate,0,COLUMN()),INDEX(MO_Common_QEndDate,0,COLUMN())),"N/A")</f>
        <v>N/A</v>
      </c>
      <c r="AJ909" s="464" t="str">
        <f t="array" aca="1" ref="AJ909" ca="1">IFERROR(_xll.ciqfunctions.udf.CIQAVG(MO.Ticker.CapIQ,"IQ_LASTSALEPRICE",INDEX(MO_SNA_FPStartDate,0,COLUMN()),INDEX(MO_Common_QEndDate,0,COLUMN())),"N/A")</f>
        <v>N/A</v>
      </c>
      <c r="AK909" s="464" t="str">
        <f t="array" aca="1" ref="AK909" ca="1">IFERROR(_xll.ciqfunctions.udf.CIQAVG(MO.Ticker.CapIQ,"IQ_LASTSALEPRICE",INDEX(MO_SNA_FPStartDate,0,COLUMN()),INDEX(MO_Common_QEndDate,0,COLUMN())),"N/A")</f>
        <v>N/A</v>
      </c>
      <c r="AL909" s="464" t="str">
        <f t="array" aca="1" ref="AL909" ca="1">IFERROR(_xll.ciqfunctions.udf.CIQAVG(MO.Ticker.CapIQ,"IQ_LASTSALEPRICE",INDEX(MO_SNA_FPStartDate,0,COLUMN()),INDEX(MO_Common_QEndDate,0,COLUMN())),"N/A")</f>
        <v>N/A</v>
      </c>
      <c r="AM909" s="464" t="str">
        <f t="array" aca="1" ref="AM909" ca="1">IFERROR(_xll.ciqfunctions.udf.CIQAVG(MO.Ticker.CapIQ,"IQ_LASTSALEPRICE",INDEX(MO_SNA_FPStartDate,0,COLUMN()),INDEX(MO_Common_QEndDate,0,COLUMN())),"N/A")</f>
        <v>N/A</v>
      </c>
      <c r="AN909" s="464" t="str">
        <f t="array" aca="1" ref="AN909" ca="1">IFERROR(_xll.ciqfunctions.udf.CIQAVG(MO.Ticker.CapIQ,"IQ_LASTSALEPRICE",INDEX(MO_SNA_FPStartDate,0,COLUMN()),INDEX(MO_Common_QEndDate,0,COLUMN())),"N/A")</f>
        <v>N/A</v>
      </c>
      <c r="AO909" s="464" t="str">
        <f t="array" aca="1" ref="AO909" ca="1">IFERROR(_xll.ciqfunctions.udf.CIQAVG(MO.Ticker.CapIQ,"IQ_LASTSALEPRICE",INDEX(MO_SNA_FPStartDate,0,COLUMN()),INDEX(MO_Common_QEndDate,0,COLUMN())),"N/A")</f>
        <v>N/A</v>
      </c>
      <c r="AP909" s="464" t="str">
        <f t="array" aca="1" ref="AP909" ca="1">IFERROR(_xll.ciqfunctions.udf.CIQAVG(MO.Ticker.CapIQ,"IQ_LASTSALEPRICE",INDEX(MO_SNA_FPStartDate,0,COLUMN()),INDEX(MO_Common_QEndDate,0,COLUMN())),"N/A")</f>
        <v>N/A</v>
      </c>
      <c r="AQ909" s="464" t="str">
        <f t="array" aca="1" ref="AQ909" ca="1">IFERROR(_xll.ciqfunctions.udf.CIQAVG(MO.Ticker.CapIQ,"IQ_LASTSALEPRICE",INDEX(MO_SNA_FPStartDate,0,COLUMN()),INDEX(MO_Common_QEndDate,0,COLUMN())),"N/A")</f>
        <v>N/A</v>
      </c>
      <c r="AR909" s="464" t="str">
        <f t="array" aca="1" ref="AR909" ca="1">IFERROR(_xll.ciqfunctions.udf.CIQAVG(MO.Ticker.CapIQ,"IQ_LASTSALEPRICE",INDEX(MO_SNA_FPStartDate,0,COLUMN()),INDEX(MO_Common_QEndDate,0,COLUMN())),"N/A")</f>
        <v>N/A</v>
      </c>
      <c r="AS909" s="464" t="str">
        <f t="array" aca="1" ref="AS909" ca="1">IFERROR(_xll.ciqfunctions.udf.CIQAVG(MO.Ticker.CapIQ,"IQ_LASTSALEPRICE",INDEX(MO_SNA_FPStartDate,0,COLUMN()),INDEX(MO_Common_QEndDate,0,COLUMN())),"N/A")</f>
        <v>N/A</v>
      </c>
      <c r="AT909" s="464" t="str">
        <f t="array" aca="1" ref="AT909" ca="1">IFERROR(_xll.ciqfunctions.udf.CIQAVG(MO.Ticker.CapIQ,"IQ_LASTSALEPRICE",INDEX(MO_SNA_FPStartDate,0,COLUMN()),INDEX(MO_Common_QEndDate,0,COLUMN())),"N/A")</f>
        <v>N/A</v>
      </c>
      <c r="AU909" s="464" t="str">
        <f t="array" aca="1" ref="AU909" ca="1">IFERROR(_xll.ciqfunctions.udf.CIQAVG(MO.Ticker.CapIQ,"IQ_LASTSALEPRICE",INDEX(MO_SNA_FPStartDate,0,COLUMN()),INDEX(MO_Common_QEndDate,0,COLUMN())),"N/A")</f>
        <v>N/A</v>
      </c>
      <c r="AV909" s="464" t="str">
        <f t="array" aca="1" ref="AV909" ca="1">IFERROR(_xll.ciqfunctions.udf.CIQAVG(MO.Ticker.CapIQ,"IQ_LASTSALEPRICE",INDEX(MO_SNA_FPStartDate,0,COLUMN()),INDEX(MO_Common_QEndDate,0,COLUMN())),"N/A")</f>
        <v>N/A</v>
      </c>
      <c r="AW909" s="464" t="str">
        <f t="array" aca="1" ref="AW909" ca="1">IFERROR(_xll.ciqfunctions.udf.CIQAVG(MO.Ticker.CapIQ,"IQ_LASTSALEPRICE",INDEX(MO_SNA_FPStartDate,0,COLUMN()),INDEX(MO_Common_QEndDate,0,COLUMN())),"N/A")</f>
        <v>N/A</v>
      </c>
      <c r="AX909" s="464" t="str">
        <f t="array" aca="1" ref="AX909" ca="1">IFERROR(_xll.ciqfunctions.udf.CIQAVG(MO.Ticker.CapIQ,"IQ_LASTSALEPRICE",INDEX(MO_SNA_FPStartDate,0,COLUMN()),INDEX(MO_Common_QEndDate,0,COLUMN())),"N/A")</f>
        <v>N/A</v>
      </c>
      <c r="AY909" s="464" t="str">
        <f t="array" aca="1" ref="AY909" ca="1">IFERROR(_xll.ciqfunctions.udf.CIQAVG(MO.Ticker.CapIQ,"IQ_LASTSALEPRICE",INDEX(MO_SNA_FPStartDate,0,COLUMN()),INDEX(MO_Common_QEndDate,0,COLUMN())),"N/A")</f>
        <v>N/A</v>
      </c>
      <c r="AZ909" s="464" t="str">
        <f t="array" aca="1" ref="AZ909" ca="1">IFERROR(_xll.ciqfunctions.udf.CIQAVG(MO.Ticker.CapIQ,"IQ_LASTSALEPRICE",INDEX(MO_SNA_FPStartDate,0,COLUMN()),INDEX(MO_Common_QEndDate,0,COLUMN())),"N/A")</f>
        <v>N/A</v>
      </c>
      <c r="BA909" s="464" t="str">
        <f t="array" aca="1" ref="BA909" ca="1">IFERROR(_xll.ciqfunctions.udf.CIQAVG(MO.Ticker.CapIQ,"IQ_LASTSALEPRICE",INDEX(MO_SNA_FPStartDate,0,COLUMN()),INDEX(MO_Common_QEndDate,0,COLUMN())),"N/A")</f>
        <v>N/A</v>
      </c>
      <c r="BB909" s="464" t="str">
        <f t="array" aca="1" ref="BB909" ca="1">IFERROR(_xll.ciqfunctions.udf.CIQAVG(MO.Ticker.CapIQ,"IQ_LASTSALEPRICE",INDEX(MO_SNA_FPStartDate,0,COLUMN()),INDEX(MO_Common_QEndDate,0,COLUMN())),"N/A")</f>
        <v>N/A</v>
      </c>
      <c r="BC909" s="464" t="str">
        <f t="array" aca="1" ref="BC909" ca="1">IFERROR(_xll.ciqfunctions.udf.CIQAVG(MO.Ticker.CapIQ,"IQ_LASTSALEPRICE",INDEX(MO_SNA_FPStartDate,0,COLUMN()),INDEX(MO_Common_QEndDate,0,COLUMN())),"N/A")</f>
        <v>N/A</v>
      </c>
      <c r="BD909" s="464" t="str">
        <f t="array" aca="1" ref="BD909" ca="1">IFERROR(_xll.ciqfunctions.udf.CIQAVG(MO.Ticker.CapIQ,"IQ_LASTSALEPRICE",INDEX(MO_SNA_FPStartDate,0,COLUMN()),INDEX(MO_Common_QEndDate,0,COLUMN())),"N/A")</f>
        <v>N/A</v>
      </c>
      <c r="BE909" s="464" t="str">
        <f t="array" aca="1" ref="BE909" ca="1">IFERROR(_xll.ciqfunctions.udf.CIQAVG(MO.Ticker.CapIQ,"IQ_LASTSALEPRICE",INDEX(MO_SNA_FPStartDate,0,COLUMN()),INDEX(MO_Common_QEndDate,0,COLUMN())),"N/A")</f>
        <v>N/A</v>
      </c>
      <c r="BF909" s="464" t="str">
        <f t="array" aca="1" ref="BF909" ca="1">IFERROR(_xll.ciqfunctions.udf.CIQAVG(MO.Ticker.CapIQ,"IQ_LASTSALEPRICE",INDEX(MO_SNA_FPStartDate,0,COLUMN()),INDEX(MO_Common_QEndDate,0,COLUMN())),"N/A")</f>
        <v>N/A</v>
      </c>
      <c r="BG909" s="464" t="str">
        <f t="array" aca="1" ref="BG909" ca="1">IFERROR(_xll.ciqfunctions.udf.CIQAVG(MO.Ticker.CapIQ,"IQ_LASTSALEPRICE",INDEX(MO_SNA_FPStartDate,0,COLUMN()),INDEX(MO_Common_QEndDate,0,COLUMN())),"N/A")</f>
        <v>N/A</v>
      </c>
      <c r="BH909" s="464" t="str">
        <f t="array" aca="1" ref="BH909" ca="1">IFERROR(_xll.ciqfunctions.udf.CIQAVG(MO.Ticker.CapIQ,"IQ_LASTSALEPRICE",INDEX(MO_SNA_FPStartDate,0,COLUMN()),INDEX(MO_Common_QEndDate,0,COLUMN())),"N/A")</f>
        <v>N/A</v>
      </c>
      <c r="BI909" s="564" t="str">
        <f t="array" aca="1" ref="BI909" ca="1">IFERROR(_xll.ciqfunctions.udf.CIQAVG(MO.Ticker.CapIQ,"IQ_LASTSALEPRICE",INDEX(MO_SNA_FPStartDate,0,COLUMN()),INDEX(MO_Common_QEndDate,0,COLUMN())),"N/A")</f>
        <v>N/A</v>
      </c>
      <c r="BJ909" s="464" t="str">
        <f t="array" aca="1" ref="BJ909" ca="1">IFERROR(_xll.ciqfunctions.udf.CIQAVG(MO.Ticker.CapIQ,"IQ_LASTSALEPRICE",INDEX(MO_SNA_FPStartDate,0,COLUMN()),INDEX(MO_Common_QEndDate,0,COLUMN())),"N/A")</f>
        <v>N/A</v>
      </c>
      <c r="BK909" s="464" t="str">
        <f t="array" aca="1" ref="BK909" ca="1">IFERROR(_xll.ciqfunctions.udf.CIQAVG(MO.Ticker.CapIQ,"IQ_LASTSALEPRICE",INDEX(MO_SNA_FPStartDate,0,COLUMN()),INDEX(MO_Common_QEndDate,0,COLUMN())),"N/A")</f>
        <v>N/A</v>
      </c>
      <c r="BL909" s="464" t="str">
        <f t="array" aca="1" ref="BL909" ca="1">IFERROR(_xll.ciqfunctions.udf.CIQAVG(MO.Ticker.CapIQ,"IQ_LASTSALEPRICE",INDEX(MO_SNA_FPStartDate,0,COLUMN()),INDEX(MO_Common_QEndDate,0,COLUMN())),"N/A")</f>
        <v>N/A</v>
      </c>
      <c r="BM909" s="464" t="str">
        <f t="array" aca="1" ref="BM909" ca="1">IFERROR(_xll.ciqfunctions.udf.CIQAVG(MO.Ticker.CapIQ,"IQ_LASTSALEPRICE",INDEX(MO_SNA_FPStartDate,0,COLUMN()),INDEX(MO_Common_QEndDate,0,COLUMN())),"N/A")</f>
        <v>N/A</v>
      </c>
      <c r="BN909" s="464" t="str">
        <f t="array" aca="1" ref="BN909" ca="1">IFERROR(_xll.ciqfunctions.udf.CIQAVG(MO.Ticker.CapIQ,"IQ_LASTSALEPRICE",INDEX(MO_SNA_FPStartDate,0,COLUMN()),INDEX(MO_Common_QEndDate,0,COLUMN())),"N/A")</f>
        <v>N/A</v>
      </c>
      <c r="BO909" s="464" t="str">
        <f t="array" aca="1" ref="BO909" ca="1">IFERROR(_xll.ciqfunctions.udf.CIQAVG(MO.Ticker.CapIQ,"IQ_LASTSALEPRICE",INDEX(MO_SNA_FPStartDate,0,COLUMN()),INDEX(MO_Common_QEndDate,0,COLUMN())),"N/A")</f>
        <v>N/A</v>
      </c>
      <c r="BP909" s="464" t="str">
        <f t="array" aca="1" ref="BP909" ca="1">IFERROR(_xll.ciqfunctions.udf.CIQAVG(MO.Ticker.CapIQ,"IQ_LASTSALEPRICE",INDEX(MO_SNA_FPStartDate,0,COLUMN()),INDEX(MO_Common_QEndDate,0,COLUMN())),"N/A")</f>
        <v>N/A</v>
      </c>
      <c r="BQ909" s="464" t="str">
        <f t="array" aca="1" ref="BQ909" ca="1">IFERROR(_xll.ciqfunctions.udf.CIQAVG(MO.Ticker.CapIQ,"IQ_LASTSALEPRICE",INDEX(MO_SNA_FPStartDate,0,COLUMN()),INDEX(MO_Common_QEndDate,0,COLUMN())),"N/A")</f>
        <v>N/A</v>
      </c>
      <c r="BR909" s="464" t="str">
        <f t="array" aca="1" ref="BR909" ca="1">IFERROR(_xll.ciqfunctions.udf.CIQAVG(MO.Ticker.CapIQ,"IQ_LASTSALEPRICE",INDEX(MO_SNA_FPStartDate,0,COLUMN()),INDEX(MO_Common_QEndDate,0,COLUMN())),"N/A")</f>
        <v>N/A</v>
      </c>
      <c r="BS909" s="464" t="str">
        <f t="array" aca="1" ref="BS909" ca="1">IFERROR(_xll.ciqfunctions.udf.CIQAVG(MO.Ticker.CapIQ,"IQ_LASTSALEPRICE",INDEX(MO_SNA_FPStartDate,0,COLUMN()),INDEX(MO_Common_QEndDate,0,COLUMN())),"N/A")</f>
        <v>N/A</v>
      </c>
      <c r="BT909" s="464" t="str">
        <f t="array" aca="1" ref="BT909" ca="1">IFERROR(_xll.ciqfunctions.udf.CIQAVG(MO.Ticker.CapIQ,"IQ_LASTSALEPRICE",INDEX(MO_SNA_FPStartDate,0,COLUMN()),INDEX(MO_Common_QEndDate,0,COLUMN())),"N/A")</f>
        <v>N/A</v>
      </c>
      <c r="BU909" s="464" t="str">
        <f t="array" aca="1" ref="BU909" ca="1">IFERROR(_xll.ciqfunctions.udf.CIQAVG(MO.Ticker.CapIQ,"IQ_LASTSALEPRICE",INDEX(MO_SNA_FPStartDate,0,COLUMN()),INDEX(MO_Common_QEndDate,0,COLUMN())),"N/A")</f>
        <v>N/A</v>
      </c>
      <c r="BV909" s="565" t="str">
        <f t="array" aca="1" ref="BV909" ca="1">IFERROR(_xll.ciqfunctions.udf.CIQAVG(MO.Ticker.CapIQ,"IQ_LASTSALEPRICE",INDEX(MO_SNA_FPStartDate,0,COLUMN()),INDEX(MO_Common_QEndDate,0,COLUMN())),"N/A")</f>
        <v>N/A</v>
      </c>
      <c r="BW909" s="566"/>
    </row>
    <row r="910" spans="1:75" ht="15.75" hidden="1" customHeight="1" outlineLevel="1" x14ac:dyDescent="0.2">
      <c r="A910" s="563" t="s">
        <v>937</v>
      </c>
      <c r="B910" s="464"/>
      <c r="C910" s="464" t="str">
        <f t="array" aca="1" ref="C910" ca="1">IFERROR(FDS(MO.Ticker.FactSet,"P_PRICE_AVG"&amp;"("&amp;INDEX(MO_SNA_FPStartDate,0,COLUMN())&amp;","&amp;INDEX(MO_Common_QEndDate,0,COLUMN())&amp;",,,,""PRICE"",""CLOSE"")"),"N/A")</f>
        <v>N/A</v>
      </c>
      <c r="D910" s="464" t="str">
        <f t="array" aca="1" ref="D910" ca="1">IFERROR(FDS(MO.Ticker.FactSet,"P_PRICE_AVG"&amp;"("&amp;INDEX(MO_SNA_FPStartDate,0,COLUMN())&amp;","&amp;INDEX(MO_Common_QEndDate,0,COLUMN())&amp;",,,,""PRICE"",""CLOSE"")"),"N/A")</f>
        <v>N/A</v>
      </c>
      <c r="E910" s="464" t="str">
        <f t="array" aca="1" ref="E910" ca="1">IFERROR(FDS(MO.Ticker.FactSet,"P_PRICE_AVG"&amp;"("&amp;INDEX(MO_SNA_FPStartDate,0,COLUMN())&amp;","&amp;INDEX(MO_Common_QEndDate,0,COLUMN())&amp;",,,,""PRICE"",""CLOSE"")"),"N/A")</f>
        <v>N/A</v>
      </c>
      <c r="F910" s="464" t="str">
        <f t="array" aca="1" ref="F910" ca="1">IFERROR(FDS(MO.Ticker.FactSet,"P_PRICE_AVG"&amp;"("&amp;INDEX(MO_SNA_FPStartDate,0,COLUMN())&amp;","&amp;INDEX(MO_Common_QEndDate,0,COLUMN())&amp;",,,,""PRICE"",""CLOSE"")"),"N/A")</f>
        <v>N/A</v>
      </c>
      <c r="G910" s="464" t="str">
        <f t="array" aca="1" ref="G910" ca="1">IFERROR(FDS(MO.Ticker.FactSet,"P_PRICE_AVG"&amp;"("&amp;INDEX(MO_SNA_FPStartDate,0,COLUMN())&amp;","&amp;INDEX(MO_Common_QEndDate,0,COLUMN())&amp;",,,,""PRICE"",""CLOSE"")"),"N/A")</f>
        <v>N/A</v>
      </c>
      <c r="H910" s="464" t="str">
        <f t="array" aca="1" ref="H910" ca="1">IFERROR(FDS(MO.Ticker.FactSet,"P_PRICE_AVG"&amp;"("&amp;INDEX(MO_SNA_FPStartDate,0,COLUMN())&amp;","&amp;INDEX(MO_Common_QEndDate,0,COLUMN())&amp;",,,,""PRICE"",""CLOSE"")"),"N/A")</f>
        <v>N/A</v>
      </c>
      <c r="I910" s="464" t="str">
        <f t="array" aca="1" ref="I910" ca="1">IFERROR(FDS(MO.Ticker.FactSet,"P_PRICE_AVG"&amp;"("&amp;INDEX(MO_SNA_FPStartDate,0,COLUMN())&amp;","&amp;INDEX(MO_Common_QEndDate,0,COLUMN())&amp;",,,,""PRICE"",""CLOSE"")"),"N/A")</f>
        <v>N/A</v>
      </c>
      <c r="J910" s="464" t="str">
        <f t="array" aca="1" ref="J910" ca="1">IFERROR(FDS(MO.Ticker.FactSet,"P_PRICE_AVG"&amp;"("&amp;INDEX(MO_SNA_FPStartDate,0,COLUMN())&amp;","&amp;INDEX(MO_Common_QEndDate,0,COLUMN())&amp;",,,,""PRICE"",""CLOSE"")"),"N/A")</f>
        <v>N/A</v>
      </c>
      <c r="K910" s="464" t="str">
        <f t="array" aca="1" ref="K910" ca="1">IFERROR(FDS(MO.Ticker.FactSet,"P_PRICE_AVG"&amp;"("&amp;INDEX(MO_SNA_FPStartDate,0,COLUMN())&amp;","&amp;INDEX(MO_Common_QEndDate,0,COLUMN())&amp;",,,,""PRICE"",""CLOSE"")"),"N/A")</f>
        <v>N/A</v>
      </c>
      <c r="L910" s="464" t="str">
        <f t="array" aca="1" ref="L910" ca="1">IFERROR(FDS(MO.Ticker.FactSet,"P_PRICE_AVG"&amp;"("&amp;INDEX(MO_SNA_FPStartDate,0,COLUMN())&amp;","&amp;INDEX(MO_Common_QEndDate,0,COLUMN())&amp;",,,,""PRICE"",""CLOSE"")"),"N/A")</f>
        <v>N/A</v>
      </c>
      <c r="M910" s="464" t="str">
        <f t="array" aca="1" ref="M910" ca="1">IFERROR(FDS(MO.Ticker.FactSet,"P_PRICE_AVG"&amp;"("&amp;INDEX(MO_SNA_FPStartDate,0,COLUMN())&amp;","&amp;INDEX(MO_Common_QEndDate,0,COLUMN())&amp;",,,,""PRICE"",""CLOSE"")"),"N/A")</f>
        <v>N/A</v>
      </c>
      <c r="N910" s="464" t="str">
        <f t="array" aca="1" ref="N910" ca="1">IFERROR(FDS(MO.Ticker.FactSet,"P_PRICE_AVG"&amp;"("&amp;INDEX(MO_SNA_FPStartDate,0,COLUMN())&amp;","&amp;INDEX(MO_Common_QEndDate,0,COLUMN())&amp;",,,,""PRICE"",""CLOSE"")"),"N/A")</f>
        <v>N/A</v>
      </c>
      <c r="O910" s="464" t="str">
        <f t="array" aca="1" ref="O910" ca="1">IFERROR(FDS(MO.Ticker.FactSet,"P_PRICE_AVG"&amp;"("&amp;INDEX(MO_SNA_FPStartDate,0,COLUMN())&amp;","&amp;INDEX(MO_Common_QEndDate,0,COLUMN())&amp;",,,,""PRICE"",""CLOSE"")"),"N/A")</f>
        <v>N/A</v>
      </c>
      <c r="P910" s="464" t="str">
        <f t="array" aca="1" ref="P910" ca="1">IFERROR(FDS(MO.Ticker.FactSet,"P_PRICE_AVG"&amp;"("&amp;INDEX(MO_SNA_FPStartDate,0,COLUMN())&amp;","&amp;INDEX(MO_Common_QEndDate,0,COLUMN())&amp;",,,,""PRICE"",""CLOSE"")"),"N/A")</f>
        <v>N/A</v>
      </c>
      <c r="Q910" s="464" t="str">
        <f t="array" aca="1" ref="Q910" ca="1">IFERROR(FDS(MO.Ticker.FactSet,"P_PRICE_AVG"&amp;"("&amp;INDEX(MO_SNA_FPStartDate,0,COLUMN())&amp;","&amp;INDEX(MO_Common_QEndDate,0,COLUMN())&amp;",,,,""PRICE"",""CLOSE"")"),"N/A")</f>
        <v>N/A</v>
      </c>
      <c r="R910" s="464" t="str">
        <f t="array" aca="1" ref="R910" ca="1">IFERROR(FDS(MO.Ticker.FactSet,"P_PRICE_AVG"&amp;"("&amp;INDEX(MO_SNA_FPStartDate,0,COLUMN())&amp;","&amp;INDEX(MO_Common_QEndDate,0,COLUMN())&amp;",,,,""PRICE"",""CLOSE"")"),"N/A")</f>
        <v>N/A</v>
      </c>
      <c r="S910" s="464" t="str">
        <f t="array" aca="1" ref="S910" ca="1">IFERROR(FDS(MO.Ticker.FactSet,"P_PRICE_AVG"&amp;"("&amp;INDEX(MO_SNA_FPStartDate,0,COLUMN())&amp;","&amp;INDEX(MO_Common_QEndDate,0,COLUMN())&amp;",,,,""PRICE"",""CLOSE"")"),"N/A")</f>
        <v>N/A</v>
      </c>
      <c r="T910" s="464" t="str">
        <f t="array" aca="1" ref="T910" ca="1">IFERROR(FDS(MO.Ticker.FactSet,"P_PRICE_AVG"&amp;"("&amp;INDEX(MO_SNA_FPStartDate,0,COLUMN())&amp;","&amp;INDEX(MO_Common_QEndDate,0,COLUMN())&amp;",,,,""PRICE"",""CLOSE"")"),"N/A")</f>
        <v>N/A</v>
      </c>
      <c r="U910" s="464" t="str">
        <f t="array" aca="1" ref="U910" ca="1">IFERROR(FDS(MO.Ticker.FactSet,"P_PRICE_AVG"&amp;"("&amp;INDEX(MO_SNA_FPStartDate,0,COLUMN())&amp;","&amp;INDEX(MO_Common_QEndDate,0,COLUMN())&amp;",,,,""PRICE"",""CLOSE"")"),"N/A")</f>
        <v>N/A</v>
      </c>
      <c r="V910" s="464" t="str">
        <f t="array" aca="1" ref="V910" ca="1">IFERROR(FDS(MO.Ticker.FactSet,"P_PRICE_AVG"&amp;"("&amp;INDEX(MO_SNA_FPStartDate,0,COLUMN())&amp;","&amp;INDEX(MO_Common_QEndDate,0,COLUMN())&amp;",,,,""PRICE"",""CLOSE"")"),"N/A")</f>
        <v>N/A</v>
      </c>
      <c r="W910" s="464" t="str">
        <f t="array" aca="1" ref="W910" ca="1">IFERROR(FDS(MO.Ticker.FactSet,"P_PRICE_AVG"&amp;"("&amp;INDEX(MO_SNA_FPStartDate,0,COLUMN())&amp;","&amp;INDEX(MO_Common_QEndDate,0,COLUMN())&amp;",,,,""PRICE"",""CLOSE"")"),"N/A")</f>
        <v>N/A</v>
      </c>
      <c r="X910" s="464" t="str">
        <f t="array" aca="1" ref="X910" ca="1">IFERROR(FDS(MO.Ticker.FactSet,"P_PRICE_AVG"&amp;"("&amp;INDEX(MO_SNA_FPStartDate,0,COLUMN())&amp;","&amp;INDEX(MO_Common_QEndDate,0,COLUMN())&amp;",,,,""PRICE"",""CLOSE"")"),"N/A")</f>
        <v>N/A</v>
      </c>
      <c r="Y910" s="464" t="str">
        <f t="array" aca="1" ref="Y910" ca="1">IFERROR(FDS(MO.Ticker.FactSet,"P_PRICE_AVG"&amp;"("&amp;INDEX(MO_SNA_FPStartDate,0,COLUMN())&amp;","&amp;INDEX(MO_Common_QEndDate,0,COLUMN())&amp;",,,,""PRICE"",""CLOSE"")"),"N/A")</f>
        <v>N/A</v>
      </c>
      <c r="Z910" s="464" t="str">
        <f t="array" aca="1" ref="Z910" ca="1">IFERROR(FDS(MO.Ticker.FactSet,"P_PRICE_AVG"&amp;"("&amp;INDEX(MO_SNA_FPStartDate,0,COLUMN())&amp;","&amp;INDEX(MO_Common_QEndDate,0,COLUMN())&amp;",,,,""PRICE"",""CLOSE"")"),"N/A")</f>
        <v>N/A</v>
      </c>
      <c r="AA910" s="464" t="str">
        <f t="array" aca="1" ref="AA910" ca="1">IFERROR(FDS(MO.Ticker.FactSet,"P_PRICE_AVG"&amp;"("&amp;INDEX(MO_SNA_FPStartDate,0,COLUMN())&amp;","&amp;INDEX(MO_Common_QEndDate,0,COLUMN())&amp;",,,,""PRICE"",""CLOSE"")"),"N/A")</f>
        <v>N/A</v>
      </c>
      <c r="AB910" s="464" t="str">
        <f t="array" aca="1" ref="AB910" ca="1">IFERROR(FDS(MO.Ticker.FactSet,"P_PRICE_AVG"&amp;"("&amp;INDEX(MO_SNA_FPStartDate,0,COLUMN())&amp;","&amp;INDEX(MO_Common_QEndDate,0,COLUMN())&amp;",,,,""PRICE"",""CLOSE"")"),"N/A")</f>
        <v>N/A</v>
      </c>
      <c r="AC910" s="464" t="str">
        <f t="array" aca="1" ref="AC910" ca="1">IFERROR(FDS(MO.Ticker.FactSet,"P_PRICE_AVG"&amp;"("&amp;INDEX(MO_SNA_FPStartDate,0,COLUMN())&amp;","&amp;INDEX(MO_Common_QEndDate,0,COLUMN())&amp;",,,,""PRICE"",""CLOSE"")"),"N/A")</f>
        <v>N/A</v>
      </c>
      <c r="AD910" s="464" t="str">
        <f t="array" aca="1" ref="AD910" ca="1">IFERROR(FDS(MO.Ticker.FactSet,"P_PRICE_AVG"&amp;"("&amp;INDEX(MO_SNA_FPStartDate,0,COLUMN())&amp;","&amp;INDEX(MO_Common_QEndDate,0,COLUMN())&amp;",,,,""PRICE"",""CLOSE"")"),"N/A")</f>
        <v>N/A</v>
      </c>
      <c r="AE910" s="464" t="str">
        <f t="array" aca="1" ref="AE910" ca="1">IFERROR(FDS(MO.Ticker.FactSet,"P_PRICE_AVG"&amp;"("&amp;INDEX(MO_SNA_FPStartDate,0,COLUMN())&amp;","&amp;INDEX(MO_Common_QEndDate,0,COLUMN())&amp;",,,,""PRICE"",""CLOSE"")"),"N/A")</f>
        <v>N/A</v>
      </c>
      <c r="AF910" s="464" t="str">
        <f t="array" aca="1" ref="AF910" ca="1">IFERROR(FDS(MO.Ticker.FactSet,"P_PRICE_AVG"&amp;"("&amp;INDEX(MO_SNA_FPStartDate,0,COLUMN())&amp;","&amp;INDEX(MO_Common_QEndDate,0,COLUMN())&amp;",,,,""PRICE"",""CLOSE"")"),"N/A")</f>
        <v>N/A</v>
      </c>
      <c r="AG910" s="464" t="str">
        <f t="array" aca="1" ref="AG910" ca="1">IFERROR(FDS(MO.Ticker.FactSet,"P_PRICE_AVG"&amp;"("&amp;INDEX(MO_SNA_FPStartDate,0,COLUMN())&amp;","&amp;INDEX(MO_Common_QEndDate,0,COLUMN())&amp;",,,,""PRICE"",""CLOSE"")"),"N/A")</f>
        <v>N/A</v>
      </c>
      <c r="AH910" s="464" t="str">
        <f t="array" aca="1" ref="AH910" ca="1">IFERROR(FDS(MO.Ticker.FactSet,"P_PRICE_AVG"&amp;"("&amp;INDEX(MO_SNA_FPStartDate,0,COLUMN())&amp;","&amp;INDEX(MO_Common_QEndDate,0,COLUMN())&amp;",,,,""PRICE"",""CLOSE"")"),"N/A")</f>
        <v>N/A</v>
      </c>
      <c r="AI910" s="464" t="str">
        <f t="array" aca="1" ref="AI910" ca="1">IFERROR(FDS(MO.Ticker.FactSet,"P_PRICE_AVG"&amp;"("&amp;INDEX(MO_SNA_FPStartDate,0,COLUMN())&amp;","&amp;INDEX(MO_Common_QEndDate,0,COLUMN())&amp;",,,,""PRICE"",""CLOSE"")"),"N/A")</f>
        <v>N/A</v>
      </c>
      <c r="AJ910" s="464" t="str">
        <f t="array" aca="1" ref="AJ910" ca="1">IFERROR(FDS(MO.Ticker.FactSet,"P_PRICE_AVG"&amp;"("&amp;INDEX(MO_SNA_FPStartDate,0,COLUMN())&amp;","&amp;INDEX(MO_Common_QEndDate,0,COLUMN())&amp;",,,,""PRICE"",""CLOSE"")"),"N/A")</f>
        <v>N/A</v>
      </c>
      <c r="AK910" s="464" t="str">
        <f t="array" aca="1" ref="AK910" ca="1">IFERROR(FDS(MO.Ticker.FactSet,"P_PRICE_AVG"&amp;"("&amp;INDEX(MO_SNA_FPStartDate,0,COLUMN())&amp;","&amp;INDEX(MO_Common_QEndDate,0,COLUMN())&amp;",,,,""PRICE"",""CLOSE"")"),"N/A")</f>
        <v>N/A</v>
      </c>
      <c r="AL910" s="464" t="str">
        <f t="array" aca="1" ref="AL910" ca="1">IFERROR(FDS(MO.Ticker.FactSet,"P_PRICE_AVG"&amp;"("&amp;INDEX(MO_SNA_FPStartDate,0,COLUMN())&amp;","&amp;INDEX(MO_Common_QEndDate,0,COLUMN())&amp;",,,,""PRICE"",""CLOSE"")"),"N/A")</f>
        <v>N/A</v>
      </c>
      <c r="AM910" s="464" t="str">
        <f t="array" aca="1" ref="AM910" ca="1">IFERROR(FDS(MO.Ticker.FactSet,"P_PRICE_AVG"&amp;"("&amp;INDEX(MO_SNA_FPStartDate,0,COLUMN())&amp;","&amp;INDEX(MO_Common_QEndDate,0,COLUMN())&amp;",,,,""PRICE"",""CLOSE"")"),"N/A")</f>
        <v>N/A</v>
      </c>
      <c r="AN910" s="464" t="str">
        <f t="array" aca="1" ref="AN910" ca="1">IFERROR(FDS(MO.Ticker.FactSet,"P_PRICE_AVG"&amp;"("&amp;INDEX(MO_SNA_FPStartDate,0,COLUMN())&amp;","&amp;INDEX(MO_Common_QEndDate,0,COLUMN())&amp;",,,,""PRICE"",""CLOSE"")"),"N/A")</f>
        <v>N/A</v>
      </c>
      <c r="AO910" s="464" t="str">
        <f t="array" aca="1" ref="AO910" ca="1">IFERROR(FDS(MO.Ticker.FactSet,"P_PRICE_AVG"&amp;"("&amp;INDEX(MO_SNA_FPStartDate,0,COLUMN())&amp;","&amp;INDEX(MO_Common_QEndDate,0,COLUMN())&amp;",,,,""PRICE"",""CLOSE"")"),"N/A")</f>
        <v>N/A</v>
      </c>
      <c r="AP910" s="464" t="str">
        <f t="array" aca="1" ref="AP910" ca="1">IFERROR(FDS(MO.Ticker.FactSet,"P_PRICE_AVG"&amp;"("&amp;INDEX(MO_SNA_FPStartDate,0,COLUMN())&amp;","&amp;INDEX(MO_Common_QEndDate,0,COLUMN())&amp;",,,,""PRICE"",""CLOSE"")"),"N/A")</f>
        <v>N/A</v>
      </c>
      <c r="AQ910" s="464" t="str">
        <f t="array" aca="1" ref="AQ910" ca="1">IFERROR(FDS(MO.Ticker.FactSet,"P_PRICE_AVG"&amp;"("&amp;INDEX(MO_SNA_FPStartDate,0,COLUMN())&amp;","&amp;INDEX(MO_Common_QEndDate,0,COLUMN())&amp;",,,,""PRICE"",""CLOSE"")"),"N/A")</f>
        <v>N/A</v>
      </c>
      <c r="AR910" s="464" t="str">
        <f t="array" aca="1" ref="AR910" ca="1">IFERROR(FDS(MO.Ticker.FactSet,"P_PRICE_AVG"&amp;"("&amp;INDEX(MO_SNA_FPStartDate,0,COLUMN())&amp;","&amp;INDEX(MO_Common_QEndDate,0,COLUMN())&amp;",,,,""PRICE"",""CLOSE"")"),"N/A")</f>
        <v>N/A</v>
      </c>
      <c r="AS910" s="464" t="str">
        <f t="array" aca="1" ref="AS910" ca="1">IFERROR(FDS(MO.Ticker.FactSet,"P_PRICE_AVG"&amp;"("&amp;INDEX(MO_SNA_FPStartDate,0,COLUMN())&amp;","&amp;INDEX(MO_Common_QEndDate,0,COLUMN())&amp;",,,,""PRICE"",""CLOSE"")"),"N/A")</f>
        <v>N/A</v>
      </c>
      <c r="AT910" s="464" t="str">
        <f t="array" aca="1" ref="AT910" ca="1">IFERROR(FDS(MO.Ticker.FactSet,"P_PRICE_AVG"&amp;"("&amp;INDEX(MO_SNA_FPStartDate,0,COLUMN())&amp;","&amp;INDEX(MO_Common_QEndDate,0,COLUMN())&amp;",,,,""PRICE"",""CLOSE"")"),"N/A")</f>
        <v>N/A</v>
      </c>
      <c r="AU910" s="464" t="str">
        <f t="array" aca="1" ref="AU910" ca="1">IFERROR(FDS(MO.Ticker.FactSet,"P_PRICE_AVG"&amp;"("&amp;INDEX(MO_SNA_FPStartDate,0,COLUMN())&amp;","&amp;INDEX(MO_Common_QEndDate,0,COLUMN())&amp;",,,,""PRICE"",""CLOSE"")"),"N/A")</f>
        <v>N/A</v>
      </c>
      <c r="AV910" s="464" t="str">
        <f t="array" aca="1" ref="AV910" ca="1">IFERROR(FDS(MO.Ticker.FactSet,"P_PRICE_AVG"&amp;"("&amp;INDEX(MO_SNA_FPStartDate,0,COLUMN())&amp;","&amp;INDEX(MO_Common_QEndDate,0,COLUMN())&amp;",,,,""PRICE"",""CLOSE"")"),"N/A")</f>
        <v>N/A</v>
      </c>
      <c r="AW910" s="464" t="str">
        <f t="array" aca="1" ref="AW910" ca="1">IFERROR(FDS(MO.Ticker.FactSet,"P_PRICE_AVG"&amp;"("&amp;INDEX(MO_SNA_FPStartDate,0,COLUMN())&amp;","&amp;INDEX(MO_Common_QEndDate,0,COLUMN())&amp;",,,,""PRICE"",""CLOSE"")"),"N/A")</f>
        <v>N/A</v>
      </c>
      <c r="AX910" s="464" t="str">
        <f t="array" aca="1" ref="AX910" ca="1">IFERROR(FDS(MO.Ticker.FactSet,"P_PRICE_AVG"&amp;"("&amp;INDEX(MO_SNA_FPStartDate,0,COLUMN())&amp;","&amp;INDEX(MO_Common_QEndDate,0,COLUMN())&amp;",,,,""PRICE"",""CLOSE"")"),"N/A")</f>
        <v>N/A</v>
      </c>
      <c r="AY910" s="464" t="str">
        <f t="array" aca="1" ref="AY910" ca="1">IFERROR(FDS(MO.Ticker.FactSet,"P_PRICE_AVG"&amp;"("&amp;INDEX(MO_SNA_FPStartDate,0,COLUMN())&amp;","&amp;INDEX(MO_Common_QEndDate,0,COLUMN())&amp;",,,,""PRICE"",""CLOSE"")"),"N/A")</f>
        <v>N/A</v>
      </c>
      <c r="AZ910" s="464" t="str">
        <f t="array" aca="1" ref="AZ910" ca="1">IFERROR(FDS(MO.Ticker.FactSet,"P_PRICE_AVG"&amp;"("&amp;INDEX(MO_SNA_FPStartDate,0,COLUMN())&amp;","&amp;INDEX(MO_Common_QEndDate,0,COLUMN())&amp;",,,,""PRICE"",""CLOSE"")"),"N/A")</f>
        <v>N/A</v>
      </c>
      <c r="BA910" s="464" t="str">
        <f t="array" aca="1" ref="BA910" ca="1">IFERROR(FDS(MO.Ticker.FactSet,"P_PRICE_AVG"&amp;"("&amp;INDEX(MO_SNA_FPStartDate,0,COLUMN())&amp;","&amp;INDEX(MO_Common_QEndDate,0,COLUMN())&amp;",,,,""PRICE"",""CLOSE"")"),"N/A")</f>
        <v>N/A</v>
      </c>
      <c r="BB910" s="464" t="str">
        <f t="array" aca="1" ref="BB910" ca="1">IFERROR(FDS(MO.Ticker.FactSet,"P_PRICE_AVG"&amp;"("&amp;INDEX(MO_SNA_FPStartDate,0,COLUMN())&amp;","&amp;INDEX(MO_Common_QEndDate,0,COLUMN())&amp;",,,,""PRICE"",""CLOSE"")"),"N/A")</f>
        <v>N/A</v>
      </c>
      <c r="BC910" s="464" t="str">
        <f t="array" aca="1" ref="BC910" ca="1">IFERROR(FDS(MO.Ticker.FactSet,"P_PRICE_AVG"&amp;"("&amp;INDEX(MO_SNA_FPStartDate,0,COLUMN())&amp;","&amp;INDEX(MO_Common_QEndDate,0,COLUMN())&amp;",,,,""PRICE"",""CLOSE"")"),"N/A")</f>
        <v>N/A</v>
      </c>
      <c r="BD910" s="464" t="str">
        <f t="array" aca="1" ref="BD910" ca="1">IFERROR(FDS(MO.Ticker.FactSet,"P_PRICE_AVG"&amp;"("&amp;INDEX(MO_SNA_FPStartDate,0,COLUMN())&amp;","&amp;INDEX(MO_Common_QEndDate,0,COLUMN())&amp;",,,,""PRICE"",""CLOSE"")"),"N/A")</f>
        <v>N/A</v>
      </c>
      <c r="BE910" s="464" t="str">
        <f t="array" aca="1" ref="BE910" ca="1">IFERROR(FDS(MO.Ticker.FactSet,"P_PRICE_AVG"&amp;"("&amp;INDEX(MO_SNA_FPStartDate,0,COLUMN())&amp;","&amp;INDEX(MO_Common_QEndDate,0,COLUMN())&amp;",,,,""PRICE"",""CLOSE"")"),"N/A")</f>
        <v>N/A</v>
      </c>
      <c r="BF910" s="464" t="str">
        <f t="array" aca="1" ref="BF910" ca="1">IFERROR(FDS(MO.Ticker.FactSet,"P_PRICE_AVG"&amp;"("&amp;INDEX(MO_SNA_FPStartDate,0,COLUMN())&amp;","&amp;INDEX(MO_Common_QEndDate,0,COLUMN())&amp;",,,,""PRICE"",""CLOSE"")"),"N/A")</f>
        <v>N/A</v>
      </c>
      <c r="BG910" s="464" t="str">
        <f t="array" aca="1" ref="BG910" ca="1">IFERROR(FDS(MO.Ticker.FactSet,"P_PRICE_AVG"&amp;"("&amp;INDEX(MO_SNA_FPStartDate,0,COLUMN())&amp;","&amp;INDEX(MO_Common_QEndDate,0,COLUMN())&amp;",,,,""PRICE"",""CLOSE"")"),"N/A")</f>
        <v>N/A</v>
      </c>
      <c r="BH910" s="464" t="str">
        <f t="array" aca="1" ref="BH910" ca="1">IFERROR(FDS(MO.Ticker.FactSet,"P_PRICE_AVG"&amp;"("&amp;INDEX(MO_SNA_FPStartDate,0,COLUMN())&amp;","&amp;INDEX(MO_Common_QEndDate,0,COLUMN())&amp;",,,,""PRICE"",""CLOSE"")"),"N/A")</f>
        <v>N/A</v>
      </c>
      <c r="BI910" s="564" t="str">
        <f t="array" aca="1" ref="BI910" ca="1">IFERROR(FDS(MO.Ticker.FactSet,"P_PRICE_AVG"&amp;"("&amp;INDEX(MO_SNA_FPStartDate,0,COLUMN())&amp;","&amp;INDEX(MO_Common_QEndDate,0,COLUMN())&amp;",,,,""PRICE"",""CLOSE"")"),"N/A")</f>
        <v>N/A</v>
      </c>
      <c r="BJ910" s="464" t="str">
        <f t="array" aca="1" ref="BJ910" ca="1">IFERROR(FDS(MO.Ticker.FactSet,"P_PRICE_AVG"&amp;"("&amp;INDEX(MO_SNA_FPStartDate,0,COLUMN())&amp;","&amp;INDEX(MO_Common_QEndDate,0,COLUMN())&amp;",,,,""PRICE"",""CLOSE"")"),"N/A")</f>
        <v>N/A</v>
      </c>
      <c r="BK910" s="464" t="str">
        <f t="array" aca="1" ref="BK910" ca="1">IFERROR(FDS(MO.Ticker.FactSet,"P_PRICE_AVG"&amp;"("&amp;INDEX(MO_SNA_FPStartDate,0,COLUMN())&amp;","&amp;INDEX(MO_Common_QEndDate,0,COLUMN())&amp;",,,,""PRICE"",""CLOSE"")"),"N/A")</f>
        <v>N/A</v>
      </c>
      <c r="BL910" s="464" t="str">
        <f t="array" aca="1" ref="BL910" ca="1">IFERROR(FDS(MO.Ticker.FactSet,"P_PRICE_AVG"&amp;"("&amp;INDEX(MO_SNA_FPStartDate,0,COLUMN())&amp;","&amp;INDEX(MO_Common_QEndDate,0,COLUMN())&amp;",,,,""PRICE"",""CLOSE"")"),"N/A")</f>
        <v>N/A</v>
      </c>
      <c r="BM910" s="464" t="str">
        <f t="array" aca="1" ref="BM910" ca="1">IFERROR(FDS(MO.Ticker.FactSet,"P_PRICE_AVG"&amp;"("&amp;INDEX(MO_SNA_FPStartDate,0,COLUMN())&amp;","&amp;INDEX(MO_Common_QEndDate,0,COLUMN())&amp;",,,,""PRICE"",""CLOSE"")"),"N/A")</f>
        <v>N/A</v>
      </c>
      <c r="BN910" s="464" t="str">
        <f t="array" aca="1" ref="BN910" ca="1">IFERROR(FDS(MO.Ticker.FactSet,"P_PRICE_AVG"&amp;"("&amp;INDEX(MO_SNA_FPStartDate,0,COLUMN())&amp;","&amp;INDEX(MO_Common_QEndDate,0,COLUMN())&amp;",,,,""PRICE"",""CLOSE"")"),"N/A")</f>
        <v>N/A</v>
      </c>
      <c r="BO910" s="464" t="str">
        <f t="array" aca="1" ref="BO910" ca="1">IFERROR(FDS(MO.Ticker.FactSet,"P_PRICE_AVG"&amp;"("&amp;INDEX(MO_SNA_FPStartDate,0,COLUMN())&amp;","&amp;INDEX(MO_Common_QEndDate,0,COLUMN())&amp;",,,,""PRICE"",""CLOSE"")"),"N/A")</f>
        <v>N/A</v>
      </c>
      <c r="BP910" s="464" t="str">
        <f t="array" aca="1" ref="BP910" ca="1">IFERROR(FDS(MO.Ticker.FactSet,"P_PRICE_AVG"&amp;"("&amp;INDEX(MO_SNA_FPStartDate,0,COLUMN())&amp;","&amp;INDEX(MO_Common_QEndDate,0,COLUMN())&amp;",,,,""PRICE"",""CLOSE"")"),"N/A")</f>
        <v>N/A</v>
      </c>
      <c r="BQ910" s="464" t="str">
        <f t="array" aca="1" ref="BQ910" ca="1">IFERROR(FDS(MO.Ticker.FactSet,"P_PRICE_AVG"&amp;"("&amp;INDEX(MO_SNA_FPStartDate,0,COLUMN())&amp;","&amp;INDEX(MO_Common_QEndDate,0,COLUMN())&amp;",,,,""PRICE"",""CLOSE"")"),"N/A")</f>
        <v>N/A</v>
      </c>
      <c r="BR910" s="464" t="str">
        <f t="array" aca="1" ref="BR910" ca="1">IFERROR(FDS(MO.Ticker.FactSet,"P_PRICE_AVG"&amp;"("&amp;INDEX(MO_SNA_FPStartDate,0,COLUMN())&amp;","&amp;INDEX(MO_Common_QEndDate,0,COLUMN())&amp;",,,,""PRICE"",""CLOSE"")"),"N/A")</f>
        <v>N/A</v>
      </c>
      <c r="BS910" s="464" t="str">
        <f t="array" aca="1" ref="BS910" ca="1">IFERROR(FDS(MO.Ticker.FactSet,"P_PRICE_AVG"&amp;"("&amp;INDEX(MO_SNA_FPStartDate,0,COLUMN())&amp;","&amp;INDEX(MO_Common_QEndDate,0,COLUMN())&amp;",,,,""PRICE"",""CLOSE"")"),"N/A")</f>
        <v>N/A</v>
      </c>
      <c r="BT910" s="464" t="str">
        <f t="array" aca="1" ref="BT910" ca="1">IFERROR(FDS(MO.Ticker.FactSet,"P_PRICE_AVG"&amp;"("&amp;INDEX(MO_SNA_FPStartDate,0,COLUMN())&amp;","&amp;INDEX(MO_Common_QEndDate,0,COLUMN())&amp;",,,,""PRICE"",""CLOSE"")"),"N/A")</f>
        <v>N/A</v>
      </c>
      <c r="BU910" s="464" t="str">
        <f t="array" aca="1" ref="BU910" ca="1">IFERROR(FDS(MO.Ticker.FactSet,"P_PRICE_AVG"&amp;"("&amp;INDEX(MO_SNA_FPStartDate,0,COLUMN())&amp;","&amp;INDEX(MO_Common_QEndDate,0,COLUMN())&amp;",,,,""PRICE"",""CLOSE"")"),"N/A")</f>
        <v>N/A</v>
      </c>
      <c r="BV910" s="565" t="str">
        <f t="array" aca="1" ref="BV910" ca="1">IFERROR(FDS(MO.Ticker.FactSet,"P_PRICE_AVG"&amp;"("&amp;INDEX(MO_SNA_FPStartDate,0,COLUMN())&amp;","&amp;INDEX(MO_Common_QEndDate,0,COLUMN())&amp;",,,,""PRICE"",""CLOSE"")"),"N/A")</f>
        <v>N/A</v>
      </c>
      <c r="BW910" s="566"/>
    </row>
    <row r="911" spans="1:75" ht="15.75" hidden="1" customHeight="1" outlineLevel="1" x14ac:dyDescent="0.2">
      <c r="A911" s="563" t="s">
        <v>938</v>
      </c>
      <c r="B911" s="464"/>
      <c r="C911" s="464" t="str">
        <f t="array" aca="1" ref="C911" ca="1">IFERROR(_xll.TR(MO.Ticker.Thomson,"AVG(TR.Priceclose)","sdate:#1 edate:#2",,INDEX(MO_SNA_FPStartDate,0,COLUMN()),INDEX(MO_Common_QEndDate,0,COLUMN())),"N/A")</f>
        <v>N/A</v>
      </c>
      <c r="D911" s="464" t="str">
        <f t="array" aca="1" ref="D911" ca="1">IFERROR(_xll.TR(MO.Ticker.Thomson,"AVG(TR.Priceclose)","sdate:#1 edate:#2",,INDEX(MO_SNA_FPStartDate,0,COLUMN()),INDEX(MO_Common_QEndDate,0,COLUMN())),"N/A")</f>
        <v>N/A</v>
      </c>
      <c r="E911" s="464" t="str">
        <f t="array" aca="1" ref="E911" ca="1">IFERROR(_xll.TR(MO.Ticker.Thomson,"AVG(TR.Priceclose)","sdate:#1 edate:#2",,INDEX(MO_SNA_FPStartDate,0,COLUMN()),INDEX(MO_Common_QEndDate,0,COLUMN())),"N/A")</f>
        <v>N/A</v>
      </c>
      <c r="F911" s="464" t="str">
        <f t="array" aca="1" ref="F911" ca="1">IFERROR(_xll.TR(MO.Ticker.Thomson,"AVG(TR.Priceclose)","sdate:#1 edate:#2",,INDEX(MO_SNA_FPStartDate,0,COLUMN()),INDEX(MO_Common_QEndDate,0,COLUMN())),"N/A")</f>
        <v>N/A</v>
      </c>
      <c r="G911" s="464" t="str">
        <f t="array" aca="1" ref="G911" ca="1">IFERROR(_xll.TR(MO.Ticker.Thomson,"AVG(TR.Priceclose)","sdate:#1 edate:#2",,INDEX(MO_SNA_FPStartDate,0,COLUMN()),INDEX(MO_Common_QEndDate,0,COLUMN())),"N/A")</f>
        <v>N/A</v>
      </c>
      <c r="H911" s="464" t="str">
        <f t="array" aca="1" ref="H911" ca="1">IFERROR(_xll.TR(MO.Ticker.Thomson,"AVG(TR.Priceclose)","sdate:#1 edate:#2",,INDEX(MO_SNA_FPStartDate,0,COLUMN()),INDEX(MO_Common_QEndDate,0,COLUMN())),"N/A")</f>
        <v>N/A</v>
      </c>
      <c r="I911" s="464" t="str">
        <f t="array" aca="1" ref="I911" ca="1">IFERROR(_xll.TR(MO.Ticker.Thomson,"AVG(TR.Priceclose)","sdate:#1 edate:#2",,INDEX(MO_SNA_FPStartDate,0,COLUMN()),INDEX(MO_Common_QEndDate,0,COLUMN())),"N/A")</f>
        <v>N/A</v>
      </c>
      <c r="J911" s="464" t="str">
        <f t="array" aca="1" ref="J911" ca="1">IFERROR(_xll.TR(MO.Ticker.Thomson,"AVG(TR.Priceclose)","sdate:#1 edate:#2",,INDEX(MO_SNA_FPStartDate,0,COLUMN()),INDEX(MO_Common_QEndDate,0,COLUMN())),"N/A")</f>
        <v>N/A</v>
      </c>
      <c r="K911" s="464" t="str">
        <f t="array" aca="1" ref="K911" ca="1">IFERROR(_xll.TR(MO.Ticker.Thomson,"AVG(TR.Priceclose)","sdate:#1 edate:#2",,INDEX(MO_SNA_FPStartDate,0,COLUMN()),INDEX(MO_Common_QEndDate,0,COLUMN())),"N/A")</f>
        <v>N/A</v>
      </c>
      <c r="L911" s="464" t="str">
        <f t="array" aca="1" ref="L911" ca="1">IFERROR(_xll.TR(MO.Ticker.Thomson,"AVG(TR.Priceclose)","sdate:#1 edate:#2",,INDEX(MO_SNA_FPStartDate,0,COLUMN()),INDEX(MO_Common_QEndDate,0,COLUMN())),"N/A")</f>
        <v>N/A</v>
      </c>
      <c r="M911" s="464" t="str">
        <f t="array" aca="1" ref="M911" ca="1">IFERROR(_xll.TR(MO.Ticker.Thomson,"AVG(TR.Priceclose)","sdate:#1 edate:#2",,INDEX(MO_SNA_FPStartDate,0,COLUMN()),INDEX(MO_Common_QEndDate,0,COLUMN())),"N/A")</f>
        <v>N/A</v>
      </c>
      <c r="N911" s="464" t="str">
        <f t="array" aca="1" ref="N911" ca="1">IFERROR(_xll.TR(MO.Ticker.Thomson,"AVG(TR.Priceclose)","sdate:#1 edate:#2",,INDEX(MO_SNA_FPStartDate,0,COLUMN()),INDEX(MO_Common_QEndDate,0,COLUMN())),"N/A")</f>
        <v>N/A</v>
      </c>
      <c r="O911" s="464" t="str">
        <f t="array" aca="1" ref="O911" ca="1">IFERROR(_xll.TR(MO.Ticker.Thomson,"AVG(TR.Priceclose)","sdate:#1 edate:#2",,INDEX(MO_SNA_FPStartDate,0,COLUMN()),INDEX(MO_Common_QEndDate,0,COLUMN())),"N/A")</f>
        <v>N/A</v>
      </c>
      <c r="P911" s="464" t="str">
        <f t="array" aca="1" ref="P911" ca="1">IFERROR(_xll.TR(MO.Ticker.Thomson,"AVG(TR.Priceclose)","sdate:#1 edate:#2",,INDEX(MO_SNA_FPStartDate,0,COLUMN()),INDEX(MO_Common_QEndDate,0,COLUMN())),"N/A")</f>
        <v>N/A</v>
      </c>
      <c r="Q911" s="464" t="str">
        <f t="array" aca="1" ref="Q911" ca="1">IFERROR(_xll.TR(MO.Ticker.Thomson,"AVG(TR.Priceclose)","sdate:#1 edate:#2",,INDEX(MO_SNA_FPStartDate,0,COLUMN()),INDEX(MO_Common_QEndDate,0,COLUMN())),"N/A")</f>
        <v>N/A</v>
      </c>
      <c r="R911" s="464" t="str">
        <f t="array" aca="1" ref="R911" ca="1">IFERROR(_xll.TR(MO.Ticker.Thomson,"AVG(TR.Priceclose)","sdate:#1 edate:#2",,INDEX(MO_SNA_FPStartDate,0,COLUMN()),INDEX(MO_Common_QEndDate,0,COLUMN())),"N/A")</f>
        <v>N/A</v>
      </c>
      <c r="S911" s="464" t="str">
        <f t="array" aca="1" ref="S911" ca="1">IFERROR(_xll.TR(MO.Ticker.Thomson,"AVG(TR.Priceclose)","sdate:#1 edate:#2",,INDEX(MO_SNA_FPStartDate,0,COLUMN()),INDEX(MO_Common_QEndDate,0,COLUMN())),"N/A")</f>
        <v>N/A</v>
      </c>
      <c r="T911" s="464" t="str">
        <f t="array" aca="1" ref="T911" ca="1">IFERROR(_xll.TR(MO.Ticker.Thomson,"AVG(TR.Priceclose)","sdate:#1 edate:#2",,INDEX(MO_SNA_FPStartDate,0,COLUMN()),INDEX(MO_Common_QEndDate,0,COLUMN())),"N/A")</f>
        <v>N/A</v>
      </c>
      <c r="U911" s="464" t="str">
        <f t="array" aca="1" ref="U911" ca="1">IFERROR(_xll.TR(MO.Ticker.Thomson,"AVG(TR.Priceclose)","sdate:#1 edate:#2",,INDEX(MO_SNA_FPStartDate,0,COLUMN()),INDEX(MO_Common_QEndDate,0,COLUMN())),"N/A")</f>
        <v>N/A</v>
      </c>
      <c r="V911" s="464" t="str">
        <f t="array" aca="1" ref="V911" ca="1">IFERROR(_xll.TR(MO.Ticker.Thomson,"AVG(TR.Priceclose)","sdate:#1 edate:#2",,INDEX(MO_SNA_FPStartDate,0,COLUMN()),INDEX(MO_Common_QEndDate,0,COLUMN())),"N/A")</f>
        <v>N/A</v>
      </c>
      <c r="W911" s="464" t="str">
        <f t="array" aca="1" ref="W911" ca="1">IFERROR(_xll.TR(MO.Ticker.Thomson,"AVG(TR.Priceclose)","sdate:#1 edate:#2",,INDEX(MO_SNA_FPStartDate,0,COLUMN()),INDEX(MO_Common_QEndDate,0,COLUMN())),"N/A")</f>
        <v>N/A</v>
      </c>
      <c r="X911" s="464" t="str">
        <f t="array" aca="1" ref="X911" ca="1">IFERROR(_xll.TR(MO.Ticker.Thomson,"AVG(TR.Priceclose)","sdate:#1 edate:#2",,INDEX(MO_SNA_FPStartDate,0,COLUMN()),INDEX(MO_Common_QEndDate,0,COLUMN())),"N/A")</f>
        <v>N/A</v>
      </c>
      <c r="Y911" s="464" t="str">
        <f t="array" aca="1" ref="Y911" ca="1">IFERROR(_xll.TR(MO.Ticker.Thomson,"AVG(TR.Priceclose)","sdate:#1 edate:#2",,INDEX(MO_SNA_FPStartDate,0,COLUMN()),INDEX(MO_Common_QEndDate,0,COLUMN())),"N/A")</f>
        <v>N/A</v>
      </c>
      <c r="Z911" s="464" t="str">
        <f t="array" aca="1" ref="Z911" ca="1">IFERROR(_xll.TR(MO.Ticker.Thomson,"AVG(TR.Priceclose)","sdate:#1 edate:#2",,INDEX(MO_SNA_FPStartDate,0,COLUMN()),INDEX(MO_Common_QEndDate,0,COLUMN())),"N/A")</f>
        <v>N/A</v>
      </c>
      <c r="AA911" s="464" t="str">
        <f t="array" aca="1" ref="AA911" ca="1">IFERROR(_xll.TR(MO.Ticker.Thomson,"AVG(TR.Priceclose)","sdate:#1 edate:#2",,INDEX(MO_SNA_FPStartDate,0,COLUMN()),INDEX(MO_Common_QEndDate,0,COLUMN())),"N/A")</f>
        <v>N/A</v>
      </c>
      <c r="AB911" s="464" t="str">
        <f t="array" aca="1" ref="AB911" ca="1">IFERROR(_xll.TR(MO.Ticker.Thomson,"AVG(TR.Priceclose)","sdate:#1 edate:#2",,INDEX(MO_SNA_FPStartDate,0,COLUMN()),INDEX(MO_Common_QEndDate,0,COLUMN())),"N/A")</f>
        <v>N/A</v>
      </c>
      <c r="AC911" s="464" t="str">
        <f t="array" aca="1" ref="AC911" ca="1">IFERROR(_xll.TR(MO.Ticker.Thomson,"AVG(TR.Priceclose)","sdate:#1 edate:#2",,INDEX(MO_SNA_FPStartDate,0,COLUMN()),INDEX(MO_Common_QEndDate,0,COLUMN())),"N/A")</f>
        <v>N/A</v>
      </c>
      <c r="AD911" s="464" t="str">
        <f t="array" aca="1" ref="AD911" ca="1">IFERROR(_xll.TR(MO.Ticker.Thomson,"AVG(TR.Priceclose)","sdate:#1 edate:#2",,INDEX(MO_SNA_FPStartDate,0,COLUMN()),INDEX(MO_Common_QEndDate,0,COLUMN())),"N/A")</f>
        <v>N/A</v>
      </c>
      <c r="AE911" s="464" t="str">
        <f t="array" aca="1" ref="AE911" ca="1">IFERROR(_xll.TR(MO.Ticker.Thomson,"AVG(TR.Priceclose)","sdate:#1 edate:#2",,INDEX(MO_SNA_FPStartDate,0,COLUMN()),INDEX(MO_Common_QEndDate,0,COLUMN())),"N/A")</f>
        <v>N/A</v>
      </c>
      <c r="AF911" s="464" t="str">
        <f t="array" aca="1" ref="AF911" ca="1">IFERROR(_xll.TR(MO.Ticker.Thomson,"AVG(TR.Priceclose)","sdate:#1 edate:#2",,INDEX(MO_SNA_FPStartDate,0,COLUMN()),INDEX(MO_Common_QEndDate,0,COLUMN())),"N/A")</f>
        <v>N/A</v>
      </c>
      <c r="AG911" s="464" t="str">
        <f t="array" aca="1" ref="AG911" ca="1">IFERROR(_xll.TR(MO.Ticker.Thomson,"AVG(TR.Priceclose)","sdate:#1 edate:#2",,INDEX(MO_SNA_FPStartDate,0,COLUMN()),INDEX(MO_Common_QEndDate,0,COLUMN())),"N/A")</f>
        <v>N/A</v>
      </c>
      <c r="AH911" s="464" t="str">
        <f t="array" aca="1" ref="AH911" ca="1">IFERROR(_xll.TR(MO.Ticker.Thomson,"AVG(TR.Priceclose)","sdate:#1 edate:#2",,INDEX(MO_SNA_FPStartDate,0,COLUMN()),INDEX(MO_Common_QEndDate,0,COLUMN())),"N/A")</f>
        <v>N/A</v>
      </c>
      <c r="AI911" s="464" t="str">
        <f t="array" aca="1" ref="AI911" ca="1">IFERROR(_xll.TR(MO.Ticker.Thomson,"AVG(TR.Priceclose)","sdate:#1 edate:#2",,INDEX(MO_SNA_FPStartDate,0,COLUMN()),INDEX(MO_Common_QEndDate,0,COLUMN())),"N/A")</f>
        <v>N/A</v>
      </c>
      <c r="AJ911" s="464" t="str">
        <f t="array" aca="1" ref="AJ911" ca="1">IFERROR(_xll.TR(MO.Ticker.Thomson,"AVG(TR.Priceclose)","sdate:#1 edate:#2",,INDEX(MO_SNA_FPStartDate,0,COLUMN()),INDEX(MO_Common_QEndDate,0,COLUMN())),"N/A")</f>
        <v>N/A</v>
      </c>
      <c r="AK911" s="464" t="str">
        <f t="array" aca="1" ref="AK911" ca="1">IFERROR(_xll.TR(MO.Ticker.Thomson,"AVG(TR.Priceclose)","sdate:#1 edate:#2",,INDEX(MO_SNA_FPStartDate,0,COLUMN()),INDEX(MO_Common_QEndDate,0,COLUMN())),"N/A")</f>
        <v>N/A</v>
      </c>
      <c r="AL911" s="464" t="str">
        <f t="array" aca="1" ref="AL911" ca="1">IFERROR(_xll.TR(MO.Ticker.Thomson,"AVG(TR.Priceclose)","sdate:#1 edate:#2",,INDEX(MO_SNA_FPStartDate,0,COLUMN()),INDEX(MO_Common_QEndDate,0,COLUMN())),"N/A")</f>
        <v>N/A</v>
      </c>
      <c r="AM911" s="464" t="str">
        <f t="array" aca="1" ref="AM911" ca="1">IFERROR(_xll.TR(MO.Ticker.Thomson,"AVG(TR.Priceclose)","sdate:#1 edate:#2",,INDEX(MO_SNA_FPStartDate,0,COLUMN()),INDEX(MO_Common_QEndDate,0,COLUMN())),"N/A")</f>
        <v>N/A</v>
      </c>
      <c r="AN911" s="464" t="str">
        <f t="array" aca="1" ref="AN911" ca="1">IFERROR(_xll.TR(MO.Ticker.Thomson,"AVG(TR.Priceclose)","sdate:#1 edate:#2",,INDEX(MO_SNA_FPStartDate,0,COLUMN()),INDEX(MO_Common_QEndDate,0,COLUMN())),"N/A")</f>
        <v>N/A</v>
      </c>
      <c r="AO911" s="464" t="str">
        <f t="array" aca="1" ref="AO911" ca="1">IFERROR(_xll.TR(MO.Ticker.Thomson,"AVG(TR.Priceclose)","sdate:#1 edate:#2",,INDEX(MO_SNA_FPStartDate,0,COLUMN()),INDEX(MO_Common_QEndDate,0,COLUMN())),"N/A")</f>
        <v>N/A</v>
      </c>
      <c r="AP911" s="464" t="str">
        <f t="array" aca="1" ref="AP911" ca="1">IFERROR(_xll.TR(MO.Ticker.Thomson,"AVG(TR.Priceclose)","sdate:#1 edate:#2",,INDEX(MO_SNA_FPStartDate,0,COLUMN()),INDEX(MO_Common_QEndDate,0,COLUMN())),"N/A")</f>
        <v>N/A</v>
      </c>
      <c r="AQ911" s="464" t="str">
        <f t="array" aca="1" ref="AQ911" ca="1">IFERROR(_xll.TR(MO.Ticker.Thomson,"AVG(TR.Priceclose)","sdate:#1 edate:#2",,INDEX(MO_SNA_FPStartDate,0,COLUMN()),INDEX(MO_Common_QEndDate,0,COLUMN())),"N/A")</f>
        <v>N/A</v>
      </c>
      <c r="AR911" s="464" t="str">
        <f t="array" aca="1" ref="AR911" ca="1">IFERROR(_xll.TR(MO.Ticker.Thomson,"AVG(TR.Priceclose)","sdate:#1 edate:#2",,INDEX(MO_SNA_FPStartDate,0,COLUMN()),INDEX(MO_Common_QEndDate,0,COLUMN())),"N/A")</f>
        <v>N/A</v>
      </c>
      <c r="AS911" s="464" t="str">
        <f t="array" aca="1" ref="AS911" ca="1">IFERROR(_xll.TR(MO.Ticker.Thomson,"AVG(TR.Priceclose)","sdate:#1 edate:#2",,INDEX(MO_SNA_FPStartDate,0,COLUMN()),INDEX(MO_Common_QEndDate,0,COLUMN())),"N/A")</f>
        <v>N/A</v>
      </c>
      <c r="AT911" s="464" t="str">
        <f t="array" aca="1" ref="AT911" ca="1">IFERROR(_xll.TR(MO.Ticker.Thomson,"AVG(TR.Priceclose)","sdate:#1 edate:#2",,INDEX(MO_SNA_FPStartDate,0,COLUMN()),INDEX(MO_Common_QEndDate,0,COLUMN())),"N/A")</f>
        <v>N/A</v>
      </c>
      <c r="AU911" s="464" t="str">
        <f t="array" aca="1" ref="AU911" ca="1">IFERROR(_xll.TR(MO.Ticker.Thomson,"AVG(TR.Priceclose)","sdate:#1 edate:#2",,INDEX(MO_SNA_FPStartDate,0,COLUMN()),INDEX(MO_Common_QEndDate,0,COLUMN())),"N/A")</f>
        <v>N/A</v>
      </c>
      <c r="AV911" s="464" t="str">
        <f t="array" aca="1" ref="AV911" ca="1">IFERROR(_xll.TR(MO.Ticker.Thomson,"AVG(TR.Priceclose)","sdate:#1 edate:#2",,INDEX(MO_SNA_FPStartDate,0,COLUMN()),INDEX(MO_Common_QEndDate,0,COLUMN())),"N/A")</f>
        <v>N/A</v>
      </c>
      <c r="AW911" s="464" t="str">
        <f t="array" aca="1" ref="AW911" ca="1">IFERROR(_xll.TR(MO.Ticker.Thomson,"AVG(TR.Priceclose)","sdate:#1 edate:#2",,INDEX(MO_SNA_FPStartDate,0,COLUMN()),INDEX(MO_Common_QEndDate,0,COLUMN())),"N/A")</f>
        <v>N/A</v>
      </c>
      <c r="AX911" s="464" t="str">
        <f t="array" aca="1" ref="AX911" ca="1">IFERROR(_xll.TR(MO.Ticker.Thomson,"AVG(TR.Priceclose)","sdate:#1 edate:#2",,INDEX(MO_SNA_FPStartDate,0,COLUMN()),INDEX(MO_Common_QEndDate,0,COLUMN())),"N/A")</f>
        <v>N/A</v>
      </c>
      <c r="AY911" s="464" t="str">
        <f t="array" aca="1" ref="AY911" ca="1">IFERROR(_xll.TR(MO.Ticker.Thomson,"AVG(TR.Priceclose)","sdate:#1 edate:#2",,INDEX(MO_SNA_FPStartDate,0,COLUMN()),INDEX(MO_Common_QEndDate,0,COLUMN())),"N/A")</f>
        <v>N/A</v>
      </c>
      <c r="AZ911" s="464" t="str">
        <f t="array" aca="1" ref="AZ911" ca="1">IFERROR(_xll.TR(MO.Ticker.Thomson,"AVG(TR.Priceclose)","sdate:#1 edate:#2",,INDEX(MO_SNA_FPStartDate,0,COLUMN()),INDEX(MO_Common_QEndDate,0,COLUMN())),"N/A")</f>
        <v>N/A</v>
      </c>
      <c r="BA911" s="464" t="str">
        <f t="array" aca="1" ref="BA911" ca="1">IFERROR(_xll.TR(MO.Ticker.Thomson,"AVG(TR.Priceclose)","sdate:#1 edate:#2",,INDEX(MO_SNA_FPStartDate,0,COLUMN()),INDEX(MO_Common_QEndDate,0,COLUMN())),"N/A")</f>
        <v>N/A</v>
      </c>
      <c r="BB911" s="464" t="str">
        <f t="array" aca="1" ref="BB911" ca="1">IFERROR(_xll.TR(MO.Ticker.Thomson,"AVG(TR.Priceclose)","sdate:#1 edate:#2",,INDEX(MO_SNA_FPStartDate,0,COLUMN()),INDEX(MO_Common_QEndDate,0,COLUMN())),"N/A")</f>
        <v>N/A</v>
      </c>
      <c r="BC911" s="464" t="str">
        <f t="array" aca="1" ref="BC911" ca="1">IFERROR(_xll.TR(MO.Ticker.Thomson,"AVG(TR.Priceclose)","sdate:#1 edate:#2",,INDEX(MO_SNA_FPStartDate,0,COLUMN()),INDEX(MO_Common_QEndDate,0,COLUMN())),"N/A")</f>
        <v>N/A</v>
      </c>
      <c r="BD911" s="464" t="str">
        <f t="array" aca="1" ref="BD911" ca="1">IFERROR(_xll.TR(MO.Ticker.Thomson,"AVG(TR.Priceclose)","sdate:#1 edate:#2",,INDEX(MO_SNA_FPStartDate,0,COLUMN()),INDEX(MO_Common_QEndDate,0,COLUMN())),"N/A")</f>
        <v>N/A</v>
      </c>
      <c r="BE911" s="464" t="str">
        <f t="array" aca="1" ref="BE911" ca="1">IFERROR(_xll.TR(MO.Ticker.Thomson,"AVG(TR.Priceclose)","sdate:#1 edate:#2",,INDEX(MO_SNA_FPStartDate,0,COLUMN()),INDEX(MO_Common_QEndDate,0,COLUMN())),"N/A")</f>
        <v>N/A</v>
      </c>
      <c r="BF911" s="464" t="str">
        <f t="array" aca="1" ref="BF911" ca="1">IFERROR(_xll.TR(MO.Ticker.Thomson,"AVG(TR.Priceclose)","sdate:#1 edate:#2",,INDEX(MO_SNA_FPStartDate,0,COLUMN()),INDEX(MO_Common_QEndDate,0,COLUMN())),"N/A")</f>
        <v>N/A</v>
      </c>
      <c r="BG911" s="464" t="str">
        <f t="array" aca="1" ref="BG911" ca="1">IFERROR(_xll.TR(MO.Ticker.Thomson,"AVG(TR.Priceclose)","sdate:#1 edate:#2",,INDEX(MO_SNA_FPStartDate,0,COLUMN()),INDEX(MO_Common_QEndDate,0,COLUMN())),"N/A")</f>
        <v>N/A</v>
      </c>
      <c r="BH911" s="464" t="str">
        <f t="array" aca="1" ref="BH911" ca="1">IFERROR(_xll.TR(MO.Ticker.Thomson,"AVG(TR.Priceclose)","sdate:#1 edate:#2",,INDEX(MO_SNA_FPStartDate,0,COLUMN()),INDEX(MO_Common_QEndDate,0,COLUMN())),"N/A")</f>
        <v>N/A</v>
      </c>
      <c r="BI911" s="564" t="str">
        <f t="array" aca="1" ref="BI911" ca="1">IFERROR(_xll.TR(MO.Ticker.Thomson,"AVG(TR.Priceclose)","sdate:#1 edate:#2",,INDEX(MO_SNA_FPStartDate,0,COLUMN()),INDEX(MO_Common_QEndDate,0,COLUMN())),"N/A")</f>
        <v>N/A</v>
      </c>
      <c r="BJ911" s="464" t="str">
        <f t="array" aca="1" ref="BJ911" ca="1">IFERROR(_xll.TR(MO.Ticker.Thomson,"AVG(TR.Priceclose)","sdate:#1 edate:#2",,INDEX(MO_SNA_FPStartDate,0,COLUMN()),INDEX(MO_Common_QEndDate,0,COLUMN())),"N/A")</f>
        <v>N/A</v>
      </c>
      <c r="BK911" s="464" t="str">
        <f t="array" aca="1" ref="BK911" ca="1">IFERROR(_xll.TR(MO.Ticker.Thomson,"AVG(TR.Priceclose)","sdate:#1 edate:#2",,INDEX(MO_SNA_FPStartDate,0,COLUMN()),INDEX(MO_Common_QEndDate,0,COLUMN())),"N/A")</f>
        <v>N/A</v>
      </c>
      <c r="BL911" s="464" t="str">
        <f t="array" aca="1" ref="BL911" ca="1">IFERROR(_xll.TR(MO.Ticker.Thomson,"AVG(TR.Priceclose)","sdate:#1 edate:#2",,INDEX(MO_SNA_FPStartDate,0,COLUMN()),INDEX(MO_Common_QEndDate,0,COLUMN())),"N/A")</f>
        <v>N/A</v>
      </c>
      <c r="BM911" s="464" t="str">
        <f t="array" aca="1" ref="BM911" ca="1">IFERROR(_xll.TR(MO.Ticker.Thomson,"AVG(TR.Priceclose)","sdate:#1 edate:#2",,INDEX(MO_SNA_FPStartDate,0,COLUMN()),INDEX(MO_Common_QEndDate,0,COLUMN())),"N/A")</f>
        <v>N/A</v>
      </c>
      <c r="BN911" s="464" t="str">
        <f t="array" aca="1" ref="BN911" ca="1">IFERROR(_xll.TR(MO.Ticker.Thomson,"AVG(TR.Priceclose)","sdate:#1 edate:#2",,INDEX(MO_SNA_FPStartDate,0,COLUMN()),INDEX(MO_Common_QEndDate,0,COLUMN())),"N/A")</f>
        <v>N/A</v>
      </c>
      <c r="BO911" s="464" t="str">
        <f t="array" aca="1" ref="BO911" ca="1">IFERROR(_xll.TR(MO.Ticker.Thomson,"AVG(TR.Priceclose)","sdate:#1 edate:#2",,INDEX(MO_SNA_FPStartDate,0,COLUMN()),INDEX(MO_Common_QEndDate,0,COLUMN())),"N/A")</f>
        <v>N/A</v>
      </c>
      <c r="BP911" s="464" t="str">
        <f t="array" aca="1" ref="BP911" ca="1">IFERROR(_xll.TR(MO.Ticker.Thomson,"AVG(TR.Priceclose)","sdate:#1 edate:#2",,INDEX(MO_SNA_FPStartDate,0,COLUMN()),INDEX(MO_Common_QEndDate,0,COLUMN())),"N/A")</f>
        <v>N/A</v>
      </c>
      <c r="BQ911" s="464" t="str">
        <f t="array" aca="1" ref="BQ911" ca="1">IFERROR(_xll.TR(MO.Ticker.Thomson,"AVG(TR.Priceclose)","sdate:#1 edate:#2",,INDEX(MO_SNA_FPStartDate,0,COLUMN()),INDEX(MO_Common_QEndDate,0,COLUMN())),"N/A")</f>
        <v>N/A</v>
      </c>
      <c r="BR911" s="464" t="str">
        <f t="array" aca="1" ref="BR911" ca="1">IFERROR(_xll.TR(MO.Ticker.Thomson,"AVG(TR.Priceclose)","sdate:#1 edate:#2",,INDEX(MO_SNA_FPStartDate,0,COLUMN()),INDEX(MO_Common_QEndDate,0,COLUMN())),"N/A")</f>
        <v>N/A</v>
      </c>
      <c r="BS911" s="464" t="str">
        <f t="array" aca="1" ref="BS911" ca="1">IFERROR(_xll.TR(MO.Ticker.Thomson,"AVG(TR.Priceclose)","sdate:#1 edate:#2",,INDEX(MO_SNA_FPStartDate,0,COLUMN()),INDEX(MO_Common_QEndDate,0,COLUMN())),"N/A")</f>
        <v>N/A</v>
      </c>
      <c r="BT911" s="464" t="str">
        <f t="array" aca="1" ref="BT911" ca="1">IFERROR(_xll.TR(MO.Ticker.Thomson,"AVG(TR.Priceclose)","sdate:#1 edate:#2",,INDEX(MO_SNA_FPStartDate,0,COLUMN()),INDEX(MO_Common_QEndDate,0,COLUMN())),"N/A")</f>
        <v>N/A</v>
      </c>
      <c r="BU911" s="464" t="str">
        <f t="array" aca="1" ref="BU911" ca="1">IFERROR(_xll.TR(MO.Ticker.Thomson,"AVG(TR.Priceclose)","sdate:#1 edate:#2",,INDEX(MO_SNA_FPStartDate,0,COLUMN()),INDEX(MO_Common_QEndDate,0,COLUMN())),"N/A")</f>
        <v>N/A</v>
      </c>
      <c r="BV911" s="565" t="str">
        <f t="array" aca="1" ref="BV911" ca="1">IFERROR(_xll.TR(MO.Ticker.Thomson,"AVG(TR.Priceclose)","sdate:#1 edate:#2",,INDEX(MO_SNA_FPStartDate,0,COLUMN()),INDEX(MO_Common_QEndDate,0,COLUMN())),"N/A")</f>
        <v>N/A</v>
      </c>
      <c r="BW911" s="566"/>
    </row>
    <row r="912" spans="1:75" ht="15.75" hidden="1" customHeight="1" outlineLevel="1" x14ac:dyDescent="0.2">
      <c r="A912" s="56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10"/>
      <c r="BJ912" s="9"/>
      <c r="BK912" s="9"/>
      <c r="BL912" s="9"/>
      <c r="BM912" s="9"/>
      <c r="BN912" s="9"/>
      <c r="BO912" s="9"/>
      <c r="BP912" s="9"/>
      <c r="BQ912" s="9"/>
      <c r="BR912" s="9"/>
      <c r="BS912" s="9"/>
      <c r="BT912" s="9"/>
      <c r="BU912" s="9"/>
      <c r="BV912" s="570"/>
      <c r="BW912" s="552"/>
    </row>
    <row r="913" spans="1:75" ht="15.75" customHeight="1" collapsed="1" x14ac:dyDescent="0.2">
      <c r="A913" s="571" t="str">
        <f ca="1">"FX Average: "&amp;IF(OR(MO.RealTimeStockPriceToggle=FALSE,VLOOKUP(MO.DataSourceName,MO_SPT_FXAverage_Sources,COLUMN()+2,FALSE)="N/A"),"Real-Time Off Source",MO.DataSourceName)</f>
        <v>FX Average: Real-Time Off Source</v>
      </c>
      <c r="B913" s="477"/>
      <c r="C913" s="477">
        <f t="shared" ref="C913:AH913" ca="1" si="1826">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913" s="477">
        <f t="shared" ca="1" si="1826"/>
        <v>1</v>
      </c>
      <c r="E913" s="477">
        <f t="shared" ca="1" si="1826"/>
        <v>1</v>
      </c>
      <c r="F913" s="477">
        <f t="shared" ca="1" si="1826"/>
        <v>1</v>
      </c>
      <c r="G913" s="477">
        <f t="shared" ca="1" si="1826"/>
        <v>1</v>
      </c>
      <c r="H913" s="477">
        <f t="shared" ca="1" si="1826"/>
        <v>1</v>
      </c>
      <c r="I913" s="477">
        <f t="shared" ca="1" si="1826"/>
        <v>1</v>
      </c>
      <c r="J913" s="477">
        <f t="shared" ca="1" si="1826"/>
        <v>1</v>
      </c>
      <c r="K913" s="477">
        <f t="shared" ca="1" si="1826"/>
        <v>1</v>
      </c>
      <c r="L913" s="477">
        <f t="shared" ca="1" si="1826"/>
        <v>1</v>
      </c>
      <c r="M913" s="477">
        <f t="shared" ca="1" si="1826"/>
        <v>1</v>
      </c>
      <c r="N913" s="477">
        <f t="shared" ca="1" si="1826"/>
        <v>1</v>
      </c>
      <c r="O913" s="477">
        <f t="shared" ca="1" si="1826"/>
        <v>1</v>
      </c>
      <c r="P913" s="477">
        <f t="shared" ca="1" si="1826"/>
        <v>1</v>
      </c>
      <c r="Q913" s="477">
        <f t="shared" ca="1" si="1826"/>
        <v>1</v>
      </c>
      <c r="R913" s="477">
        <f t="shared" ca="1" si="1826"/>
        <v>1</v>
      </c>
      <c r="S913" s="477">
        <f t="shared" ca="1" si="1826"/>
        <v>1</v>
      </c>
      <c r="T913" s="477">
        <f t="shared" ca="1" si="1826"/>
        <v>1</v>
      </c>
      <c r="U913" s="477">
        <f t="shared" ca="1" si="1826"/>
        <v>1</v>
      </c>
      <c r="V913" s="477">
        <f t="shared" ca="1" si="1826"/>
        <v>1</v>
      </c>
      <c r="W913" s="477">
        <f t="shared" ca="1" si="1826"/>
        <v>1</v>
      </c>
      <c r="X913" s="477">
        <f t="shared" ca="1" si="1826"/>
        <v>1</v>
      </c>
      <c r="Y913" s="477">
        <f t="shared" ca="1" si="1826"/>
        <v>1</v>
      </c>
      <c r="Z913" s="477">
        <f t="shared" ca="1" si="1826"/>
        <v>1</v>
      </c>
      <c r="AA913" s="477">
        <f t="shared" ca="1" si="1826"/>
        <v>1</v>
      </c>
      <c r="AB913" s="477">
        <f t="shared" ca="1" si="1826"/>
        <v>1</v>
      </c>
      <c r="AC913" s="477">
        <f t="shared" ca="1" si="1826"/>
        <v>1</v>
      </c>
      <c r="AD913" s="477">
        <f t="shared" ca="1" si="1826"/>
        <v>1</v>
      </c>
      <c r="AE913" s="477">
        <f t="shared" ca="1" si="1826"/>
        <v>1</v>
      </c>
      <c r="AF913" s="477">
        <f t="shared" ca="1" si="1826"/>
        <v>1</v>
      </c>
      <c r="AG913" s="477">
        <f t="shared" ca="1" si="1826"/>
        <v>1</v>
      </c>
      <c r="AH913" s="477">
        <f t="shared" ca="1" si="1826"/>
        <v>1</v>
      </c>
      <c r="AI913" s="477">
        <f t="shared" ref="AI913:BN913" ca="1" si="1827">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913" s="477">
        <f t="shared" ca="1" si="1827"/>
        <v>1</v>
      </c>
      <c r="AK913" s="477">
        <f t="shared" ca="1" si="1827"/>
        <v>1</v>
      </c>
      <c r="AL913" s="477">
        <f t="shared" ca="1" si="1827"/>
        <v>1</v>
      </c>
      <c r="AM913" s="477">
        <f t="shared" ca="1" si="1827"/>
        <v>1</v>
      </c>
      <c r="AN913" s="477">
        <f t="shared" ca="1" si="1827"/>
        <v>1</v>
      </c>
      <c r="AO913" s="477">
        <f t="shared" ca="1" si="1827"/>
        <v>1</v>
      </c>
      <c r="AP913" s="477">
        <f t="shared" ca="1" si="1827"/>
        <v>1</v>
      </c>
      <c r="AQ913" s="477">
        <f t="shared" ca="1" si="1827"/>
        <v>1</v>
      </c>
      <c r="AR913" s="477">
        <f t="shared" ca="1" si="1827"/>
        <v>1</v>
      </c>
      <c r="AS913" s="477">
        <f t="shared" ca="1" si="1827"/>
        <v>1</v>
      </c>
      <c r="AT913" s="477">
        <f t="shared" ca="1" si="1827"/>
        <v>1</v>
      </c>
      <c r="AU913" s="477">
        <f t="shared" ca="1" si="1827"/>
        <v>1</v>
      </c>
      <c r="AV913" s="477">
        <f t="shared" ca="1" si="1827"/>
        <v>1</v>
      </c>
      <c r="AW913" s="477">
        <f t="shared" ca="1" si="1827"/>
        <v>1</v>
      </c>
      <c r="AX913" s="477">
        <f t="shared" ca="1" si="1827"/>
        <v>1</v>
      </c>
      <c r="AY913" s="477">
        <f t="shared" ca="1" si="1827"/>
        <v>1</v>
      </c>
      <c r="AZ913" s="477">
        <f t="shared" ca="1" si="1827"/>
        <v>1</v>
      </c>
      <c r="BA913" s="477">
        <f t="shared" ca="1" si="1827"/>
        <v>1</v>
      </c>
      <c r="BB913" s="477">
        <f t="shared" ca="1" si="1827"/>
        <v>1</v>
      </c>
      <c r="BC913" s="477">
        <f t="shared" ca="1" si="1827"/>
        <v>1</v>
      </c>
      <c r="BD913" s="477">
        <f t="shared" ca="1" si="1827"/>
        <v>1</v>
      </c>
      <c r="BE913" s="477">
        <f t="shared" ca="1" si="1827"/>
        <v>1</v>
      </c>
      <c r="BF913" s="477">
        <f t="shared" ca="1" si="1827"/>
        <v>1</v>
      </c>
      <c r="BG913" s="477">
        <f t="shared" ca="1" si="1827"/>
        <v>1</v>
      </c>
      <c r="BH913" s="477">
        <f t="shared" ca="1" si="1827"/>
        <v>1</v>
      </c>
      <c r="BI913" s="572">
        <f t="shared" ca="1" si="1827"/>
        <v>1</v>
      </c>
      <c r="BJ913" s="477">
        <f t="shared" ca="1" si="1827"/>
        <v>1</v>
      </c>
      <c r="BK913" s="477">
        <f t="shared" ca="1" si="1827"/>
        <v>1</v>
      </c>
      <c r="BL913" s="477">
        <f t="shared" ca="1" si="1827"/>
        <v>1</v>
      </c>
      <c r="BM913" s="477">
        <f t="shared" ca="1" si="1827"/>
        <v>1</v>
      </c>
      <c r="BN913" s="477">
        <f t="shared" ca="1" si="1827"/>
        <v>1</v>
      </c>
      <c r="BO913" s="477">
        <f t="shared" ref="BO913:BV913" ca="1" si="1828">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P913" s="477">
        <f t="shared" ca="1" si="1828"/>
        <v>1</v>
      </c>
      <c r="BQ913" s="477">
        <f t="shared" ca="1" si="1828"/>
        <v>1</v>
      </c>
      <c r="BR913" s="477">
        <f t="shared" ca="1" si="1828"/>
        <v>1</v>
      </c>
      <c r="BS913" s="477">
        <f t="shared" ca="1" si="1828"/>
        <v>1</v>
      </c>
      <c r="BT913" s="477">
        <f t="shared" ca="1" si="1828"/>
        <v>1</v>
      </c>
      <c r="BU913" s="477">
        <f t="shared" ca="1" si="1828"/>
        <v>1</v>
      </c>
      <c r="BV913" s="573">
        <f t="shared" ca="1" si="1828"/>
        <v>1</v>
      </c>
      <c r="BW913" s="574"/>
    </row>
    <row r="914" spans="1:75" ht="15.75" hidden="1" customHeight="1" outlineLevel="1" x14ac:dyDescent="0.2">
      <c r="A914" s="571" t="s">
        <v>934</v>
      </c>
      <c r="B914" s="477"/>
      <c r="C914" s="575">
        <v>1</v>
      </c>
      <c r="D914" s="575">
        <v>1</v>
      </c>
      <c r="E914" s="575">
        <v>1</v>
      </c>
      <c r="F914" s="575">
        <v>1</v>
      </c>
      <c r="G914" s="575">
        <v>1</v>
      </c>
      <c r="H914" s="575">
        <v>1</v>
      </c>
      <c r="I914" s="575">
        <v>1</v>
      </c>
      <c r="J914" s="575">
        <v>1</v>
      </c>
      <c r="K914" s="575">
        <v>1</v>
      </c>
      <c r="L914" s="575">
        <v>1</v>
      </c>
      <c r="M914" s="575">
        <v>1</v>
      </c>
      <c r="N914" s="575">
        <v>1</v>
      </c>
      <c r="O914" s="575">
        <v>1</v>
      </c>
      <c r="P914" s="575">
        <v>1</v>
      </c>
      <c r="Q914" s="575">
        <v>1</v>
      </c>
      <c r="R914" s="575">
        <v>1</v>
      </c>
      <c r="S914" s="575">
        <v>1</v>
      </c>
      <c r="T914" s="575">
        <v>1</v>
      </c>
      <c r="U914" s="575">
        <v>1</v>
      </c>
      <c r="V914" s="575">
        <v>1</v>
      </c>
      <c r="W914" s="575">
        <v>1</v>
      </c>
      <c r="X914" s="575">
        <v>1</v>
      </c>
      <c r="Y914" s="575">
        <v>1</v>
      </c>
      <c r="Z914" s="575">
        <v>1</v>
      </c>
      <c r="AA914" s="575">
        <v>1</v>
      </c>
      <c r="AB914" s="575">
        <v>1</v>
      </c>
      <c r="AC914" s="575">
        <v>1</v>
      </c>
      <c r="AD914" s="575">
        <v>1</v>
      </c>
      <c r="AE914" s="575">
        <v>1</v>
      </c>
      <c r="AF914" s="575">
        <v>1</v>
      </c>
      <c r="AG914" s="575">
        <v>1</v>
      </c>
      <c r="AH914" s="575">
        <v>1</v>
      </c>
      <c r="AI914" s="575">
        <v>1</v>
      </c>
      <c r="AJ914" s="575">
        <v>1</v>
      </c>
      <c r="AK914" s="575">
        <v>1</v>
      </c>
      <c r="AL914" s="575">
        <v>1</v>
      </c>
      <c r="AM914" s="575">
        <v>1</v>
      </c>
      <c r="AN914" s="575">
        <v>1</v>
      </c>
      <c r="AO914" s="575">
        <v>1</v>
      </c>
      <c r="AP914" s="575">
        <v>1</v>
      </c>
      <c r="AQ914" s="575">
        <v>1</v>
      </c>
      <c r="AR914" s="575">
        <v>1</v>
      </c>
      <c r="AS914" s="575">
        <v>1</v>
      </c>
      <c r="AT914" s="575">
        <v>1</v>
      </c>
      <c r="AU914" s="575">
        <v>1</v>
      </c>
      <c r="AV914" s="575">
        <v>1</v>
      </c>
      <c r="AW914" s="575">
        <v>1</v>
      </c>
      <c r="AX914" s="575">
        <v>1</v>
      </c>
      <c r="AY914" s="575">
        <v>1</v>
      </c>
      <c r="AZ914" s="575">
        <v>1</v>
      </c>
      <c r="BA914" s="575">
        <v>1</v>
      </c>
      <c r="BB914" s="575">
        <v>1</v>
      </c>
      <c r="BC914" s="575">
        <v>1</v>
      </c>
      <c r="BD914" s="575">
        <v>1</v>
      </c>
      <c r="BE914" s="575">
        <v>1</v>
      </c>
      <c r="BF914" s="575">
        <v>1</v>
      </c>
      <c r="BG914" s="575">
        <v>1</v>
      </c>
      <c r="BH914" s="575">
        <v>1</v>
      </c>
      <c r="BI914" s="576">
        <v>1</v>
      </c>
      <c r="BJ914" s="477">
        <f t="shared" ref="BJ914:BV914" si="1829">MO.MRFX.Hardcoded</f>
        <v>1</v>
      </c>
      <c r="BK914" s="477">
        <f t="shared" si="1829"/>
        <v>1</v>
      </c>
      <c r="BL914" s="477">
        <f t="shared" si="1829"/>
        <v>1</v>
      </c>
      <c r="BM914" s="477">
        <f t="shared" si="1829"/>
        <v>1</v>
      </c>
      <c r="BN914" s="477">
        <f t="shared" si="1829"/>
        <v>1</v>
      </c>
      <c r="BO914" s="477">
        <f t="shared" si="1829"/>
        <v>1</v>
      </c>
      <c r="BP914" s="477">
        <f t="shared" si="1829"/>
        <v>1</v>
      </c>
      <c r="BQ914" s="477">
        <f t="shared" si="1829"/>
        <v>1</v>
      </c>
      <c r="BR914" s="477">
        <f t="shared" si="1829"/>
        <v>1</v>
      </c>
      <c r="BS914" s="477">
        <f t="shared" si="1829"/>
        <v>1</v>
      </c>
      <c r="BT914" s="477">
        <f t="shared" si="1829"/>
        <v>1</v>
      </c>
      <c r="BU914" s="477">
        <f t="shared" si="1829"/>
        <v>1</v>
      </c>
      <c r="BV914" s="573">
        <f t="shared" si="1829"/>
        <v>1</v>
      </c>
      <c r="BW914" s="574"/>
    </row>
    <row r="915" spans="1:75" ht="15.75" hidden="1" customHeight="1" outlineLevel="1" x14ac:dyDescent="0.2">
      <c r="A915" s="571" t="s">
        <v>935</v>
      </c>
      <c r="B915" s="477"/>
      <c r="C915" s="477" t="str">
        <f t="array" aca="1" ref="C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D915" s="477" t="str">
        <f t="array" aca="1" ref="D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E915" s="477" t="str">
        <f t="array" aca="1" ref="E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F915" s="477" t="str">
        <f t="array" aca="1" ref="F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G915" s="477" t="str">
        <f t="array" aca="1" ref="G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H915" s="477" t="str">
        <f t="array" aca="1" ref="H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I915" s="477" t="str">
        <f t="array" aca="1" ref="I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J915" s="477" t="str">
        <f t="array" aca="1" ref="J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K915" s="477" t="str">
        <f t="array" aca="1" ref="K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L915" s="477" t="str">
        <f t="array" aca="1" ref="L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M915" s="477" t="str">
        <f t="array" aca="1" ref="M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N915" s="477" t="str">
        <f t="array" aca="1" ref="N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O915" s="477" t="str">
        <f t="array" aca="1" ref="O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P915" s="477" t="str">
        <f t="array" aca="1" ref="P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Q915" s="477" t="str">
        <f t="array" aca="1" ref="Q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R915" s="477" t="str">
        <f t="array" aca="1" ref="R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S915" s="477" t="str">
        <f t="array" aca="1" ref="S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T915" s="477" t="str">
        <f t="array" aca="1" ref="T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U915" s="477" t="str">
        <f t="array" aca="1" ref="U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V915" s="477" t="str">
        <f t="array" aca="1" ref="V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W915" s="477" t="str">
        <f t="array" aca="1" ref="W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X915" s="477" t="str">
        <f t="array" aca="1" ref="X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Y915" s="477" t="str">
        <f t="array" aca="1" ref="Y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Z915" s="477" t="str">
        <f t="array" aca="1" ref="Z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A915" s="477" t="str">
        <f t="array" aca="1" ref="AA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B915" s="477" t="str">
        <f t="array" aca="1" ref="AB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C915" s="477" t="str">
        <f t="array" aca="1" ref="AC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D915" s="477" t="str">
        <f t="array" aca="1" ref="AD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E915" s="477" t="str">
        <f t="array" aca="1" ref="AE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F915" s="477" t="str">
        <f t="array" aca="1" ref="AF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G915" s="477" t="str">
        <f t="array" aca="1" ref="AG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H915" s="477" t="str">
        <f t="array" aca="1" ref="AH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I915" s="477" t="str">
        <f t="array" aca="1" ref="AI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J915" s="477" t="str">
        <f t="array" aca="1" ref="AJ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K915" s="477" t="str">
        <f t="array" aca="1" ref="AK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L915" s="477" t="str">
        <f t="array" aca="1" ref="AL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M915" s="477" t="str">
        <f t="array" aca="1" ref="AM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N915" s="477" t="str">
        <f t="array" aca="1" ref="AN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O915" s="477" t="str">
        <f t="array" aca="1" ref="AO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P915" s="477" t="str">
        <f t="array" aca="1" ref="AP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Q915" s="477" t="str">
        <f t="array" aca="1" ref="AQ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R915" s="477" t="str">
        <f t="array" aca="1" ref="AR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S915" s="477" t="str">
        <f t="array" aca="1" ref="AS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T915" s="477" t="str">
        <f t="array" aca="1" ref="AT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U915" s="477" t="str">
        <f t="array" aca="1" ref="AU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V915" s="477" t="str">
        <f t="array" aca="1" ref="AV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W915" s="477" t="str">
        <f t="array" aca="1" ref="AW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X915" s="477" t="str">
        <f t="array" aca="1" ref="AX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Y915" s="477" t="str">
        <f t="array" aca="1" ref="AY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Z915" s="477" t="str">
        <f t="array" aca="1" ref="AZ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A915" s="477" t="str">
        <f t="array" aca="1" ref="BA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B915" s="477" t="str">
        <f t="array" aca="1" ref="BB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C915" s="477" t="str">
        <f t="array" aca="1" ref="BC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D915" s="477" t="str">
        <f t="array" aca="1" ref="BD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E915" s="477" t="str">
        <f t="array" aca="1" ref="BE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F915" s="477" t="str">
        <f t="array" aca="1" ref="BF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G915" s="477" t="str">
        <f t="array" aca="1" ref="BG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H915" s="477" t="str">
        <f t="array" aca="1" ref="BH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I915" s="572" t="str">
        <f t="array" aca="1" ref="BI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J915" s="477" t="str">
        <f t="array" aca="1" ref="BJ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K915" s="477" t="str">
        <f t="array" aca="1" ref="BK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L915" s="477" t="str">
        <f t="array" aca="1" ref="BL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M915" s="477" t="str">
        <f t="array" aca="1" ref="BM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N915" s="477" t="str">
        <f t="array" aca="1" ref="BN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O915" s="477" t="str">
        <f t="array" aca="1" ref="BO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P915" s="477" t="str">
        <f t="array" aca="1" ref="BP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Q915" s="477" t="str">
        <f t="array" aca="1" ref="BQ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R915" s="477" t="str">
        <f t="array" aca="1" ref="BR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S915" s="477" t="str">
        <f t="array" aca="1" ref="BS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T915" s="477" t="str">
        <f t="array" aca="1" ref="BT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U915" s="477" t="str">
        <f t="array" aca="1" ref="BU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V915" s="573" t="str">
        <f t="array" aca="1" ref="BV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W915" s="574"/>
    </row>
    <row r="916" spans="1:75" ht="15.75" hidden="1" customHeight="1" outlineLevel="1" x14ac:dyDescent="0.2">
      <c r="A916" s="571" t="s">
        <v>936</v>
      </c>
      <c r="B916" s="477"/>
      <c r="C916" s="477" t="str">
        <f t="array" aca="1" ref="C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D916" s="477" t="str">
        <f t="array" aca="1" ref="D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E916" s="477" t="str">
        <f t="array" aca="1" ref="E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F916" s="477" t="str">
        <f t="array" aca="1" ref="F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G916" s="477" t="str">
        <f t="array" aca="1" ref="G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H916" s="477" t="str">
        <f t="array" aca="1" ref="H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I916" s="477" t="str">
        <f t="array" aca="1" ref="I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J916" s="477" t="str">
        <f t="array" aca="1" ref="J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K916" s="477" t="str">
        <f t="array" aca="1" ref="K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L916" s="477" t="str">
        <f t="array" aca="1" ref="L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M916" s="477" t="str">
        <f t="array" aca="1" ref="M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N916" s="477" t="str">
        <f t="array" aca="1" ref="N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O916" s="477" t="str">
        <f t="array" aca="1" ref="O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P916" s="477" t="str">
        <f t="array" aca="1" ref="P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Q916" s="477" t="str">
        <f t="array" aca="1" ref="Q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R916" s="477" t="str">
        <f t="array" aca="1" ref="R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S916" s="477" t="str">
        <f t="array" aca="1" ref="S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T916" s="477" t="str">
        <f t="array" aca="1" ref="T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U916" s="477" t="str">
        <f t="array" aca="1" ref="U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V916" s="477" t="str">
        <f t="array" aca="1" ref="V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W916" s="477" t="str">
        <f t="array" aca="1" ref="W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X916" s="477" t="str">
        <f t="array" aca="1" ref="X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Y916" s="477" t="str">
        <f t="array" aca="1" ref="Y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Z916" s="477" t="str">
        <f t="array" aca="1" ref="Z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A916" s="477" t="str">
        <f t="array" aca="1" ref="AA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B916" s="477" t="str">
        <f t="array" aca="1" ref="AB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C916" s="477" t="str">
        <f t="array" aca="1" ref="AC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D916" s="477" t="str">
        <f t="array" aca="1" ref="AD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E916" s="477" t="str">
        <f t="array" aca="1" ref="AE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F916" s="477" t="str">
        <f t="array" aca="1" ref="AF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G916" s="477" t="str">
        <f t="array" aca="1" ref="AG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H916" s="477" t="str">
        <f t="array" aca="1" ref="AH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I916" s="477" t="str">
        <f t="array" aca="1" ref="AI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J916" s="477" t="str">
        <f t="array" aca="1" ref="AJ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K916" s="477" t="str">
        <f t="array" aca="1" ref="AK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L916" s="477" t="str">
        <f t="array" aca="1" ref="AL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M916" s="477" t="str">
        <f t="array" aca="1" ref="AM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N916" s="477" t="str">
        <f t="array" aca="1" ref="AN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O916" s="477" t="str">
        <f t="array" aca="1" ref="AO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P916" s="477" t="str">
        <f t="array" aca="1" ref="AP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Q916" s="477" t="str">
        <f t="array" aca="1" ref="AQ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R916" s="477" t="str">
        <f t="array" aca="1" ref="AR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S916" s="477" t="str">
        <f t="array" aca="1" ref="AS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T916" s="477" t="str">
        <f t="array" aca="1" ref="AT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U916" s="477" t="str">
        <f t="array" aca="1" ref="AU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V916" s="477" t="str">
        <f t="array" aca="1" ref="AV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W916" s="477" t="str">
        <f t="array" aca="1" ref="AW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X916" s="477" t="str">
        <f t="array" aca="1" ref="AX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Y916" s="477" t="str">
        <f t="array" aca="1" ref="AY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Z916" s="477" t="str">
        <f t="array" aca="1" ref="AZ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A916" s="477" t="str">
        <f t="array" aca="1" ref="BA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B916" s="477" t="str">
        <f t="array" aca="1" ref="BB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C916" s="477" t="str">
        <f t="array" aca="1" ref="BC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D916" s="477" t="str">
        <f t="array" aca="1" ref="BD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E916" s="477" t="str">
        <f t="array" aca="1" ref="BE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F916" s="477" t="str">
        <f t="array" aca="1" ref="BF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G916" s="477" t="str">
        <f t="array" aca="1" ref="BG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H916" s="477" t="str">
        <f t="array" aca="1" ref="BH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I916" s="572" t="str">
        <f t="array" aca="1" ref="BI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J916" s="477" t="str">
        <f t="array" aca="1" ref="BJ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K916" s="477" t="str">
        <f t="array" aca="1" ref="BK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L916" s="477" t="str">
        <f t="array" aca="1" ref="BL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M916" s="477" t="str">
        <f t="array" aca="1" ref="BM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N916" s="477" t="str">
        <f t="array" aca="1" ref="BN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O916" s="477" t="str">
        <f t="array" aca="1" ref="BO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P916" s="477" t="str">
        <f t="array" aca="1" ref="BP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Q916" s="477" t="str">
        <f t="array" aca="1" ref="BQ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R916" s="477" t="str">
        <f t="array" aca="1" ref="BR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S916" s="477" t="str">
        <f t="array" aca="1" ref="BS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T916" s="477" t="str">
        <f t="array" aca="1" ref="BT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U916" s="477" t="str">
        <f t="array" aca="1" ref="BU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V916" s="573" t="str">
        <f t="array" aca="1" ref="BV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W916" s="574"/>
    </row>
    <row r="917" spans="1:75" ht="15.75" hidden="1" customHeight="1" outlineLevel="1" x14ac:dyDescent="0.2">
      <c r="A917" s="571" t="s">
        <v>937</v>
      </c>
      <c r="B917" s="477"/>
      <c r="C917" s="477" t="str">
        <f t="array" aca="1" ref="C917" ca="1">IFERROR(IF(INDEX(MO_Common_QEndDate,0,COLUMN())&gt;TODAY(),FDS(MO.ReportCurrency&amp;HP.TradeCurrency,"FG_PRICE(NOW)"),FDS(MO.ReportCurrency&amp;HP.TradeCurrency,"P_PRICE_AVG("&amp;INDEX(MO_SNA_FPStartDate,0,COLUMN())&amp;","&amp;INDEX(MO_Common_QEndDate,0,COLUMN())&amp;",,,,0)")),"N/A")</f>
        <v>N/A</v>
      </c>
      <c r="D917" s="477" t="str">
        <f t="array" aca="1" ref="D917" ca="1">IFERROR(IF(INDEX(MO_Common_QEndDate,0,COLUMN())&gt;TODAY(),FDS(MO.ReportCurrency&amp;HP.TradeCurrency,"FG_PRICE(NOW)"),FDS(MO.ReportCurrency&amp;HP.TradeCurrency,"P_PRICE_AVG("&amp;INDEX(MO_SNA_FPStartDate,0,COLUMN())&amp;","&amp;INDEX(MO_Common_QEndDate,0,COLUMN())&amp;",,,,0)")),"N/A")</f>
        <v>N/A</v>
      </c>
      <c r="E917" s="477" t="str">
        <f t="array" aca="1" ref="E917" ca="1">IFERROR(IF(INDEX(MO_Common_QEndDate,0,COLUMN())&gt;TODAY(),FDS(MO.ReportCurrency&amp;HP.TradeCurrency,"FG_PRICE(NOW)"),FDS(MO.ReportCurrency&amp;HP.TradeCurrency,"P_PRICE_AVG("&amp;INDEX(MO_SNA_FPStartDate,0,COLUMN())&amp;","&amp;INDEX(MO_Common_QEndDate,0,COLUMN())&amp;",,,,0)")),"N/A")</f>
        <v>N/A</v>
      </c>
      <c r="F917" s="477" t="str">
        <f t="array" aca="1" ref="F917" ca="1">IFERROR(IF(INDEX(MO_Common_QEndDate,0,COLUMN())&gt;TODAY(),FDS(MO.ReportCurrency&amp;HP.TradeCurrency,"FG_PRICE(NOW)"),FDS(MO.ReportCurrency&amp;HP.TradeCurrency,"P_PRICE_AVG("&amp;INDEX(MO_SNA_FPStartDate,0,COLUMN())&amp;","&amp;INDEX(MO_Common_QEndDate,0,COLUMN())&amp;",,,,0)")),"N/A")</f>
        <v>N/A</v>
      </c>
      <c r="G917" s="477" t="str">
        <f t="array" aca="1" ref="G917" ca="1">IFERROR(IF(INDEX(MO_Common_QEndDate,0,COLUMN())&gt;TODAY(),FDS(MO.ReportCurrency&amp;HP.TradeCurrency,"FG_PRICE(NOW)"),FDS(MO.ReportCurrency&amp;HP.TradeCurrency,"P_PRICE_AVG("&amp;INDEX(MO_SNA_FPStartDate,0,COLUMN())&amp;","&amp;INDEX(MO_Common_QEndDate,0,COLUMN())&amp;",,,,0)")),"N/A")</f>
        <v>N/A</v>
      </c>
      <c r="H917" s="477" t="str">
        <f t="array" aca="1" ref="H917" ca="1">IFERROR(IF(INDEX(MO_Common_QEndDate,0,COLUMN())&gt;TODAY(),FDS(MO.ReportCurrency&amp;HP.TradeCurrency,"FG_PRICE(NOW)"),FDS(MO.ReportCurrency&amp;HP.TradeCurrency,"P_PRICE_AVG("&amp;INDEX(MO_SNA_FPStartDate,0,COLUMN())&amp;","&amp;INDEX(MO_Common_QEndDate,0,COLUMN())&amp;",,,,0)")),"N/A")</f>
        <v>N/A</v>
      </c>
      <c r="I917" s="477" t="str">
        <f t="array" aca="1" ref="I917" ca="1">IFERROR(IF(INDEX(MO_Common_QEndDate,0,COLUMN())&gt;TODAY(),FDS(MO.ReportCurrency&amp;HP.TradeCurrency,"FG_PRICE(NOW)"),FDS(MO.ReportCurrency&amp;HP.TradeCurrency,"P_PRICE_AVG("&amp;INDEX(MO_SNA_FPStartDate,0,COLUMN())&amp;","&amp;INDEX(MO_Common_QEndDate,0,COLUMN())&amp;",,,,0)")),"N/A")</f>
        <v>N/A</v>
      </c>
      <c r="J917" s="477" t="str">
        <f t="array" aca="1" ref="J917" ca="1">IFERROR(IF(INDEX(MO_Common_QEndDate,0,COLUMN())&gt;TODAY(),FDS(MO.ReportCurrency&amp;HP.TradeCurrency,"FG_PRICE(NOW)"),FDS(MO.ReportCurrency&amp;HP.TradeCurrency,"P_PRICE_AVG("&amp;INDEX(MO_SNA_FPStartDate,0,COLUMN())&amp;","&amp;INDEX(MO_Common_QEndDate,0,COLUMN())&amp;",,,,0)")),"N/A")</f>
        <v>N/A</v>
      </c>
      <c r="K917" s="477" t="str">
        <f t="array" aca="1" ref="K917" ca="1">IFERROR(IF(INDEX(MO_Common_QEndDate,0,COLUMN())&gt;TODAY(),FDS(MO.ReportCurrency&amp;HP.TradeCurrency,"FG_PRICE(NOW)"),FDS(MO.ReportCurrency&amp;HP.TradeCurrency,"P_PRICE_AVG("&amp;INDEX(MO_SNA_FPStartDate,0,COLUMN())&amp;","&amp;INDEX(MO_Common_QEndDate,0,COLUMN())&amp;",,,,0)")),"N/A")</f>
        <v>N/A</v>
      </c>
      <c r="L917" s="477" t="str">
        <f t="array" aca="1" ref="L917" ca="1">IFERROR(IF(INDEX(MO_Common_QEndDate,0,COLUMN())&gt;TODAY(),FDS(MO.ReportCurrency&amp;HP.TradeCurrency,"FG_PRICE(NOW)"),FDS(MO.ReportCurrency&amp;HP.TradeCurrency,"P_PRICE_AVG("&amp;INDEX(MO_SNA_FPStartDate,0,COLUMN())&amp;","&amp;INDEX(MO_Common_QEndDate,0,COLUMN())&amp;",,,,0)")),"N/A")</f>
        <v>N/A</v>
      </c>
      <c r="M917" s="477" t="str">
        <f t="array" aca="1" ref="M917" ca="1">IFERROR(IF(INDEX(MO_Common_QEndDate,0,COLUMN())&gt;TODAY(),FDS(MO.ReportCurrency&amp;HP.TradeCurrency,"FG_PRICE(NOW)"),FDS(MO.ReportCurrency&amp;HP.TradeCurrency,"P_PRICE_AVG("&amp;INDEX(MO_SNA_FPStartDate,0,COLUMN())&amp;","&amp;INDEX(MO_Common_QEndDate,0,COLUMN())&amp;",,,,0)")),"N/A")</f>
        <v>N/A</v>
      </c>
      <c r="N917" s="477" t="str">
        <f t="array" aca="1" ref="N917" ca="1">IFERROR(IF(INDEX(MO_Common_QEndDate,0,COLUMN())&gt;TODAY(),FDS(MO.ReportCurrency&amp;HP.TradeCurrency,"FG_PRICE(NOW)"),FDS(MO.ReportCurrency&amp;HP.TradeCurrency,"P_PRICE_AVG("&amp;INDEX(MO_SNA_FPStartDate,0,COLUMN())&amp;","&amp;INDEX(MO_Common_QEndDate,0,COLUMN())&amp;",,,,0)")),"N/A")</f>
        <v>N/A</v>
      </c>
      <c r="O917" s="477" t="str">
        <f t="array" aca="1" ref="O917" ca="1">IFERROR(IF(INDEX(MO_Common_QEndDate,0,COLUMN())&gt;TODAY(),FDS(MO.ReportCurrency&amp;HP.TradeCurrency,"FG_PRICE(NOW)"),FDS(MO.ReportCurrency&amp;HP.TradeCurrency,"P_PRICE_AVG("&amp;INDEX(MO_SNA_FPStartDate,0,COLUMN())&amp;","&amp;INDEX(MO_Common_QEndDate,0,COLUMN())&amp;",,,,0)")),"N/A")</f>
        <v>N/A</v>
      </c>
      <c r="P917" s="477" t="str">
        <f t="array" aca="1" ref="P917" ca="1">IFERROR(IF(INDEX(MO_Common_QEndDate,0,COLUMN())&gt;TODAY(),FDS(MO.ReportCurrency&amp;HP.TradeCurrency,"FG_PRICE(NOW)"),FDS(MO.ReportCurrency&amp;HP.TradeCurrency,"P_PRICE_AVG("&amp;INDEX(MO_SNA_FPStartDate,0,COLUMN())&amp;","&amp;INDEX(MO_Common_QEndDate,0,COLUMN())&amp;",,,,0)")),"N/A")</f>
        <v>N/A</v>
      </c>
      <c r="Q917" s="477" t="str">
        <f t="array" aca="1" ref="Q917" ca="1">IFERROR(IF(INDEX(MO_Common_QEndDate,0,COLUMN())&gt;TODAY(),FDS(MO.ReportCurrency&amp;HP.TradeCurrency,"FG_PRICE(NOW)"),FDS(MO.ReportCurrency&amp;HP.TradeCurrency,"P_PRICE_AVG("&amp;INDEX(MO_SNA_FPStartDate,0,COLUMN())&amp;","&amp;INDEX(MO_Common_QEndDate,0,COLUMN())&amp;",,,,0)")),"N/A")</f>
        <v>N/A</v>
      </c>
      <c r="R917" s="477" t="str">
        <f t="array" aca="1" ref="R917" ca="1">IFERROR(IF(INDEX(MO_Common_QEndDate,0,COLUMN())&gt;TODAY(),FDS(MO.ReportCurrency&amp;HP.TradeCurrency,"FG_PRICE(NOW)"),FDS(MO.ReportCurrency&amp;HP.TradeCurrency,"P_PRICE_AVG("&amp;INDEX(MO_SNA_FPStartDate,0,COLUMN())&amp;","&amp;INDEX(MO_Common_QEndDate,0,COLUMN())&amp;",,,,0)")),"N/A")</f>
        <v>N/A</v>
      </c>
      <c r="S917" s="477" t="str">
        <f t="array" aca="1" ref="S917" ca="1">IFERROR(IF(INDEX(MO_Common_QEndDate,0,COLUMN())&gt;TODAY(),FDS(MO.ReportCurrency&amp;HP.TradeCurrency,"FG_PRICE(NOW)"),FDS(MO.ReportCurrency&amp;HP.TradeCurrency,"P_PRICE_AVG("&amp;INDEX(MO_SNA_FPStartDate,0,COLUMN())&amp;","&amp;INDEX(MO_Common_QEndDate,0,COLUMN())&amp;",,,,0)")),"N/A")</f>
        <v>N/A</v>
      </c>
      <c r="T917" s="477" t="str">
        <f t="array" aca="1" ref="T917" ca="1">IFERROR(IF(INDEX(MO_Common_QEndDate,0,COLUMN())&gt;TODAY(),FDS(MO.ReportCurrency&amp;HP.TradeCurrency,"FG_PRICE(NOW)"),FDS(MO.ReportCurrency&amp;HP.TradeCurrency,"P_PRICE_AVG("&amp;INDEX(MO_SNA_FPStartDate,0,COLUMN())&amp;","&amp;INDEX(MO_Common_QEndDate,0,COLUMN())&amp;",,,,0)")),"N/A")</f>
        <v>N/A</v>
      </c>
      <c r="U917" s="477" t="str">
        <f t="array" aca="1" ref="U917" ca="1">IFERROR(IF(INDEX(MO_Common_QEndDate,0,COLUMN())&gt;TODAY(),FDS(MO.ReportCurrency&amp;HP.TradeCurrency,"FG_PRICE(NOW)"),FDS(MO.ReportCurrency&amp;HP.TradeCurrency,"P_PRICE_AVG("&amp;INDEX(MO_SNA_FPStartDate,0,COLUMN())&amp;","&amp;INDEX(MO_Common_QEndDate,0,COLUMN())&amp;",,,,0)")),"N/A")</f>
        <v>N/A</v>
      </c>
      <c r="V917" s="477" t="str">
        <f t="array" aca="1" ref="V917" ca="1">IFERROR(IF(INDEX(MO_Common_QEndDate,0,COLUMN())&gt;TODAY(),FDS(MO.ReportCurrency&amp;HP.TradeCurrency,"FG_PRICE(NOW)"),FDS(MO.ReportCurrency&amp;HP.TradeCurrency,"P_PRICE_AVG("&amp;INDEX(MO_SNA_FPStartDate,0,COLUMN())&amp;","&amp;INDEX(MO_Common_QEndDate,0,COLUMN())&amp;",,,,0)")),"N/A")</f>
        <v>N/A</v>
      </c>
      <c r="W917" s="477" t="str">
        <f t="array" aca="1" ref="W917" ca="1">IFERROR(IF(INDEX(MO_Common_QEndDate,0,COLUMN())&gt;TODAY(),FDS(MO.ReportCurrency&amp;HP.TradeCurrency,"FG_PRICE(NOW)"),FDS(MO.ReportCurrency&amp;HP.TradeCurrency,"P_PRICE_AVG("&amp;INDEX(MO_SNA_FPStartDate,0,COLUMN())&amp;","&amp;INDEX(MO_Common_QEndDate,0,COLUMN())&amp;",,,,0)")),"N/A")</f>
        <v>N/A</v>
      </c>
      <c r="X917" s="477" t="str">
        <f t="array" aca="1" ref="X917" ca="1">IFERROR(IF(INDEX(MO_Common_QEndDate,0,COLUMN())&gt;TODAY(),FDS(MO.ReportCurrency&amp;HP.TradeCurrency,"FG_PRICE(NOW)"),FDS(MO.ReportCurrency&amp;HP.TradeCurrency,"P_PRICE_AVG("&amp;INDEX(MO_SNA_FPStartDate,0,COLUMN())&amp;","&amp;INDEX(MO_Common_QEndDate,0,COLUMN())&amp;",,,,0)")),"N/A")</f>
        <v>N/A</v>
      </c>
      <c r="Y917" s="477" t="str">
        <f t="array" aca="1" ref="Y917" ca="1">IFERROR(IF(INDEX(MO_Common_QEndDate,0,COLUMN())&gt;TODAY(),FDS(MO.ReportCurrency&amp;HP.TradeCurrency,"FG_PRICE(NOW)"),FDS(MO.ReportCurrency&amp;HP.TradeCurrency,"P_PRICE_AVG("&amp;INDEX(MO_SNA_FPStartDate,0,COLUMN())&amp;","&amp;INDEX(MO_Common_QEndDate,0,COLUMN())&amp;",,,,0)")),"N/A")</f>
        <v>N/A</v>
      </c>
      <c r="Z917" s="477" t="str">
        <f t="array" aca="1" ref="Z917" ca="1">IFERROR(IF(INDEX(MO_Common_QEndDate,0,COLUMN())&gt;TODAY(),FDS(MO.ReportCurrency&amp;HP.TradeCurrency,"FG_PRICE(NOW)"),FDS(MO.ReportCurrency&amp;HP.TradeCurrency,"P_PRICE_AVG("&amp;INDEX(MO_SNA_FPStartDate,0,COLUMN())&amp;","&amp;INDEX(MO_Common_QEndDate,0,COLUMN())&amp;",,,,0)")),"N/A")</f>
        <v>N/A</v>
      </c>
      <c r="AA917" s="477" t="str">
        <f t="array" aca="1" ref="AA917" ca="1">IFERROR(IF(INDEX(MO_Common_QEndDate,0,COLUMN())&gt;TODAY(),FDS(MO.ReportCurrency&amp;HP.TradeCurrency,"FG_PRICE(NOW)"),FDS(MO.ReportCurrency&amp;HP.TradeCurrency,"P_PRICE_AVG("&amp;INDEX(MO_SNA_FPStartDate,0,COLUMN())&amp;","&amp;INDEX(MO_Common_QEndDate,0,COLUMN())&amp;",,,,0)")),"N/A")</f>
        <v>N/A</v>
      </c>
      <c r="AB917" s="477" t="str">
        <f t="array" aca="1" ref="AB917" ca="1">IFERROR(IF(INDEX(MO_Common_QEndDate,0,COLUMN())&gt;TODAY(),FDS(MO.ReportCurrency&amp;HP.TradeCurrency,"FG_PRICE(NOW)"),FDS(MO.ReportCurrency&amp;HP.TradeCurrency,"P_PRICE_AVG("&amp;INDEX(MO_SNA_FPStartDate,0,COLUMN())&amp;","&amp;INDEX(MO_Common_QEndDate,0,COLUMN())&amp;",,,,0)")),"N/A")</f>
        <v>N/A</v>
      </c>
      <c r="AC917" s="477" t="str">
        <f t="array" aca="1" ref="AC917" ca="1">IFERROR(IF(INDEX(MO_Common_QEndDate,0,COLUMN())&gt;TODAY(),FDS(MO.ReportCurrency&amp;HP.TradeCurrency,"FG_PRICE(NOW)"),FDS(MO.ReportCurrency&amp;HP.TradeCurrency,"P_PRICE_AVG("&amp;INDEX(MO_SNA_FPStartDate,0,COLUMN())&amp;","&amp;INDEX(MO_Common_QEndDate,0,COLUMN())&amp;",,,,0)")),"N/A")</f>
        <v>N/A</v>
      </c>
      <c r="AD917" s="477" t="str">
        <f t="array" aca="1" ref="AD917" ca="1">IFERROR(IF(INDEX(MO_Common_QEndDate,0,COLUMN())&gt;TODAY(),FDS(MO.ReportCurrency&amp;HP.TradeCurrency,"FG_PRICE(NOW)"),FDS(MO.ReportCurrency&amp;HP.TradeCurrency,"P_PRICE_AVG("&amp;INDEX(MO_SNA_FPStartDate,0,COLUMN())&amp;","&amp;INDEX(MO_Common_QEndDate,0,COLUMN())&amp;",,,,0)")),"N/A")</f>
        <v>N/A</v>
      </c>
      <c r="AE917" s="477" t="str">
        <f t="array" aca="1" ref="AE917" ca="1">IFERROR(IF(INDEX(MO_Common_QEndDate,0,COLUMN())&gt;TODAY(),FDS(MO.ReportCurrency&amp;HP.TradeCurrency,"FG_PRICE(NOW)"),FDS(MO.ReportCurrency&amp;HP.TradeCurrency,"P_PRICE_AVG("&amp;INDEX(MO_SNA_FPStartDate,0,COLUMN())&amp;","&amp;INDEX(MO_Common_QEndDate,0,COLUMN())&amp;",,,,0)")),"N/A")</f>
        <v>N/A</v>
      </c>
      <c r="AF917" s="477" t="str">
        <f t="array" aca="1" ref="AF917" ca="1">IFERROR(IF(INDEX(MO_Common_QEndDate,0,COLUMN())&gt;TODAY(),FDS(MO.ReportCurrency&amp;HP.TradeCurrency,"FG_PRICE(NOW)"),FDS(MO.ReportCurrency&amp;HP.TradeCurrency,"P_PRICE_AVG("&amp;INDEX(MO_SNA_FPStartDate,0,COLUMN())&amp;","&amp;INDEX(MO_Common_QEndDate,0,COLUMN())&amp;",,,,0)")),"N/A")</f>
        <v>N/A</v>
      </c>
      <c r="AG917" s="477" t="str">
        <f t="array" aca="1" ref="AG917" ca="1">IFERROR(IF(INDEX(MO_Common_QEndDate,0,COLUMN())&gt;TODAY(),FDS(MO.ReportCurrency&amp;HP.TradeCurrency,"FG_PRICE(NOW)"),FDS(MO.ReportCurrency&amp;HP.TradeCurrency,"P_PRICE_AVG("&amp;INDEX(MO_SNA_FPStartDate,0,COLUMN())&amp;","&amp;INDEX(MO_Common_QEndDate,0,COLUMN())&amp;",,,,0)")),"N/A")</f>
        <v>N/A</v>
      </c>
      <c r="AH917" s="477" t="str">
        <f t="array" aca="1" ref="AH917" ca="1">IFERROR(IF(INDEX(MO_Common_QEndDate,0,COLUMN())&gt;TODAY(),FDS(MO.ReportCurrency&amp;HP.TradeCurrency,"FG_PRICE(NOW)"),FDS(MO.ReportCurrency&amp;HP.TradeCurrency,"P_PRICE_AVG("&amp;INDEX(MO_SNA_FPStartDate,0,COLUMN())&amp;","&amp;INDEX(MO_Common_QEndDate,0,COLUMN())&amp;",,,,0)")),"N/A")</f>
        <v>N/A</v>
      </c>
      <c r="AI917" s="477" t="str">
        <f t="array" aca="1" ref="AI917" ca="1">IFERROR(IF(INDEX(MO_Common_QEndDate,0,COLUMN())&gt;TODAY(),FDS(MO.ReportCurrency&amp;HP.TradeCurrency,"FG_PRICE(NOW)"),FDS(MO.ReportCurrency&amp;HP.TradeCurrency,"P_PRICE_AVG("&amp;INDEX(MO_SNA_FPStartDate,0,COLUMN())&amp;","&amp;INDEX(MO_Common_QEndDate,0,COLUMN())&amp;",,,,0)")),"N/A")</f>
        <v>N/A</v>
      </c>
      <c r="AJ917" s="477" t="str">
        <f t="array" aca="1" ref="AJ917" ca="1">IFERROR(IF(INDEX(MO_Common_QEndDate,0,COLUMN())&gt;TODAY(),FDS(MO.ReportCurrency&amp;HP.TradeCurrency,"FG_PRICE(NOW)"),FDS(MO.ReportCurrency&amp;HP.TradeCurrency,"P_PRICE_AVG("&amp;INDEX(MO_SNA_FPStartDate,0,COLUMN())&amp;","&amp;INDEX(MO_Common_QEndDate,0,COLUMN())&amp;",,,,0)")),"N/A")</f>
        <v>N/A</v>
      </c>
      <c r="AK917" s="477" t="str">
        <f t="array" aca="1" ref="AK917" ca="1">IFERROR(IF(INDEX(MO_Common_QEndDate,0,COLUMN())&gt;TODAY(),FDS(MO.ReportCurrency&amp;HP.TradeCurrency,"FG_PRICE(NOW)"),FDS(MO.ReportCurrency&amp;HP.TradeCurrency,"P_PRICE_AVG("&amp;INDEX(MO_SNA_FPStartDate,0,COLUMN())&amp;","&amp;INDEX(MO_Common_QEndDate,0,COLUMN())&amp;",,,,0)")),"N/A")</f>
        <v>N/A</v>
      </c>
      <c r="AL917" s="477" t="str">
        <f t="array" aca="1" ref="AL917" ca="1">IFERROR(IF(INDEX(MO_Common_QEndDate,0,COLUMN())&gt;TODAY(),FDS(MO.ReportCurrency&amp;HP.TradeCurrency,"FG_PRICE(NOW)"),FDS(MO.ReportCurrency&amp;HP.TradeCurrency,"P_PRICE_AVG("&amp;INDEX(MO_SNA_FPStartDate,0,COLUMN())&amp;","&amp;INDEX(MO_Common_QEndDate,0,COLUMN())&amp;",,,,0)")),"N/A")</f>
        <v>N/A</v>
      </c>
      <c r="AM917" s="477" t="str">
        <f t="array" aca="1" ref="AM917" ca="1">IFERROR(IF(INDEX(MO_Common_QEndDate,0,COLUMN())&gt;TODAY(),FDS(MO.ReportCurrency&amp;HP.TradeCurrency,"FG_PRICE(NOW)"),FDS(MO.ReportCurrency&amp;HP.TradeCurrency,"P_PRICE_AVG("&amp;INDEX(MO_SNA_FPStartDate,0,COLUMN())&amp;","&amp;INDEX(MO_Common_QEndDate,0,COLUMN())&amp;",,,,0)")),"N/A")</f>
        <v>N/A</v>
      </c>
      <c r="AN917" s="477" t="str">
        <f t="array" aca="1" ref="AN917" ca="1">IFERROR(IF(INDEX(MO_Common_QEndDate,0,COLUMN())&gt;TODAY(),FDS(MO.ReportCurrency&amp;HP.TradeCurrency,"FG_PRICE(NOW)"),FDS(MO.ReportCurrency&amp;HP.TradeCurrency,"P_PRICE_AVG("&amp;INDEX(MO_SNA_FPStartDate,0,COLUMN())&amp;","&amp;INDEX(MO_Common_QEndDate,0,COLUMN())&amp;",,,,0)")),"N/A")</f>
        <v>N/A</v>
      </c>
      <c r="AO917" s="477" t="str">
        <f t="array" aca="1" ref="AO917" ca="1">IFERROR(IF(INDEX(MO_Common_QEndDate,0,COLUMN())&gt;TODAY(),FDS(MO.ReportCurrency&amp;HP.TradeCurrency,"FG_PRICE(NOW)"),FDS(MO.ReportCurrency&amp;HP.TradeCurrency,"P_PRICE_AVG("&amp;INDEX(MO_SNA_FPStartDate,0,COLUMN())&amp;","&amp;INDEX(MO_Common_QEndDate,0,COLUMN())&amp;",,,,0)")),"N/A")</f>
        <v>N/A</v>
      </c>
      <c r="AP917" s="477" t="str">
        <f t="array" aca="1" ref="AP917" ca="1">IFERROR(IF(INDEX(MO_Common_QEndDate,0,COLUMN())&gt;TODAY(),FDS(MO.ReportCurrency&amp;HP.TradeCurrency,"FG_PRICE(NOW)"),FDS(MO.ReportCurrency&amp;HP.TradeCurrency,"P_PRICE_AVG("&amp;INDEX(MO_SNA_FPStartDate,0,COLUMN())&amp;","&amp;INDEX(MO_Common_QEndDate,0,COLUMN())&amp;",,,,0)")),"N/A")</f>
        <v>N/A</v>
      </c>
      <c r="AQ917" s="477" t="str">
        <f t="array" aca="1" ref="AQ917" ca="1">IFERROR(IF(INDEX(MO_Common_QEndDate,0,COLUMN())&gt;TODAY(),FDS(MO.ReportCurrency&amp;HP.TradeCurrency,"FG_PRICE(NOW)"),FDS(MO.ReportCurrency&amp;HP.TradeCurrency,"P_PRICE_AVG("&amp;INDEX(MO_SNA_FPStartDate,0,COLUMN())&amp;","&amp;INDEX(MO_Common_QEndDate,0,COLUMN())&amp;",,,,0)")),"N/A")</f>
        <v>N/A</v>
      </c>
      <c r="AR917" s="477" t="str">
        <f t="array" aca="1" ref="AR917" ca="1">IFERROR(IF(INDEX(MO_Common_QEndDate,0,COLUMN())&gt;TODAY(),FDS(MO.ReportCurrency&amp;HP.TradeCurrency,"FG_PRICE(NOW)"),FDS(MO.ReportCurrency&amp;HP.TradeCurrency,"P_PRICE_AVG("&amp;INDEX(MO_SNA_FPStartDate,0,COLUMN())&amp;","&amp;INDEX(MO_Common_QEndDate,0,COLUMN())&amp;",,,,0)")),"N/A")</f>
        <v>N/A</v>
      </c>
      <c r="AS917" s="477" t="str">
        <f t="array" aca="1" ref="AS917" ca="1">IFERROR(IF(INDEX(MO_Common_QEndDate,0,COLUMN())&gt;TODAY(),FDS(MO.ReportCurrency&amp;HP.TradeCurrency,"FG_PRICE(NOW)"),FDS(MO.ReportCurrency&amp;HP.TradeCurrency,"P_PRICE_AVG("&amp;INDEX(MO_SNA_FPStartDate,0,COLUMN())&amp;","&amp;INDEX(MO_Common_QEndDate,0,COLUMN())&amp;",,,,0)")),"N/A")</f>
        <v>N/A</v>
      </c>
      <c r="AT917" s="477" t="str">
        <f t="array" aca="1" ref="AT917" ca="1">IFERROR(IF(INDEX(MO_Common_QEndDate,0,COLUMN())&gt;TODAY(),FDS(MO.ReportCurrency&amp;HP.TradeCurrency,"FG_PRICE(NOW)"),FDS(MO.ReportCurrency&amp;HP.TradeCurrency,"P_PRICE_AVG("&amp;INDEX(MO_SNA_FPStartDate,0,COLUMN())&amp;","&amp;INDEX(MO_Common_QEndDate,0,COLUMN())&amp;",,,,0)")),"N/A")</f>
        <v>N/A</v>
      </c>
      <c r="AU917" s="477" t="str">
        <f t="array" aca="1" ref="AU917" ca="1">IFERROR(IF(INDEX(MO_Common_QEndDate,0,COLUMN())&gt;TODAY(),FDS(MO.ReportCurrency&amp;HP.TradeCurrency,"FG_PRICE(NOW)"),FDS(MO.ReportCurrency&amp;HP.TradeCurrency,"P_PRICE_AVG("&amp;INDEX(MO_SNA_FPStartDate,0,COLUMN())&amp;","&amp;INDEX(MO_Common_QEndDate,0,COLUMN())&amp;",,,,0)")),"N/A")</f>
        <v>N/A</v>
      </c>
      <c r="AV917" s="477" t="str">
        <f t="array" aca="1" ref="AV917" ca="1">IFERROR(IF(INDEX(MO_Common_QEndDate,0,COLUMN())&gt;TODAY(),FDS(MO.ReportCurrency&amp;HP.TradeCurrency,"FG_PRICE(NOW)"),FDS(MO.ReportCurrency&amp;HP.TradeCurrency,"P_PRICE_AVG("&amp;INDEX(MO_SNA_FPStartDate,0,COLUMN())&amp;","&amp;INDEX(MO_Common_QEndDate,0,COLUMN())&amp;",,,,0)")),"N/A")</f>
        <v>N/A</v>
      </c>
      <c r="AW917" s="477" t="str">
        <f t="array" aca="1" ref="AW917" ca="1">IFERROR(IF(INDEX(MO_Common_QEndDate,0,COLUMN())&gt;TODAY(),FDS(MO.ReportCurrency&amp;HP.TradeCurrency,"FG_PRICE(NOW)"),FDS(MO.ReportCurrency&amp;HP.TradeCurrency,"P_PRICE_AVG("&amp;INDEX(MO_SNA_FPStartDate,0,COLUMN())&amp;","&amp;INDEX(MO_Common_QEndDate,0,COLUMN())&amp;",,,,0)")),"N/A")</f>
        <v>N/A</v>
      </c>
      <c r="AX917" s="477" t="str">
        <f t="array" aca="1" ref="AX917" ca="1">IFERROR(IF(INDEX(MO_Common_QEndDate,0,COLUMN())&gt;TODAY(),FDS(MO.ReportCurrency&amp;HP.TradeCurrency,"FG_PRICE(NOW)"),FDS(MO.ReportCurrency&amp;HP.TradeCurrency,"P_PRICE_AVG("&amp;INDEX(MO_SNA_FPStartDate,0,COLUMN())&amp;","&amp;INDEX(MO_Common_QEndDate,0,COLUMN())&amp;",,,,0)")),"N/A")</f>
        <v>N/A</v>
      </c>
      <c r="AY917" s="477" t="str">
        <f t="array" aca="1" ref="AY917" ca="1">IFERROR(IF(INDEX(MO_Common_QEndDate,0,COLUMN())&gt;TODAY(),FDS(MO.ReportCurrency&amp;HP.TradeCurrency,"FG_PRICE(NOW)"),FDS(MO.ReportCurrency&amp;HP.TradeCurrency,"P_PRICE_AVG("&amp;INDEX(MO_SNA_FPStartDate,0,COLUMN())&amp;","&amp;INDEX(MO_Common_QEndDate,0,COLUMN())&amp;",,,,0)")),"N/A")</f>
        <v>N/A</v>
      </c>
      <c r="AZ917" s="477" t="str">
        <f t="array" aca="1" ref="AZ917" ca="1">IFERROR(IF(INDEX(MO_Common_QEndDate,0,COLUMN())&gt;TODAY(),FDS(MO.ReportCurrency&amp;HP.TradeCurrency,"FG_PRICE(NOW)"),FDS(MO.ReportCurrency&amp;HP.TradeCurrency,"P_PRICE_AVG("&amp;INDEX(MO_SNA_FPStartDate,0,COLUMN())&amp;","&amp;INDEX(MO_Common_QEndDate,0,COLUMN())&amp;",,,,0)")),"N/A")</f>
        <v>N/A</v>
      </c>
      <c r="BA917" s="477" t="str">
        <f t="array" aca="1" ref="BA917" ca="1">IFERROR(IF(INDEX(MO_Common_QEndDate,0,COLUMN())&gt;TODAY(),FDS(MO.ReportCurrency&amp;HP.TradeCurrency,"FG_PRICE(NOW)"),FDS(MO.ReportCurrency&amp;HP.TradeCurrency,"P_PRICE_AVG("&amp;INDEX(MO_SNA_FPStartDate,0,COLUMN())&amp;","&amp;INDEX(MO_Common_QEndDate,0,COLUMN())&amp;",,,,0)")),"N/A")</f>
        <v>N/A</v>
      </c>
      <c r="BB917" s="477" t="str">
        <f t="array" aca="1" ref="BB917" ca="1">IFERROR(IF(INDEX(MO_Common_QEndDate,0,COLUMN())&gt;TODAY(),FDS(MO.ReportCurrency&amp;HP.TradeCurrency,"FG_PRICE(NOW)"),FDS(MO.ReportCurrency&amp;HP.TradeCurrency,"P_PRICE_AVG("&amp;INDEX(MO_SNA_FPStartDate,0,COLUMN())&amp;","&amp;INDEX(MO_Common_QEndDate,0,COLUMN())&amp;",,,,0)")),"N/A")</f>
        <v>N/A</v>
      </c>
      <c r="BC917" s="477" t="str">
        <f t="array" aca="1" ref="BC917" ca="1">IFERROR(IF(INDEX(MO_Common_QEndDate,0,COLUMN())&gt;TODAY(),FDS(MO.ReportCurrency&amp;HP.TradeCurrency,"FG_PRICE(NOW)"),FDS(MO.ReportCurrency&amp;HP.TradeCurrency,"P_PRICE_AVG("&amp;INDEX(MO_SNA_FPStartDate,0,COLUMN())&amp;","&amp;INDEX(MO_Common_QEndDate,0,COLUMN())&amp;",,,,0)")),"N/A")</f>
        <v>N/A</v>
      </c>
      <c r="BD917" s="477" t="str">
        <f t="array" aca="1" ref="BD917" ca="1">IFERROR(IF(INDEX(MO_Common_QEndDate,0,COLUMN())&gt;TODAY(),FDS(MO.ReportCurrency&amp;HP.TradeCurrency,"FG_PRICE(NOW)"),FDS(MO.ReportCurrency&amp;HP.TradeCurrency,"P_PRICE_AVG("&amp;INDEX(MO_SNA_FPStartDate,0,COLUMN())&amp;","&amp;INDEX(MO_Common_QEndDate,0,COLUMN())&amp;",,,,0)")),"N/A")</f>
        <v>N/A</v>
      </c>
      <c r="BE917" s="477" t="str">
        <f t="array" aca="1" ref="BE917" ca="1">IFERROR(IF(INDEX(MO_Common_QEndDate,0,COLUMN())&gt;TODAY(),FDS(MO.ReportCurrency&amp;HP.TradeCurrency,"FG_PRICE(NOW)"),FDS(MO.ReportCurrency&amp;HP.TradeCurrency,"P_PRICE_AVG("&amp;INDEX(MO_SNA_FPStartDate,0,COLUMN())&amp;","&amp;INDEX(MO_Common_QEndDate,0,COLUMN())&amp;",,,,0)")),"N/A")</f>
        <v>N/A</v>
      </c>
      <c r="BF917" s="477" t="str">
        <f t="array" aca="1" ref="BF917" ca="1">IFERROR(IF(INDEX(MO_Common_QEndDate,0,COLUMN())&gt;TODAY(),FDS(MO.ReportCurrency&amp;HP.TradeCurrency,"FG_PRICE(NOW)"),FDS(MO.ReportCurrency&amp;HP.TradeCurrency,"P_PRICE_AVG("&amp;INDEX(MO_SNA_FPStartDate,0,COLUMN())&amp;","&amp;INDEX(MO_Common_QEndDate,0,COLUMN())&amp;",,,,0)")),"N/A")</f>
        <v>N/A</v>
      </c>
      <c r="BG917" s="477" t="str">
        <f t="array" aca="1" ref="BG917" ca="1">IFERROR(IF(INDEX(MO_Common_QEndDate,0,COLUMN())&gt;TODAY(),FDS(MO.ReportCurrency&amp;HP.TradeCurrency,"FG_PRICE(NOW)"),FDS(MO.ReportCurrency&amp;HP.TradeCurrency,"P_PRICE_AVG("&amp;INDEX(MO_SNA_FPStartDate,0,COLUMN())&amp;","&amp;INDEX(MO_Common_QEndDate,0,COLUMN())&amp;",,,,0)")),"N/A")</f>
        <v>N/A</v>
      </c>
      <c r="BH917" s="477" t="str">
        <f t="array" aca="1" ref="BH917" ca="1">IFERROR(IF(INDEX(MO_Common_QEndDate,0,COLUMN())&gt;TODAY(),FDS(MO.ReportCurrency&amp;HP.TradeCurrency,"FG_PRICE(NOW)"),FDS(MO.ReportCurrency&amp;HP.TradeCurrency,"P_PRICE_AVG("&amp;INDEX(MO_SNA_FPStartDate,0,COLUMN())&amp;","&amp;INDEX(MO_Common_QEndDate,0,COLUMN())&amp;",,,,0)")),"N/A")</f>
        <v>N/A</v>
      </c>
      <c r="BI917" s="572" t="str">
        <f t="array" aca="1" ref="BI917" ca="1">IFERROR(IF(INDEX(MO_Common_QEndDate,0,COLUMN())&gt;TODAY(),FDS(MO.ReportCurrency&amp;HP.TradeCurrency,"FG_PRICE(NOW)"),FDS(MO.ReportCurrency&amp;HP.TradeCurrency,"P_PRICE_AVG("&amp;INDEX(MO_SNA_FPStartDate,0,COLUMN())&amp;","&amp;INDEX(MO_Common_QEndDate,0,COLUMN())&amp;",,,,0)")),"N/A")</f>
        <v>N/A</v>
      </c>
      <c r="BJ917" s="477" t="str">
        <f t="array" aca="1" ref="BJ917" ca="1">IFERROR(IF(INDEX(MO_Common_QEndDate,0,COLUMN())&gt;TODAY(),FDS(MO.ReportCurrency&amp;HP.TradeCurrency,"FG_PRICE(NOW)"),FDS(MO.ReportCurrency&amp;HP.TradeCurrency,"P_PRICE_AVG("&amp;INDEX(MO_SNA_FPStartDate,0,COLUMN())&amp;","&amp;INDEX(MO_Common_QEndDate,0,COLUMN())&amp;",,,,0)")),"N/A")</f>
        <v>N/A</v>
      </c>
      <c r="BK917" s="477" t="str">
        <f t="array" aca="1" ref="BK917" ca="1">IFERROR(IF(INDEX(MO_Common_QEndDate,0,COLUMN())&gt;TODAY(),FDS(MO.ReportCurrency&amp;HP.TradeCurrency,"FG_PRICE(NOW)"),FDS(MO.ReportCurrency&amp;HP.TradeCurrency,"P_PRICE_AVG("&amp;INDEX(MO_SNA_FPStartDate,0,COLUMN())&amp;","&amp;INDEX(MO_Common_QEndDate,0,COLUMN())&amp;",,,,0)")),"N/A")</f>
        <v>N/A</v>
      </c>
      <c r="BL917" s="477" t="str">
        <f t="array" aca="1" ref="BL917" ca="1">IFERROR(IF(INDEX(MO_Common_QEndDate,0,COLUMN())&gt;TODAY(),FDS(MO.ReportCurrency&amp;HP.TradeCurrency,"FG_PRICE(NOW)"),FDS(MO.ReportCurrency&amp;HP.TradeCurrency,"P_PRICE_AVG("&amp;INDEX(MO_SNA_FPStartDate,0,COLUMN())&amp;","&amp;INDEX(MO_Common_QEndDate,0,COLUMN())&amp;",,,,0)")),"N/A")</f>
        <v>N/A</v>
      </c>
      <c r="BM917" s="477" t="str">
        <f t="array" aca="1" ref="BM917" ca="1">IFERROR(IF(INDEX(MO_Common_QEndDate,0,COLUMN())&gt;TODAY(),FDS(MO.ReportCurrency&amp;HP.TradeCurrency,"FG_PRICE(NOW)"),FDS(MO.ReportCurrency&amp;HP.TradeCurrency,"P_PRICE_AVG("&amp;INDEX(MO_SNA_FPStartDate,0,COLUMN())&amp;","&amp;INDEX(MO_Common_QEndDate,0,COLUMN())&amp;",,,,0)")),"N/A")</f>
        <v>N/A</v>
      </c>
      <c r="BN917" s="477" t="str">
        <f t="array" aca="1" ref="BN917" ca="1">IFERROR(IF(INDEX(MO_Common_QEndDate,0,COLUMN())&gt;TODAY(),FDS(MO.ReportCurrency&amp;HP.TradeCurrency,"FG_PRICE(NOW)"),FDS(MO.ReportCurrency&amp;HP.TradeCurrency,"P_PRICE_AVG("&amp;INDEX(MO_SNA_FPStartDate,0,COLUMN())&amp;","&amp;INDEX(MO_Common_QEndDate,0,COLUMN())&amp;",,,,0)")),"N/A")</f>
        <v>N/A</v>
      </c>
      <c r="BO917" s="477" t="str">
        <f t="array" aca="1" ref="BO917" ca="1">IFERROR(IF(INDEX(MO_Common_QEndDate,0,COLUMN())&gt;TODAY(),FDS(MO.ReportCurrency&amp;HP.TradeCurrency,"FG_PRICE(NOW)"),FDS(MO.ReportCurrency&amp;HP.TradeCurrency,"P_PRICE_AVG("&amp;INDEX(MO_SNA_FPStartDate,0,COLUMN())&amp;","&amp;INDEX(MO_Common_QEndDate,0,COLUMN())&amp;",,,,0)")),"N/A")</f>
        <v>N/A</v>
      </c>
      <c r="BP917" s="477" t="str">
        <f t="array" aca="1" ref="BP917" ca="1">IFERROR(IF(INDEX(MO_Common_QEndDate,0,COLUMN())&gt;TODAY(),FDS(MO.ReportCurrency&amp;HP.TradeCurrency,"FG_PRICE(NOW)"),FDS(MO.ReportCurrency&amp;HP.TradeCurrency,"P_PRICE_AVG("&amp;INDEX(MO_SNA_FPStartDate,0,COLUMN())&amp;","&amp;INDEX(MO_Common_QEndDate,0,COLUMN())&amp;",,,,0)")),"N/A")</f>
        <v>N/A</v>
      </c>
      <c r="BQ917" s="477" t="str">
        <f t="array" aca="1" ref="BQ917" ca="1">IFERROR(IF(INDEX(MO_Common_QEndDate,0,COLUMN())&gt;TODAY(),FDS(MO.ReportCurrency&amp;HP.TradeCurrency,"FG_PRICE(NOW)"),FDS(MO.ReportCurrency&amp;HP.TradeCurrency,"P_PRICE_AVG("&amp;INDEX(MO_SNA_FPStartDate,0,COLUMN())&amp;","&amp;INDEX(MO_Common_QEndDate,0,COLUMN())&amp;",,,,0)")),"N/A")</f>
        <v>N/A</v>
      </c>
      <c r="BR917" s="477" t="str">
        <f t="array" aca="1" ref="BR917" ca="1">IFERROR(IF(INDEX(MO_Common_QEndDate,0,COLUMN())&gt;TODAY(),FDS(MO.ReportCurrency&amp;HP.TradeCurrency,"FG_PRICE(NOW)"),FDS(MO.ReportCurrency&amp;HP.TradeCurrency,"P_PRICE_AVG("&amp;INDEX(MO_SNA_FPStartDate,0,COLUMN())&amp;","&amp;INDEX(MO_Common_QEndDate,0,COLUMN())&amp;",,,,0)")),"N/A")</f>
        <v>N/A</v>
      </c>
      <c r="BS917" s="477" t="str">
        <f t="array" aca="1" ref="BS917" ca="1">IFERROR(IF(INDEX(MO_Common_QEndDate,0,COLUMN())&gt;TODAY(),FDS(MO.ReportCurrency&amp;HP.TradeCurrency,"FG_PRICE(NOW)"),FDS(MO.ReportCurrency&amp;HP.TradeCurrency,"P_PRICE_AVG("&amp;INDEX(MO_SNA_FPStartDate,0,COLUMN())&amp;","&amp;INDEX(MO_Common_QEndDate,0,COLUMN())&amp;",,,,0)")),"N/A")</f>
        <v>N/A</v>
      </c>
      <c r="BT917" s="477" t="str">
        <f t="array" aca="1" ref="BT917" ca="1">IFERROR(IF(INDEX(MO_Common_QEndDate,0,COLUMN())&gt;TODAY(),FDS(MO.ReportCurrency&amp;HP.TradeCurrency,"FG_PRICE(NOW)"),FDS(MO.ReportCurrency&amp;HP.TradeCurrency,"P_PRICE_AVG("&amp;INDEX(MO_SNA_FPStartDate,0,COLUMN())&amp;","&amp;INDEX(MO_Common_QEndDate,0,COLUMN())&amp;",,,,0)")),"N/A")</f>
        <v>N/A</v>
      </c>
      <c r="BU917" s="477" t="str">
        <f t="array" aca="1" ref="BU917" ca="1">IFERROR(IF(INDEX(MO_Common_QEndDate,0,COLUMN())&gt;TODAY(),FDS(MO.ReportCurrency&amp;HP.TradeCurrency,"FG_PRICE(NOW)"),FDS(MO.ReportCurrency&amp;HP.TradeCurrency,"P_PRICE_AVG("&amp;INDEX(MO_SNA_FPStartDate,0,COLUMN())&amp;","&amp;INDEX(MO_Common_QEndDate,0,COLUMN())&amp;",,,,0)")),"N/A")</f>
        <v>N/A</v>
      </c>
      <c r="BV917" s="573" t="str">
        <f t="array" aca="1" ref="BV917" ca="1">IFERROR(IF(INDEX(MO_Common_QEndDate,0,COLUMN())&gt;TODAY(),FDS(MO.ReportCurrency&amp;HP.TradeCurrency,"FG_PRICE(NOW)"),FDS(MO.ReportCurrency&amp;HP.TradeCurrency,"P_PRICE_AVG("&amp;INDEX(MO_SNA_FPStartDate,0,COLUMN())&amp;","&amp;INDEX(MO_Common_QEndDate,0,COLUMN())&amp;",,,,0)")),"N/A")</f>
        <v>N/A</v>
      </c>
      <c r="BW917" s="574"/>
    </row>
    <row r="918" spans="1:75" ht="15.75" hidden="1" customHeight="1" outlineLevel="1" x14ac:dyDescent="0.2">
      <c r="A918" s="571" t="s">
        <v>938</v>
      </c>
      <c r="B918" s="477"/>
      <c r="C918" s="477" t="str">
        <f t="shared" ref="C918:BV918" si="1830">"N/A"</f>
        <v>N/A</v>
      </c>
      <c r="D918" s="477" t="str">
        <f t="shared" si="1830"/>
        <v>N/A</v>
      </c>
      <c r="E918" s="477" t="str">
        <f t="shared" si="1830"/>
        <v>N/A</v>
      </c>
      <c r="F918" s="477" t="str">
        <f t="shared" si="1830"/>
        <v>N/A</v>
      </c>
      <c r="G918" s="477" t="str">
        <f t="shared" si="1830"/>
        <v>N/A</v>
      </c>
      <c r="H918" s="477" t="str">
        <f t="shared" si="1830"/>
        <v>N/A</v>
      </c>
      <c r="I918" s="477" t="str">
        <f t="shared" si="1830"/>
        <v>N/A</v>
      </c>
      <c r="J918" s="477" t="str">
        <f t="shared" si="1830"/>
        <v>N/A</v>
      </c>
      <c r="K918" s="477" t="str">
        <f t="shared" si="1830"/>
        <v>N/A</v>
      </c>
      <c r="L918" s="477" t="str">
        <f t="shared" si="1830"/>
        <v>N/A</v>
      </c>
      <c r="M918" s="477" t="str">
        <f t="shared" si="1830"/>
        <v>N/A</v>
      </c>
      <c r="N918" s="477" t="str">
        <f t="shared" si="1830"/>
        <v>N/A</v>
      </c>
      <c r="O918" s="477" t="str">
        <f t="shared" si="1830"/>
        <v>N/A</v>
      </c>
      <c r="P918" s="477" t="str">
        <f t="shared" si="1830"/>
        <v>N/A</v>
      </c>
      <c r="Q918" s="477" t="str">
        <f t="shared" si="1830"/>
        <v>N/A</v>
      </c>
      <c r="R918" s="477" t="str">
        <f t="shared" si="1830"/>
        <v>N/A</v>
      </c>
      <c r="S918" s="477" t="str">
        <f t="shared" si="1830"/>
        <v>N/A</v>
      </c>
      <c r="T918" s="477" t="str">
        <f t="shared" si="1830"/>
        <v>N/A</v>
      </c>
      <c r="U918" s="477" t="str">
        <f t="shared" si="1830"/>
        <v>N/A</v>
      </c>
      <c r="V918" s="477" t="str">
        <f t="shared" si="1830"/>
        <v>N/A</v>
      </c>
      <c r="W918" s="477" t="str">
        <f t="shared" si="1830"/>
        <v>N/A</v>
      </c>
      <c r="X918" s="477" t="str">
        <f t="shared" si="1830"/>
        <v>N/A</v>
      </c>
      <c r="Y918" s="477" t="str">
        <f t="shared" si="1830"/>
        <v>N/A</v>
      </c>
      <c r="Z918" s="477" t="str">
        <f t="shared" si="1830"/>
        <v>N/A</v>
      </c>
      <c r="AA918" s="477" t="str">
        <f t="shared" si="1830"/>
        <v>N/A</v>
      </c>
      <c r="AB918" s="477" t="str">
        <f t="shared" si="1830"/>
        <v>N/A</v>
      </c>
      <c r="AC918" s="477" t="str">
        <f t="shared" si="1830"/>
        <v>N/A</v>
      </c>
      <c r="AD918" s="477" t="str">
        <f t="shared" si="1830"/>
        <v>N/A</v>
      </c>
      <c r="AE918" s="477" t="str">
        <f t="shared" si="1830"/>
        <v>N/A</v>
      </c>
      <c r="AF918" s="477" t="str">
        <f t="shared" si="1830"/>
        <v>N/A</v>
      </c>
      <c r="AG918" s="477" t="str">
        <f t="shared" si="1830"/>
        <v>N/A</v>
      </c>
      <c r="AH918" s="477" t="str">
        <f t="shared" si="1830"/>
        <v>N/A</v>
      </c>
      <c r="AI918" s="477" t="str">
        <f t="shared" si="1830"/>
        <v>N/A</v>
      </c>
      <c r="AJ918" s="477" t="str">
        <f t="shared" si="1830"/>
        <v>N/A</v>
      </c>
      <c r="AK918" s="477" t="str">
        <f t="shared" si="1830"/>
        <v>N/A</v>
      </c>
      <c r="AL918" s="477" t="str">
        <f t="shared" si="1830"/>
        <v>N/A</v>
      </c>
      <c r="AM918" s="477" t="str">
        <f t="shared" si="1830"/>
        <v>N/A</v>
      </c>
      <c r="AN918" s="477" t="str">
        <f t="shared" si="1830"/>
        <v>N/A</v>
      </c>
      <c r="AO918" s="477" t="str">
        <f t="shared" si="1830"/>
        <v>N/A</v>
      </c>
      <c r="AP918" s="477" t="str">
        <f t="shared" si="1830"/>
        <v>N/A</v>
      </c>
      <c r="AQ918" s="477" t="str">
        <f t="shared" si="1830"/>
        <v>N/A</v>
      </c>
      <c r="AR918" s="477" t="str">
        <f t="shared" si="1830"/>
        <v>N/A</v>
      </c>
      <c r="AS918" s="477" t="str">
        <f t="shared" si="1830"/>
        <v>N/A</v>
      </c>
      <c r="AT918" s="477" t="str">
        <f t="shared" si="1830"/>
        <v>N/A</v>
      </c>
      <c r="AU918" s="477" t="str">
        <f t="shared" si="1830"/>
        <v>N/A</v>
      </c>
      <c r="AV918" s="477" t="str">
        <f t="shared" si="1830"/>
        <v>N/A</v>
      </c>
      <c r="AW918" s="477" t="str">
        <f t="shared" si="1830"/>
        <v>N/A</v>
      </c>
      <c r="AX918" s="477" t="str">
        <f t="shared" si="1830"/>
        <v>N/A</v>
      </c>
      <c r="AY918" s="477" t="str">
        <f t="shared" si="1830"/>
        <v>N/A</v>
      </c>
      <c r="AZ918" s="477" t="str">
        <f t="shared" si="1830"/>
        <v>N/A</v>
      </c>
      <c r="BA918" s="477" t="str">
        <f t="shared" si="1830"/>
        <v>N/A</v>
      </c>
      <c r="BB918" s="477" t="str">
        <f t="shared" si="1830"/>
        <v>N/A</v>
      </c>
      <c r="BC918" s="477" t="str">
        <f t="shared" si="1830"/>
        <v>N/A</v>
      </c>
      <c r="BD918" s="477" t="str">
        <f t="shared" si="1830"/>
        <v>N/A</v>
      </c>
      <c r="BE918" s="477" t="str">
        <f t="shared" si="1830"/>
        <v>N/A</v>
      </c>
      <c r="BF918" s="477" t="str">
        <f t="shared" si="1830"/>
        <v>N/A</v>
      </c>
      <c r="BG918" s="477" t="str">
        <f t="shared" si="1830"/>
        <v>N/A</v>
      </c>
      <c r="BH918" s="477" t="str">
        <f t="shared" si="1830"/>
        <v>N/A</v>
      </c>
      <c r="BI918" s="572" t="str">
        <f t="shared" si="1830"/>
        <v>N/A</v>
      </c>
      <c r="BJ918" s="477" t="str">
        <f t="shared" si="1830"/>
        <v>N/A</v>
      </c>
      <c r="BK918" s="477" t="str">
        <f t="shared" si="1830"/>
        <v>N/A</v>
      </c>
      <c r="BL918" s="477" t="str">
        <f t="shared" si="1830"/>
        <v>N/A</v>
      </c>
      <c r="BM918" s="477" t="str">
        <f t="shared" si="1830"/>
        <v>N/A</v>
      </c>
      <c r="BN918" s="477" t="str">
        <f t="shared" si="1830"/>
        <v>N/A</v>
      </c>
      <c r="BO918" s="477" t="str">
        <f t="shared" si="1830"/>
        <v>N/A</v>
      </c>
      <c r="BP918" s="477" t="str">
        <f t="shared" si="1830"/>
        <v>N/A</v>
      </c>
      <c r="BQ918" s="477" t="str">
        <f t="shared" si="1830"/>
        <v>N/A</v>
      </c>
      <c r="BR918" s="477" t="str">
        <f t="shared" si="1830"/>
        <v>N/A</v>
      </c>
      <c r="BS918" s="477" t="str">
        <f t="shared" si="1830"/>
        <v>N/A</v>
      </c>
      <c r="BT918" s="477" t="str">
        <f t="shared" si="1830"/>
        <v>N/A</v>
      </c>
      <c r="BU918" s="477" t="str">
        <f t="shared" si="1830"/>
        <v>N/A</v>
      </c>
      <c r="BV918" s="573" t="str">
        <f t="shared" si="1830"/>
        <v>N/A</v>
      </c>
      <c r="BW918" s="574"/>
    </row>
    <row r="919" spans="1:75" ht="15.75" hidden="1" customHeight="1" outlineLevel="1" x14ac:dyDescent="0.2">
      <c r="A919" s="56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10"/>
      <c r="BJ919" s="9"/>
      <c r="BK919" s="9"/>
      <c r="BL919" s="9"/>
      <c r="BM919" s="9"/>
      <c r="BN919" s="9"/>
      <c r="BO919" s="9"/>
      <c r="BP919" s="9"/>
      <c r="BQ919" s="9"/>
      <c r="BR919" s="9"/>
      <c r="BS919" s="9"/>
      <c r="BT919" s="9"/>
      <c r="BU919" s="9"/>
      <c r="BV919" s="570"/>
      <c r="BW919" s="552"/>
    </row>
    <row r="920" spans="1:75" ht="15.75" customHeight="1" collapsed="1" x14ac:dyDescent="0.2">
      <c r="A920" s="577" t="s">
        <v>939</v>
      </c>
      <c r="B920" s="9"/>
      <c r="C920" s="560">
        <f t="array" ref="C920">WORKDAY(INDEX(MO_Common_QEndDate,0,COLUMN()),-1)</f>
        <v>40175</v>
      </c>
      <c r="D920" s="560">
        <f t="array" ref="D920">WORKDAY(INDEX(MO_Common_QEndDate,0,COLUMN()),-1)</f>
        <v>40539</v>
      </c>
      <c r="E920" s="560">
        <f t="array" ref="E920">WORKDAY(INDEX(MO_Common_QEndDate,0,COLUMN()),-1)</f>
        <v>40910</v>
      </c>
      <c r="F920" s="560">
        <f t="array" ref="F920">WORKDAY(INDEX(MO_Common_QEndDate,0,COLUMN()),-1)</f>
        <v>41274</v>
      </c>
      <c r="G920" s="560">
        <f t="array" ref="G920">WORKDAY(INDEX(MO_Common_QEndDate,0,COLUMN()),-1)</f>
        <v>41365</v>
      </c>
      <c r="H920" s="560">
        <f t="array" ref="H920">WORKDAY(INDEX(MO_Common_QEndDate,0,COLUMN()),-1)</f>
        <v>41456</v>
      </c>
      <c r="I920" s="560">
        <f t="array" ref="I920">WORKDAY(INDEX(MO_Common_QEndDate,0,COLUMN()),-1)</f>
        <v>41547</v>
      </c>
      <c r="J920" s="560">
        <f t="array" ref="J920">WORKDAY(INDEX(MO_Common_QEndDate,0,COLUMN()),-1)</f>
        <v>41638</v>
      </c>
      <c r="K920" s="560">
        <f t="array" ref="K920">WORKDAY(INDEX(MO_Common_QEndDate,0,COLUMN()),-1)</f>
        <v>41638</v>
      </c>
      <c r="L920" s="560">
        <f t="array" ref="L920">WORKDAY(INDEX(MO_Common_QEndDate,0,COLUMN()),-1)</f>
        <v>41729</v>
      </c>
      <c r="M920" s="560">
        <f t="array" ref="M920">WORKDAY(INDEX(MO_Common_QEndDate,0,COLUMN()),-1)</f>
        <v>41820</v>
      </c>
      <c r="N920" s="560">
        <f t="array" ref="N920">WORKDAY(INDEX(MO_Common_QEndDate,0,COLUMN()),-1)</f>
        <v>41911</v>
      </c>
      <c r="O920" s="560">
        <f t="array" ref="O920">WORKDAY(INDEX(MO_Common_QEndDate,0,COLUMN()),-1)</f>
        <v>42002</v>
      </c>
      <c r="P920" s="560">
        <f t="array" ref="P920">WORKDAY(INDEX(MO_Common_QEndDate,0,COLUMN()),-1)</f>
        <v>42002</v>
      </c>
      <c r="Q920" s="560">
        <f t="array" ref="Q920">WORKDAY(INDEX(MO_Common_QEndDate,0,COLUMN()),-1)</f>
        <v>42093</v>
      </c>
      <c r="R920" s="560">
        <f t="array" ref="R920">WORKDAY(INDEX(MO_Common_QEndDate,0,COLUMN()),-1)</f>
        <v>42184</v>
      </c>
      <c r="S920" s="560">
        <f t="array" ref="S920">WORKDAY(INDEX(MO_Common_QEndDate,0,COLUMN()),-1)</f>
        <v>42275</v>
      </c>
      <c r="T920" s="560">
        <f t="array" ref="T920">WORKDAY(INDEX(MO_Common_QEndDate,0,COLUMN()),-1)</f>
        <v>42366</v>
      </c>
      <c r="U920" s="560">
        <f t="array" ref="U920">WORKDAY(INDEX(MO_Common_QEndDate,0,COLUMN()),-1)</f>
        <v>42366</v>
      </c>
      <c r="V920" s="560">
        <f t="array" ref="V920">WORKDAY(INDEX(MO_Common_QEndDate,0,COLUMN()),-1)</f>
        <v>42457</v>
      </c>
      <c r="W920" s="560">
        <f t="array" ref="W920">WORKDAY(INDEX(MO_Common_QEndDate,0,COLUMN()),-1)</f>
        <v>42548</v>
      </c>
      <c r="X920" s="560">
        <f t="array" ref="X920">WORKDAY(INDEX(MO_Common_QEndDate,0,COLUMN()),-1)</f>
        <v>42639</v>
      </c>
      <c r="Y920" s="560">
        <f t="array" ref="Y920">WORKDAY(INDEX(MO_Common_QEndDate,0,COLUMN()),-1)</f>
        <v>42737</v>
      </c>
      <c r="Z920" s="560">
        <f t="array" ref="Z920">WORKDAY(INDEX(MO_Common_QEndDate,0,COLUMN()),-1)</f>
        <v>42737</v>
      </c>
      <c r="AA920" s="560">
        <f t="array" ref="AA920">WORKDAY(INDEX(MO_Common_QEndDate,0,COLUMN()),-1)</f>
        <v>42828</v>
      </c>
      <c r="AB920" s="560">
        <f t="array" ref="AB920">WORKDAY(INDEX(MO_Common_QEndDate,0,COLUMN()),-1)</f>
        <v>42919</v>
      </c>
      <c r="AC920" s="560">
        <f t="array" ref="AC920">WORKDAY(INDEX(MO_Common_QEndDate,0,COLUMN()),-1)</f>
        <v>43010</v>
      </c>
      <c r="AD920" s="560">
        <f t="array" ref="AD920">WORKDAY(INDEX(MO_Common_QEndDate,0,COLUMN()),-1)</f>
        <v>43101</v>
      </c>
      <c r="AE920" s="560">
        <f t="array" ref="AE920">WORKDAY(INDEX(MO_Common_QEndDate,0,COLUMN()),-1)</f>
        <v>43101</v>
      </c>
      <c r="AF920" s="560">
        <f t="array" ref="AF920">WORKDAY(INDEX(MO_Common_QEndDate,0,COLUMN()),-1)</f>
        <v>43192</v>
      </c>
      <c r="AG920" s="560">
        <f t="array" ref="AG920">WORKDAY(INDEX(MO_Common_QEndDate,0,COLUMN()),-1)</f>
        <v>43283</v>
      </c>
      <c r="AH920" s="560">
        <f t="array" ref="AH920">WORKDAY(INDEX(MO_Common_QEndDate,0,COLUMN()),-1)</f>
        <v>43374</v>
      </c>
      <c r="AI920" s="560">
        <f t="array" ref="AI920">WORKDAY(INDEX(MO_Common_QEndDate,0,COLUMN()),-1)</f>
        <v>43465</v>
      </c>
      <c r="AJ920" s="560">
        <f t="array" ref="AJ920">WORKDAY(INDEX(MO_Common_QEndDate,0,COLUMN()),-1)</f>
        <v>43465</v>
      </c>
      <c r="AK920" s="560">
        <f t="array" ref="AK920">WORKDAY(INDEX(MO_Common_QEndDate,0,COLUMN()),-1)</f>
        <v>43556</v>
      </c>
      <c r="AL920" s="560">
        <f t="array" ref="AL920">WORKDAY(INDEX(MO_Common_QEndDate,0,COLUMN()),-1)</f>
        <v>43647</v>
      </c>
      <c r="AM920" s="560">
        <f t="array" ref="AM920">WORKDAY(INDEX(MO_Common_QEndDate,0,COLUMN()),-1)</f>
        <v>43738</v>
      </c>
      <c r="AN920" s="560">
        <f t="array" ref="AN920">WORKDAY(INDEX(MO_Common_QEndDate,0,COLUMN()),-1)</f>
        <v>43829</v>
      </c>
      <c r="AO920" s="560">
        <f t="array" ref="AO920">WORKDAY(INDEX(MO_Common_QEndDate,0,COLUMN()),-1)</f>
        <v>43829</v>
      </c>
      <c r="AP920" s="560">
        <f t="array" ref="AP920">WORKDAY(INDEX(MO_Common_QEndDate,0,COLUMN()),-1)</f>
        <v>43920</v>
      </c>
      <c r="AQ920" s="560">
        <f t="array" ref="AQ920">WORKDAY(INDEX(MO_Common_QEndDate,0,COLUMN()),-1)</f>
        <v>44011</v>
      </c>
      <c r="AR920" s="560">
        <f t="array" ref="AR920">WORKDAY(INDEX(MO_Common_QEndDate,0,COLUMN()),-1)</f>
        <v>44102</v>
      </c>
      <c r="AS920" s="560">
        <f t="array" ref="AS920">WORKDAY(INDEX(MO_Common_QEndDate,0,COLUMN()),-1)</f>
        <v>44193</v>
      </c>
      <c r="AT920" s="560">
        <f t="array" ref="AT920">WORKDAY(INDEX(MO_Common_QEndDate,0,COLUMN()),-1)</f>
        <v>44193</v>
      </c>
      <c r="AU920" s="560">
        <f t="array" ref="AU920">WORKDAY(INDEX(MO_Common_QEndDate,0,COLUMN()),-1)</f>
        <v>44284</v>
      </c>
      <c r="AV920" s="560">
        <f t="array" ref="AV920">WORKDAY(INDEX(MO_Common_QEndDate,0,COLUMN()),-1)</f>
        <v>44375</v>
      </c>
      <c r="AW920" s="560">
        <f t="array" ref="AW920">WORKDAY(INDEX(MO_Common_QEndDate,0,COLUMN()),-1)</f>
        <v>44466</v>
      </c>
      <c r="AX920" s="560">
        <f t="array" ref="AX920">WORKDAY(INDEX(MO_Common_QEndDate,0,COLUMN()),-1)</f>
        <v>44557</v>
      </c>
      <c r="AY920" s="560">
        <f t="array" ref="AY920">WORKDAY(INDEX(MO_Common_QEndDate,0,COLUMN()),-1)</f>
        <v>44557</v>
      </c>
      <c r="AZ920" s="560">
        <f t="array" ref="AZ920">WORKDAY(INDEX(MO_Common_QEndDate,0,COLUMN()),-1)</f>
        <v>44648</v>
      </c>
      <c r="BA920" s="560">
        <f t="array" ref="BA920">WORKDAY(INDEX(MO_Common_QEndDate,0,COLUMN()),-1)</f>
        <v>44739</v>
      </c>
      <c r="BB920" s="560">
        <f t="array" ref="BB920">WORKDAY(INDEX(MO_Common_QEndDate,0,COLUMN()),-1)</f>
        <v>44830</v>
      </c>
      <c r="BC920" s="560">
        <f t="array" ref="BC920">WORKDAY(INDEX(MO_Common_QEndDate,0,COLUMN()),-1)</f>
        <v>44928</v>
      </c>
      <c r="BD920" s="560">
        <f t="array" ref="BD920">WORKDAY(INDEX(MO_Common_QEndDate,0,COLUMN()),-1)</f>
        <v>44928</v>
      </c>
      <c r="BE920" s="560">
        <f t="array" ref="BE920">WORKDAY(INDEX(MO_Common_QEndDate,0,COLUMN()),-1)</f>
        <v>45016</v>
      </c>
      <c r="BF920" s="560">
        <f t="array" ref="BF920">WORKDAY(INDEX(MO_Common_QEndDate,0,COLUMN()),-1)</f>
        <v>45110</v>
      </c>
      <c r="BG920" s="560">
        <f t="array" ref="BG920">WORKDAY(INDEX(MO_Common_QEndDate,0,COLUMN()),-1)</f>
        <v>45201</v>
      </c>
      <c r="BH920" s="560">
        <f t="array" ref="BH920">WORKDAY(INDEX(MO_Common_QEndDate,0,COLUMN()),-1)</f>
        <v>45292</v>
      </c>
      <c r="BI920" s="561">
        <f t="array" ref="BI920">WORKDAY(INDEX(MO_Common_QEndDate,0,COLUMN()),-1)</f>
        <v>45292</v>
      </c>
      <c r="BJ920" s="560">
        <f t="array" ref="BJ920">WORKDAY(INDEX(MO_Common_QEndDate,0,COLUMN()),-1)</f>
        <v>45383</v>
      </c>
      <c r="BK920" s="560">
        <f t="array" ref="BK920">WORKDAY(INDEX(MO_Common_QEndDate,0,COLUMN()),-1)</f>
        <v>45474</v>
      </c>
      <c r="BL920" s="560">
        <f t="array" ref="BL920">WORKDAY(INDEX(MO_Common_QEndDate,0,COLUMN()),-1)</f>
        <v>45565</v>
      </c>
      <c r="BM920" s="560">
        <f t="array" ref="BM920">WORKDAY(INDEX(MO_Common_QEndDate,0,COLUMN()),-1)</f>
        <v>45656</v>
      </c>
      <c r="BN920" s="560">
        <f t="array" ref="BN920">WORKDAY(INDEX(MO_Common_QEndDate,0,COLUMN()),-1)</f>
        <v>45656</v>
      </c>
      <c r="BO920" s="560">
        <f t="array" ref="BO920">WORKDAY(INDEX(MO_Common_QEndDate,0,COLUMN()),-1)</f>
        <v>45747</v>
      </c>
      <c r="BP920" s="560">
        <f t="array" ref="BP920">WORKDAY(INDEX(MO_Common_QEndDate,0,COLUMN()),-1)</f>
        <v>45838</v>
      </c>
      <c r="BQ920" s="560">
        <f t="array" ref="BQ920">WORKDAY(INDEX(MO_Common_QEndDate,0,COLUMN()),-1)</f>
        <v>45929</v>
      </c>
      <c r="BR920" s="560">
        <f t="array" ref="BR920">WORKDAY(INDEX(MO_Common_QEndDate,0,COLUMN()),-1)</f>
        <v>46020</v>
      </c>
      <c r="BS920" s="560">
        <f t="array" ref="BS920">WORKDAY(INDEX(MO_Common_QEndDate,0,COLUMN()),-1)</f>
        <v>46020</v>
      </c>
      <c r="BT920" s="560">
        <f t="array" ref="BT920">WORKDAY(INDEX(MO_Common_QEndDate,0,COLUMN()),-1)</f>
        <v>46384</v>
      </c>
      <c r="BU920" s="560">
        <f t="array" ref="BU920">WORKDAY(INDEX(MO_Common_QEndDate,0,COLUMN()),-1)</f>
        <v>46748</v>
      </c>
      <c r="BV920" s="562">
        <f t="array" ref="BV920">WORKDAY(INDEX(MO_Common_QEndDate,0,COLUMN()),-1)</f>
        <v>47119</v>
      </c>
      <c r="BW920" s="552"/>
    </row>
    <row r="921" spans="1:75" ht="15.75" customHeight="1" x14ac:dyDescent="0.2">
      <c r="A921" s="577" t="s">
        <v>940</v>
      </c>
      <c r="B921" s="9"/>
      <c r="C921" s="578">
        <v>22.38</v>
      </c>
      <c r="D921" s="578">
        <v>31.19</v>
      </c>
      <c r="E921" s="578">
        <v>29.35</v>
      </c>
      <c r="F921" s="578">
        <v>32.71</v>
      </c>
      <c r="G921" s="578">
        <v>37.99</v>
      </c>
      <c r="H921" s="578">
        <v>42.33</v>
      </c>
      <c r="I921" s="578">
        <v>43.95</v>
      </c>
      <c r="J921" s="578">
        <v>48.43</v>
      </c>
      <c r="K921" s="578">
        <v>48.43</v>
      </c>
      <c r="L921" s="578">
        <v>47.63</v>
      </c>
      <c r="M921" s="578">
        <v>46.42</v>
      </c>
      <c r="N921" s="578">
        <v>45.96</v>
      </c>
      <c r="O921" s="578">
        <v>50.91</v>
      </c>
      <c r="P921" s="578">
        <v>50.91</v>
      </c>
      <c r="Q921" s="578">
        <v>49.47</v>
      </c>
      <c r="R921" s="578">
        <v>54.17</v>
      </c>
      <c r="S921" s="578">
        <v>53.44</v>
      </c>
      <c r="T921" s="578">
        <v>46.53</v>
      </c>
      <c r="U921" s="578">
        <v>46.53</v>
      </c>
      <c r="V921" s="578">
        <v>51.72</v>
      </c>
      <c r="W921" s="578">
        <v>47.25</v>
      </c>
      <c r="X921" s="578">
        <v>51.96</v>
      </c>
      <c r="Y921" s="578">
        <v>59.88</v>
      </c>
      <c r="Z921" s="578">
        <v>59.88</v>
      </c>
      <c r="AA921" s="578">
        <v>63.18</v>
      </c>
      <c r="AB921" s="578">
        <v>50.01</v>
      </c>
      <c r="AC921" s="578">
        <v>42.32</v>
      </c>
      <c r="AD921" s="578">
        <v>48.18</v>
      </c>
      <c r="AE921" s="578">
        <v>48.18</v>
      </c>
      <c r="AF921" s="578">
        <v>47.47</v>
      </c>
      <c r="AG921" s="578">
        <v>55.76</v>
      </c>
      <c r="AH921" s="578">
        <v>52.49</v>
      </c>
      <c r="AI921" s="578">
        <v>43.51</v>
      </c>
      <c r="AJ921" s="578">
        <v>43.51</v>
      </c>
      <c r="AK921" s="578">
        <v>48.59</v>
      </c>
      <c r="AL921" s="578">
        <v>43.1</v>
      </c>
      <c r="AM921" s="578">
        <v>41.68</v>
      </c>
      <c r="AN921" s="578">
        <v>38.799999999999997</v>
      </c>
      <c r="AO921" s="578">
        <v>38.799999999999997</v>
      </c>
      <c r="AP921" s="578">
        <v>16.5</v>
      </c>
      <c r="AQ921" s="578">
        <v>22.74</v>
      </c>
      <c r="AR921" s="578">
        <v>28.11</v>
      </c>
      <c r="AS921" s="578">
        <v>37.35</v>
      </c>
      <c r="AT921" s="578">
        <v>37.35</v>
      </c>
      <c r="AU921" s="578">
        <v>58.18</v>
      </c>
      <c r="AV921" s="578">
        <v>53.43</v>
      </c>
      <c r="AW921" s="578">
        <v>49.82</v>
      </c>
      <c r="AX921" s="578">
        <v>40.35</v>
      </c>
      <c r="AY921" s="578">
        <v>40.35</v>
      </c>
      <c r="AZ921" s="578">
        <v>38.83</v>
      </c>
      <c r="BA921" s="578">
        <v>28.54</v>
      </c>
      <c r="BB921" s="578">
        <v>28.56</v>
      </c>
      <c r="BC921" s="578">
        <v>31.71</v>
      </c>
      <c r="BD921" s="578">
        <v>31.71</v>
      </c>
      <c r="BE921" s="578">
        <v>35.049999999999997</v>
      </c>
      <c r="BF921" s="578">
        <v>35.35</v>
      </c>
      <c r="BG921" s="578">
        <v>29.6</v>
      </c>
      <c r="BH921" s="578">
        <v>35.01</v>
      </c>
      <c r="BI921" s="579">
        <v>35.01</v>
      </c>
      <c r="BJ921" s="580"/>
      <c r="BK921" s="580"/>
      <c r="BL921" s="580"/>
      <c r="BM921" s="580"/>
      <c r="BN921" s="580"/>
      <c r="BO921" s="580"/>
      <c r="BP921" s="580"/>
      <c r="BQ921" s="580"/>
      <c r="BR921" s="580"/>
      <c r="BS921" s="580"/>
      <c r="BT921" s="580"/>
      <c r="BU921" s="580"/>
      <c r="BV921" s="581"/>
      <c r="BW921" s="552"/>
    </row>
    <row r="922" spans="1:75" ht="15.75" customHeight="1" x14ac:dyDescent="0.2">
      <c r="A922" s="577" t="s">
        <v>941</v>
      </c>
      <c r="B922" s="9"/>
      <c r="C922" s="575">
        <v>1</v>
      </c>
      <c r="D922" s="575">
        <v>1</v>
      </c>
      <c r="E922" s="575">
        <v>1</v>
      </c>
      <c r="F922" s="575">
        <v>1</v>
      </c>
      <c r="G922" s="575">
        <v>1</v>
      </c>
      <c r="H922" s="575">
        <v>1</v>
      </c>
      <c r="I922" s="575">
        <v>1</v>
      </c>
      <c r="J922" s="575">
        <v>1</v>
      </c>
      <c r="K922" s="575">
        <v>1</v>
      </c>
      <c r="L922" s="575">
        <v>1</v>
      </c>
      <c r="M922" s="575">
        <v>1</v>
      </c>
      <c r="N922" s="575">
        <v>1</v>
      </c>
      <c r="O922" s="575">
        <v>1</v>
      </c>
      <c r="P922" s="575">
        <v>1</v>
      </c>
      <c r="Q922" s="575">
        <v>1</v>
      </c>
      <c r="R922" s="575">
        <v>1</v>
      </c>
      <c r="S922" s="575">
        <v>1</v>
      </c>
      <c r="T922" s="575">
        <v>1</v>
      </c>
      <c r="U922" s="575">
        <v>1</v>
      </c>
      <c r="V922" s="575">
        <v>1</v>
      </c>
      <c r="W922" s="575">
        <v>1</v>
      </c>
      <c r="X922" s="575">
        <v>1</v>
      </c>
      <c r="Y922" s="575">
        <v>1</v>
      </c>
      <c r="Z922" s="575">
        <v>1</v>
      </c>
      <c r="AA922" s="575">
        <v>1</v>
      </c>
      <c r="AB922" s="575">
        <v>1</v>
      </c>
      <c r="AC922" s="575">
        <v>1</v>
      </c>
      <c r="AD922" s="575">
        <v>1</v>
      </c>
      <c r="AE922" s="575">
        <v>1</v>
      </c>
      <c r="AF922" s="575">
        <v>1</v>
      </c>
      <c r="AG922" s="575">
        <v>1</v>
      </c>
      <c r="AH922" s="575">
        <v>1</v>
      </c>
      <c r="AI922" s="575">
        <v>1</v>
      </c>
      <c r="AJ922" s="575">
        <v>1</v>
      </c>
      <c r="AK922" s="575">
        <v>1</v>
      </c>
      <c r="AL922" s="575">
        <v>1</v>
      </c>
      <c r="AM922" s="575">
        <v>1</v>
      </c>
      <c r="AN922" s="575">
        <v>1</v>
      </c>
      <c r="AO922" s="575">
        <v>1</v>
      </c>
      <c r="AP922" s="575">
        <v>1</v>
      </c>
      <c r="AQ922" s="575">
        <v>1</v>
      </c>
      <c r="AR922" s="575">
        <v>1</v>
      </c>
      <c r="AS922" s="575">
        <v>1</v>
      </c>
      <c r="AT922" s="575">
        <v>1</v>
      </c>
      <c r="AU922" s="575">
        <v>1</v>
      </c>
      <c r="AV922" s="575">
        <v>1</v>
      </c>
      <c r="AW922" s="575">
        <v>1</v>
      </c>
      <c r="AX922" s="575">
        <v>1</v>
      </c>
      <c r="AY922" s="575">
        <v>1</v>
      </c>
      <c r="AZ922" s="575">
        <v>1</v>
      </c>
      <c r="BA922" s="575">
        <v>1</v>
      </c>
      <c r="BB922" s="575">
        <v>1</v>
      </c>
      <c r="BC922" s="575">
        <v>1</v>
      </c>
      <c r="BD922" s="575">
        <v>1</v>
      </c>
      <c r="BE922" s="575">
        <v>1</v>
      </c>
      <c r="BF922" s="575">
        <v>1</v>
      </c>
      <c r="BG922" s="575">
        <v>1</v>
      </c>
      <c r="BH922" s="575">
        <v>1</v>
      </c>
      <c r="BI922" s="576">
        <v>1</v>
      </c>
      <c r="BJ922" s="477"/>
      <c r="BK922" s="477"/>
      <c r="BL922" s="477"/>
      <c r="BM922" s="477"/>
      <c r="BN922" s="477"/>
      <c r="BO922" s="477"/>
      <c r="BP922" s="477"/>
      <c r="BQ922" s="477"/>
      <c r="BR922" s="477"/>
      <c r="BS922" s="477"/>
      <c r="BT922" s="477"/>
      <c r="BU922" s="477"/>
      <c r="BV922" s="573"/>
      <c r="BW922" s="552"/>
    </row>
    <row r="923" spans="1:75" ht="15.75" customHeight="1" x14ac:dyDescent="0.2">
      <c r="A923" s="582"/>
      <c r="B923" s="549"/>
      <c r="C923" s="583"/>
      <c r="D923" s="583"/>
      <c r="E923" s="583"/>
      <c r="F923" s="583"/>
      <c r="G923" s="583"/>
      <c r="H923" s="583"/>
      <c r="I923" s="583"/>
      <c r="J923" s="583"/>
      <c r="K923" s="583"/>
      <c r="L923" s="583"/>
      <c r="M923" s="583"/>
      <c r="N923" s="583"/>
      <c r="O923" s="583"/>
      <c r="P923" s="583"/>
      <c r="Q923" s="583"/>
      <c r="R923" s="583"/>
      <c r="S923" s="583"/>
      <c r="T923" s="583"/>
      <c r="U923" s="583"/>
      <c r="V923" s="583"/>
      <c r="W923" s="583"/>
      <c r="X923" s="583"/>
      <c r="Y923" s="583"/>
      <c r="Z923" s="583"/>
      <c r="AA923" s="583"/>
      <c r="AB923" s="583"/>
      <c r="AC923" s="583"/>
      <c r="AD923" s="583"/>
      <c r="AE923" s="583"/>
      <c r="AF923" s="583"/>
      <c r="AG923" s="583"/>
      <c r="AH923" s="583"/>
      <c r="AI923" s="583"/>
      <c r="AJ923" s="583"/>
      <c r="AK923" s="583"/>
      <c r="AL923" s="583"/>
      <c r="AM923" s="583"/>
      <c r="AN923" s="583"/>
      <c r="AO923" s="583"/>
      <c r="AP923" s="583"/>
      <c r="AQ923" s="583"/>
      <c r="AR923" s="583"/>
      <c r="AS923" s="583"/>
      <c r="AT923" s="583"/>
      <c r="AU923" s="583"/>
      <c r="AV923" s="583"/>
      <c r="AW923" s="583"/>
      <c r="AX923" s="583"/>
      <c r="AY923" s="583"/>
      <c r="AZ923" s="583"/>
      <c r="BA923" s="583"/>
      <c r="BB923" s="583"/>
      <c r="BC923" s="583"/>
      <c r="BD923" s="583"/>
      <c r="BE923" s="583"/>
      <c r="BF923" s="583"/>
      <c r="BG923" s="583"/>
      <c r="BH923" s="583"/>
      <c r="BI923" s="584"/>
      <c r="BJ923" s="583"/>
      <c r="BK923" s="583"/>
      <c r="BL923" s="583"/>
      <c r="BM923" s="583"/>
      <c r="BN923" s="583"/>
      <c r="BO923" s="583"/>
      <c r="BP923" s="583"/>
      <c r="BQ923" s="583"/>
      <c r="BR923" s="583"/>
      <c r="BS923" s="583"/>
      <c r="BT923" s="583"/>
      <c r="BU923" s="583"/>
      <c r="BV923" s="585"/>
      <c r="BW923" s="552"/>
    </row>
    <row r="924" spans="1:75" ht="15.75" customHeight="1" x14ac:dyDescent="0.2">
      <c r="A924" s="553"/>
      <c r="B924" s="553"/>
      <c r="C924" s="556"/>
      <c r="D924" s="556"/>
      <c r="E924" s="556"/>
      <c r="F924" s="556"/>
      <c r="G924" s="556"/>
      <c r="H924" s="556"/>
      <c r="I924" s="556"/>
      <c r="J924" s="556"/>
      <c r="K924" s="556"/>
      <c r="L924" s="556"/>
      <c r="M924" s="556"/>
      <c r="N924" s="556"/>
      <c r="O924" s="556"/>
      <c r="P924" s="556"/>
      <c r="Q924" s="556"/>
      <c r="R924" s="556"/>
      <c r="S924" s="556"/>
      <c r="T924" s="556"/>
      <c r="U924" s="556"/>
      <c r="V924" s="556"/>
      <c r="W924" s="556"/>
      <c r="X924" s="556"/>
      <c r="Y924" s="556"/>
      <c r="Z924" s="556"/>
      <c r="AA924" s="556"/>
      <c r="AB924" s="556"/>
      <c r="AC924" s="556"/>
      <c r="AD924" s="556"/>
      <c r="AE924" s="556"/>
      <c r="AF924" s="556"/>
      <c r="AG924" s="556"/>
      <c r="AH924" s="556"/>
      <c r="AI924" s="556"/>
      <c r="AJ924" s="556"/>
      <c r="AK924" s="556"/>
      <c r="AL924" s="556"/>
      <c r="AM924" s="556"/>
      <c r="AN924" s="556"/>
      <c r="AO924" s="556"/>
      <c r="AP924" s="556"/>
      <c r="AQ924" s="556"/>
      <c r="AR924" s="556"/>
      <c r="AS924" s="556"/>
      <c r="AT924" s="556"/>
      <c r="AU924" s="556"/>
      <c r="AV924" s="556"/>
      <c r="AW924" s="556"/>
      <c r="AX924" s="556"/>
      <c r="AY924" s="556"/>
      <c r="AZ924" s="556"/>
      <c r="BA924" s="556"/>
      <c r="BB924" s="556"/>
      <c r="BC924" s="556"/>
      <c r="BD924" s="556"/>
      <c r="BE924" s="556"/>
      <c r="BF924" s="556"/>
      <c r="BG924" s="556"/>
      <c r="BH924" s="556"/>
      <c r="BI924" s="557"/>
      <c r="BJ924" s="556"/>
      <c r="BK924" s="556"/>
      <c r="BL924" s="556"/>
      <c r="BM924" s="556"/>
      <c r="BN924" s="556"/>
      <c r="BO924" s="556"/>
      <c r="BP924" s="556"/>
      <c r="BQ924" s="556"/>
      <c r="BR924" s="556"/>
      <c r="BS924" s="556"/>
      <c r="BT924" s="556"/>
      <c r="BU924" s="556"/>
      <c r="BV924" s="556"/>
      <c r="BW924" s="29"/>
    </row>
    <row r="925" spans="1:75" ht="15.75" customHeight="1" x14ac:dyDescent="0.2">
      <c r="A925" s="105" t="s">
        <v>942</v>
      </c>
      <c r="B925" s="355"/>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3"/>
      <c r="BJ925" s="2"/>
      <c r="BK925" s="2"/>
      <c r="BL925" s="2"/>
      <c r="BM925" s="2"/>
      <c r="BN925" s="2"/>
      <c r="BO925" s="2"/>
      <c r="BP925" s="2"/>
      <c r="BQ925" s="2"/>
      <c r="BR925" s="2"/>
      <c r="BS925" s="2"/>
      <c r="BT925" s="2"/>
      <c r="BU925" s="2"/>
      <c r="BV925" s="2"/>
      <c r="BW925" s="4"/>
    </row>
    <row r="926" spans="1:75" ht="15.75" customHeight="1" x14ac:dyDescent="0.2">
      <c r="A926" s="463" t="s">
        <v>943</v>
      </c>
      <c r="B926" s="464">
        <v>35.479999999999997</v>
      </c>
      <c r="C926" s="464"/>
      <c r="D926" s="464"/>
      <c r="E926" s="464"/>
      <c r="F926" s="464"/>
      <c r="G926" s="464"/>
      <c r="H926" s="464"/>
      <c r="I926" s="464"/>
      <c r="J926" s="464"/>
      <c r="K926" s="464"/>
      <c r="L926" s="464"/>
      <c r="M926" s="464"/>
      <c r="N926" s="464"/>
      <c r="O926" s="464"/>
      <c r="P926" s="464"/>
      <c r="Q926" s="464"/>
      <c r="R926" s="464"/>
      <c r="S926" s="464"/>
      <c r="T926" s="464"/>
      <c r="U926" s="464"/>
      <c r="V926" s="464"/>
      <c r="W926" s="464"/>
      <c r="X926" s="464"/>
      <c r="Y926" s="464"/>
      <c r="Z926" s="464"/>
      <c r="AA926" s="464"/>
      <c r="AB926" s="464"/>
      <c r="AC926" s="464"/>
      <c r="AD926" s="464"/>
      <c r="AE926" s="464"/>
      <c r="AF926" s="464"/>
      <c r="AG926" s="464"/>
      <c r="AH926" s="464"/>
      <c r="AI926" s="464"/>
      <c r="AJ926" s="464"/>
      <c r="AK926" s="464"/>
      <c r="AL926" s="464"/>
      <c r="AM926" s="464"/>
      <c r="AN926" s="464"/>
      <c r="AO926" s="464"/>
      <c r="AP926" s="464"/>
      <c r="AQ926" s="464"/>
      <c r="AR926" s="464"/>
      <c r="AS926" s="464"/>
      <c r="AT926" s="464"/>
      <c r="AU926" s="464"/>
      <c r="AV926" s="464"/>
      <c r="AW926" s="464"/>
      <c r="AX926" s="464"/>
      <c r="AY926" s="464"/>
      <c r="AZ926" s="464"/>
      <c r="BA926" s="464"/>
      <c r="BB926" s="464"/>
      <c r="BC926" s="464"/>
      <c r="BD926" s="464"/>
      <c r="BE926" s="464"/>
      <c r="BF926" s="464"/>
      <c r="BG926" s="464"/>
      <c r="BH926" s="464"/>
      <c r="BI926" s="564"/>
      <c r="BJ926" s="464"/>
      <c r="BK926" s="464"/>
      <c r="BL926" s="464"/>
      <c r="BM926" s="464"/>
      <c r="BN926" s="464"/>
      <c r="BO926" s="464"/>
      <c r="BP926" s="464"/>
      <c r="BQ926" s="464"/>
      <c r="BR926" s="464"/>
      <c r="BS926" s="464"/>
      <c r="BT926" s="464"/>
      <c r="BU926" s="464"/>
      <c r="BV926" s="464"/>
      <c r="BW926" s="470"/>
    </row>
    <row r="927" spans="1:75" ht="15.75" customHeight="1" x14ac:dyDescent="0.2">
      <c r="A927" s="84" t="s">
        <v>944</v>
      </c>
      <c r="B927" s="586">
        <v>45349</v>
      </c>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10"/>
      <c r="BJ927" s="9"/>
      <c r="BK927" s="9"/>
      <c r="BL927" s="9"/>
      <c r="BM927" s="9"/>
      <c r="BN927" s="9"/>
      <c r="BO927" s="9"/>
      <c r="BP927" s="9"/>
      <c r="BQ927" s="9"/>
      <c r="BR927" s="9"/>
      <c r="BS927" s="9"/>
      <c r="BT927" s="9"/>
      <c r="BU927" s="9"/>
      <c r="BV927" s="9"/>
      <c r="BW927" s="29"/>
    </row>
    <row r="928" spans="1:75" ht="15.75" customHeight="1" x14ac:dyDescent="0.2">
      <c r="A928" s="84" t="s">
        <v>945</v>
      </c>
      <c r="B928" s="29" t="b">
        <v>0</v>
      </c>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10"/>
      <c r="BJ928" s="9"/>
      <c r="BK928" s="9"/>
      <c r="BL928" s="9"/>
      <c r="BM928" s="9"/>
      <c r="BN928" s="9"/>
      <c r="BO928" s="9"/>
      <c r="BP928" s="9"/>
      <c r="BQ928" s="9"/>
      <c r="BR928" s="9"/>
      <c r="BS928" s="9"/>
      <c r="BT928" s="9"/>
      <c r="BU928" s="9"/>
      <c r="BV928" s="9"/>
      <c r="BW928" s="29"/>
    </row>
    <row r="929" spans="1:75" ht="15.75" customHeight="1" x14ac:dyDescent="0.2">
      <c r="A929" s="463" t="s">
        <v>946</v>
      </c>
      <c r="B929" s="470" t="str">
        <f ca="1">IFERROR(CHOOSE(MO.DataSourceIndex,BDP(MO.Ticker.Bloomberg&amp;" EQUITY","LAST_PRICE"),_xll.ciqfunctions.udf.CIQ(MO.Ticker.CapIQ,"IQ_LASTSALEPRICE"),FDS(MO.Ticker.FactSet,"FG_PRICE(NOW)"),_xll.TR(MO.Ticker.Thomson,"TRDPRC_1")),"N/A")</f>
        <v>N/A</v>
      </c>
      <c r="C929" s="464"/>
      <c r="D929" s="464"/>
      <c r="E929" s="464"/>
      <c r="F929" s="464"/>
      <c r="G929" s="464"/>
      <c r="H929" s="464"/>
      <c r="I929" s="464"/>
      <c r="J929" s="464"/>
      <c r="K929" s="464"/>
      <c r="L929" s="464"/>
      <c r="M929" s="464"/>
      <c r="N929" s="464"/>
      <c r="O929" s="464"/>
      <c r="P929" s="464"/>
      <c r="Q929" s="464"/>
      <c r="R929" s="464"/>
      <c r="S929" s="464"/>
      <c r="T929" s="464"/>
      <c r="U929" s="464"/>
      <c r="V929" s="464"/>
      <c r="W929" s="464"/>
      <c r="X929" s="464"/>
      <c r="Y929" s="464"/>
      <c r="Z929" s="464"/>
      <c r="AA929" s="464"/>
      <c r="AB929" s="464"/>
      <c r="AC929" s="464"/>
      <c r="AD929" s="464"/>
      <c r="AE929" s="464"/>
      <c r="AF929" s="464"/>
      <c r="AG929" s="464"/>
      <c r="AH929" s="464"/>
      <c r="AI929" s="464"/>
      <c r="AJ929" s="464"/>
      <c r="AK929" s="464"/>
      <c r="AL929" s="464"/>
      <c r="AM929" s="464"/>
      <c r="AN929" s="464"/>
      <c r="AO929" s="464"/>
      <c r="AP929" s="464"/>
      <c r="AQ929" s="464"/>
      <c r="AR929" s="464"/>
      <c r="AS929" s="464"/>
      <c r="AT929" s="464"/>
      <c r="AU929" s="464"/>
      <c r="AV929" s="464"/>
      <c r="AW929" s="464"/>
      <c r="AX929" s="464"/>
      <c r="AY929" s="464"/>
      <c r="AZ929" s="464"/>
      <c r="BA929" s="464"/>
      <c r="BB929" s="464"/>
      <c r="BC929" s="464"/>
      <c r="BD929" s="464"/>
      <c r="BE929" s="464"/>
      <c r="BF929" s="464"/>
      <c r="BG929" s="464"/>
      <c r="BH929" s="464"/>
      <c r="BI929" s="564"/>
      <c r="BJ929" s="464"/>
      <c r="BK929" s="464"/>
      <c r="BL929" s="464"/>
      <c r="BM929" s="464"/>
      <c r="BN929" s="464"/>
      <c r="BO929" s="464"/>
      <c r="BP929" s="464"/>
      <c r="BQ929" s="464"/>
      <c r="BR929" s="464"/>
      <c r="BS929" s="464"/>
      <c r="BT929" s="464"/>
      <c r="BU929" s="464"/>
      <c r="BV929" s="464"/>
      <c r="BW929" s="470"/>
    </row>
    <row r="930" spans="1:75" ht="15.75" customHeight="1" x14ac:dyDescent="0.2">
      <c r="A930" s="463" t="s">
        <v>947</v>
      </c>
      <c r="B930" s="470" t="b">
        <f>OR(AND(OR(EXACT(HP.TradeCurrency.HardCoded,"GBp"),EXACT(HP.TradeCurrency.HardCoded,"GBX")),EXACT(HP.ReportCurrency,"GBP")),AND(OR(EXACT(HP.TradeCurrency.HardCoded,"ZAc"),EXACT(HP.TradeCurrency.HardCoded,"ZAC")),EXACT(HP.ReportCurrency,"ZAR")))</f>
        <v>0</v>
      </c>
      <c r="C930" s="464"/>
      <c r="D930" s="464"/>
      <c r="E930" s="464"/>
      <c r="F930" s="464"/>
      <c r="G930" s="464"/>
      <c r="H930" s="464"/>
      <c r="I930" s="464"/>
      <c r="J930" s="464"/>
      <c r="K930" s="464"/>
      <c r="L930" s="464"/>
      <c r="M930" s="464"/>
      <c r="N930" s="464"/>
      <c r="O930" s="464"/>
      <c r="P930" s="464"/>
      <c r="Q930" s="464"/>
      <c r="R930" s="464"/>
      <c r="S930" s="464"/>
      <c r="T930" s="464"/>
      <c r="U930" s="464"/>
      <c r="V930" s="464"/>
      <c r="W930" s="464"/>
      <c r="X930" s="464"/>
      <c r="Y930" s="464"/>
      <c r="Z930" s="464"/>
      <c r="AA930" s="464"/>
      <c r="AB930" s="464"/>
      <c r="AC930" s="464"/>
      <c r="AD930" s="464"/>
      <c r="AE930" s="464"/>
      <c r="AF930" s="464"/>
      <c r="AG930" s="464"/>
      <c r="AH930" s="464"/>
      <c r="AI930" s="464"/>
      <c r="AJ930" s="464"/>
      <c r="AK930" s="464"/>
      <c r="AL930" s="464"/>
      <c r="AM930" s="464"/>
      <c r="AN930" s="464"/>
      <c r="AO930" s="464"/>
      <c r="AP930" s="464"/>
      <c r="AQ930" s="464"/>
      <c r="AR930" s="464"/>
      <c r="AS930" s="464"/>
      <c r="AT930" s="464"/>
      <c r="AU930" s="464"/>
      <c r="AV930" s="464"/>
      <c r="AW930" s="464"/>
      <c r="AX930" s="464"/>
      <c r="AY930" s="464"/>
      <c r="AZ930" s="464"/>
      <c r="BA930" s="464"/>
      <c r="BB930" s="464"/>
      <c r="BC930" s="464"/>
      <c r="BD930" s="464"/>
      <c r="BE930" s="464"/>
      <c r="BF930" s="464"/>
      <c r="BG930" s="464"/>
      <c r="BH930" s="464"/>
      <c r="BI930" s="564"/>
      <c r="BJ930" s="464"/>
      <c r="BK930" s="464"/>
      <c r="BL930" s="464"/>
      <c r="BM930" s="464"/>
      <c r="BN930" s="464"/>
      <c r="BO930" s="464"/>
      <c r="BP930" s="464"/>
      <c r="BQ930" s="464"/>
      <c r="BR930" s="464"/>
      <c r="BS930" s="464"/>
      <c r="BT930" s="464"/>
      <c r="BU930" s="464"/>
      <c r="BV930" s="464"/>
      <c r="BW930" s="470"/>
    </row>
    <row r="931" spans="1:75" ht="15.75" customHeight="1" x14ac:dyDescent="0.2">
      <c r="A931" s="463" t="s">
        <v>948</v>
      </c>
      <c r="B931" s="470" t="str">
        <f ca="1">IFERROR(CHOOSE(MO.DataSourceIndex,BDP(HP.Ticker&amp;" Equity","CRNCY"),_xll.ciqfunctions.udf.CIQ(HP.Ticker,"IQ_TRADING_CURRENCY"),FDS(HP.Ticker,"P_CURRENCY(""ISO"")"),_xll.TR(HP.Ticker,"Currency")),HP.TradeCurrency.HardCoded)</f>
        <v>USD</v>
      </c>
      <c r="C931" s="464"/>
      <c r="D931" s="464"/>
      <c r="E931" s="464"/>
      <c r="F931" s="464"/>
      <c r="G931" s="464"/>
      <c r="H931" s="464"/>
      <c r="I931" s="464"/>
      <c r="J931" s="464"/>
      <c r="K931" s="464"/>
      <c r="L931" s="464"/>
      <c r="M931" s="464"/>
      <c r="N931" s="464"/>
      <c r="O931" s="464"/>
      <c r="P931" s="464"/>
      <c r="Q931" s="464"/>
      <c r="R931" s="464"/>
      <c r="S931" s="464"/>
      <c r="T931" s="464"/>
      <c r="U931" s="464"/>
      <c r="V931" s="464"/>
      <c r="W931" s="464"/>
      <c r="X931" s="464"/>
      <c r="Y931" s="464"/>
      <c r="Z931" s="464"/>
      <c r="AA931" s="464"/>
      <c r="AB931" s="464"/>
      <c r="AC931" s="464"/>
      <c r="AD931" s="464"/>
      <c r="AE931" s="464"/>
      <c r="AF931" s="464"/>
      <c r="AG931" s="464"/>
      <c r="AH931" s="464"/>
      <c r="AI931" s="464"/>
      <c r="AJ931" s="464"/>
      <c r="AK931" s="464"/>
      <c r="AL931" s="464"/>
      <c r="AM931" s="464"/>
      <c r="AN931" s="464"/>
      <c r="AO931" s="464"/>
      <c r="AP931" s="464"/>
      <c r="AQ931" s="464"/>
      <c r="AR931" s="464"/>
      <c r="AS931" s="464"/>
      <c r="AT931" s="464"/>
      <c r="AU931" s="464"/>
      <c r="AV931" s="464"/>
      <c r="AW931" s="464"/>
      <c r="AX931" s="464"/>
      <c r="AY931" s="464"/>
      <c r="AZ931" s="464"/>
      <c r="BA931" s="464"/>
      <c r="BB931" s="464"/>
      <c r="BC931" s="464"/>
      <c r="BD931" s="464"/>
      <c r="BE931" s="464"/>
      <c r="BF931" s="464"/>
      <c r="BG931" s="464"/>
      <c r="BH931" s="464"/>
      <c r="BI931" s="564"/>
      <c r="BJ931" s="464"/>
      <c r="BK931" s="464"/>
      <c r="BL931" s="464"/>
      <c r="BM931" s="464"/>
      <c r="BN931" s="464"/>
      <c r="BO931" s="464"/>
      <c r="BP931" s="464"/>
      <c r="BQ931" s="464"/>
      <c r="BR931" s="464"/>
      <c r="BS931" s="464"/>
      <c r="BT931" s="464"/>
      <c r="BU931" s="464"/>
      <c r="BV931" s="464"/>
      <c r="BW931" s="470"/>
    </row>
    <row r="932" spans="1:75" ht="15.75" customHeight="1" x14ac:dyDescent="0.2">
      <c r="A932" s="463" t="s">
        <v>949</v>
      </c>
      <c r="B932" s="567" t="s">
        <v>950</v>
      </c>
      <c r="C932" s="464"/>
      <c r="D932" s="464"/>
      <c r="E932" s="464"/>
      <c r="F932" s="464"/>
      <c r="G932" s="464"/>
      <c r="H932" s="464"/>
      <c r="I932" s="464"/>
      <c r="J932" s="464"/>
      <c r="K932" s="464"/>
      <c r="L932" s="464"/>
      <c r="M932" s="464"/>
      <c r="N932" s="464"/>
      <c r="O932" s="464"/>
      <c r="P932" s="464"/>
      <c r="Q932" s="464"/>
      <c r="R932" s="464"/>
      <c r="S932" s="464"/>
      <c r="T932" s="464"/>
      <c r="U932" s="464"/>
      <c r="V932" s="464"/>
      <c r="W932" s="464"/>
      <c r="X932" s="464"/>
      <c r="Y932" s="464"/>
      <c r="Z932" s="464"/>
      <c r="AA932" s="464"/>
      <c r="AB932" s="464"/>
      <c r="AC932" s="464"/>
      <c r="AD932" s="464"/>
      <c r="AE932" s="464"/>
      <c r="AF932" s="464"/>
      <c r="AG932" s="464"/>
      <c r="AH932" s="464"/>
      <c r="AI932" s="464"/>
      <c r="AJ932" s="464"/>
      <c r="AK932" s="464"/>
      <c r="AL932" s="464"/>
      <c r="AM932" s="464"/>
      <c r="AN932" s="464"/>
      <c r="AO932" s="464"/>
      <c r="AP932" s="464"/>
      <c r="AQ932" s="464"/>
      <c r="AR932" s="464"/>
      <c r="AS932" s="464"/>
      <c r="AT932" s="464"/>
      <c r="AU932" s="464"/>
      <c r="AV932" s="464"/>
      <c r="AW932" s="464"/>
      <c r="AX932" s="464"/>
      <c r="AY932" s="464"/>
      <c r="AZ932" s="464"/>
      <c r="BA932" s="464"/>
      <c r="BB932" s="464"/>
      <c r="BC932" s="464"/>
      <c r="BD932" s="464"/>
      <c r="BE932" s="464"/>
      <c r="BF932" s="464"/>
      <c r="BG932" s="464"/>
      <c r="BH932" s="464"/>
      <c r="BI932" s="564"/>
      <c r="BJ932" s="464"/>
      <c r="BK932" s="464"/>
      <c r="BL932" s="464"/>
      <c r="BM932" s="464"/>
      <c r="BN932" s="464"/>
      <c r="BO932" s="464"/>
      <c r="BP932" s="464"/>
      <c r="BQ932" s="464"/>
      <c r="BR932" s="464"/>
      <c r="BS932" s="464"/>
      <c r="BT932" s="464"/>
      <c r="BU932" s="464"/>
      <c r="BV932" s="464"/>
      <c r="BW932" s="470"/>
    </row>
    <row r="933" spans="1:75" ht="15.75" customHeight="1" x14ac:dyDescent="0.2">
      <c r="A933" s="463" t="s">
        <v>951</v>
      </c>
      <c r="B933" s="567" t="s">
        <v>950</v>
      </c>
      <c r="C933" s="464"/>
      <c r="D933" s="464"/>
      <c r="E933" s="464"/>
      <c r="F933" s="464"/>
      <c r="G933" s="464"/>
      <c r="H933" s="464"/>
      <c r="I933" s="464"/>
      <c r="J933" s="464"/>
      <c r="K933" s="464"/>
      <c r="L933" s="464"/>
      <c r="M933" s="464"/>
      <c r="N933" s="464"/>
      <c r="O933" s="464"/>
      <c r="P933" s="464"/>
      <c r="Q933" s="464"/>
      <c r="R933" s="464"/>
      <c r="S933" s="464"/>
      <c r="T933" s="464"/>
      <c r="U933" s="464"/>
      <c r="V933" s="464"/>
      <c r="W933" s="464"/>
      <c r="X933" s="464"/>
      <c r="Y933" s="464"/>
      <c r="Z933" s="464"/>
      <c r="AA933" s="464"/>
      <c r="AB933" s="464"/>
      <c r="AC933" s="464"/>
      <c r="AD933" s="464"/>
      <c r="AE933" s="464"/>
      <c r="AF933" s="464"/>
      <c r="AG933" s="464"/>
      <c r="AH933" s="464"/>
      <c r="AI933" s="464"/>
      <c r="AJ933" s="464"/>
      <c r="AK933" s="464"/>
      <c r="AL933" s="464"/>
      <c r="AM933" s="464"/>
      <c r="AN933" s="464"/>
      <c r="AO933" s="464"/>
      <c r="AP933" s="464"/>
      <c r="AQ933" s="464"/>
      <c r="AR933" s="464"/>
      <c r="AS933" s="464"/>
      <c r="AT933" s="464"/>
      <c r="AU933" s="464"/>
      <c r="AV933" s="464"/>
      <c r="AW933" s="464"/>
      <c r="AX933" s="464"/>
      <c r="AY933" s="464"/>
      <c r="AZ933" s="464"/>
      <c r="BA933" s="464"/>
      <c r="BB933" s="464"/>
      <c r="BC933" s="464"/>
      <c r="BD933" s="464"/>
      <c r="BE933" s="464"/>
      <c r="BF933" s="464"/>
      <c r="BG933" s="464"/>
      <c r="BH933" s="464"/>
      <c r="BI933" s="564"/>
      <c r="BJ933" s="464"/>
      <c r="BK933" s="464"/>
      <c r="BL933" s="464"/>
      <c r="BM933" s="464"/>
      <c r="BN933" s="464"/>
      <c r="BO933" s="464"/>
      <c r="BP933" s="464"/>
      <c r="BQ933" s="464"/>
      <c r="BR933" s="464"/>
      <c r="BS933" s="464"/>
      <c r="BT933" s="464"/>
      <c r="BU933" s="464"/>
      <c r="BV933" s="464"/>
      <c r="BW933" s="470"/>
    </row>
    <row r="934" spans="1:75" ht="15.75" customHeight="1" x14ac:dyDescent="0.2">
      <c r="A934" s="463" t="s">
        <v>952</v>
      </c>
      <c r="B934" s="483">
        <f t="array" aca="1" ref="B934" ca="1">IF(EXACT(MO.ReportFX,HP.TradeCurrency),1,IF(OR(INDEX(MO_SPT_FXAverage,1,MO.MRFPColumnNumber+1)="N/A",ISERROR(INDEX(MO_SPT_FXAverage,1,MO.MRFPColumnNumber+1))),MO.MRFX.Hardcoded,INDEX(MO_SPT_FXAverage,1,MO.MRFPColumnNumber+1)))</f>
        <v>1</v>
      </c>
      <c r="C934" s="464"/>
      <c r="D934" s="464"/>
      <c r="E934" s="464"/>
      <c r="F934" s="464"/>
      <c r="G934" s="464"/>
      <c r="H934" s="464"/>
      <c r="I934" s="464"/>
      <c r="J934" s="464"/>
      <c r="K934" s="464"/>
      <c r="L934" s="464"/>
      <c r="M934" s="464"/>
      <c r="N934" s="464"/>
      <c r="O934" s="464"/>
      <c r="P934" s="464"/>
      <c r="Q934" s="464"/>
      <c r="R934" s="464"/>
      <c r="S934" s="464"/>
      <c r="T934" s="464"/>
      <c r="U934" s="464"/>
      <c r="V934" s="464"/>
      <c r="W934" s="464"/>
      <c r="X934" s="464"/>
      <c r="Y934" s="464"/>
      <c r="Z934" s="464"/>
      <c r="AA934" s="464"/>
      <c r="AB934" s="464"/>
      <c r="AC934" s="464"/>
      <c r="AD934" s="464"/>
      <c r="AE934" s="464"/>
      <c r="AF934" s="464"/>
      <c r="AG934" s="464"/>
      <c r="AH934" s="464"/>
      <c r="AI934" s="464"/>
      <c r="AJ934" s="464"/>
      <c r="AK934" s="464"/>
      <c r="AL934" s="464"/>
      <c r="AM934" s="464"/>
      <c r="AN934" s="464"/>
      <c r="AO934" s="464"/>
      <c r="AP934" s="464"/>
      <c r="AQ934" s="464"/>
      <c r="AR934" s="464"/>
      <c r="AS934" s="464"/>
      <c r="AT934" s="464"/>
      <c r="AU934" s="464"/>
      <c r="AV934" s="464"/>
      <c r="AW934" s="464"/>
      <c r="AX934" s="464"/>
      <c r="AY934" s="464"/>
      <c r="AZ934" s="464"/>
      <c r="BA934" s="464"/>
      <c r="BB934" s="464"/>
      <c r="BC934" s="464"/>
      <c r="BD934" s="464"/>
      <c r="BE934" s="464"/>
      <c r="BF934" s="464"/>
      <c r="BG934" s="464"/>
      <c r="BH934" s="464"/>
      <c r="BI934" s="564"/>
      <c r="BJ934" s="464"/>
      <c r="BK934" s="464"/>
      <c r="BL934" s="464"/>
      <c r="BM934" s="464"/>
      <c r="BN934" s="464"/>
      <c r="BO934" s="464"/>
      <c r="BP934" s="464"/>
      <c r="BQ934" s="464"/>
      <c r="BR934" s="464"/>
      <c r="BS934" s="464"/>
      <c r="BT934" s="464"/>
      <c r="BU934" s="464"/>
      <c r="BV934" s="464"/>
      <c r="BW934" s="470"/>
    </row>
    <row r="935" spans="1:75" ht="15.75" customHeight="1" x14ac:dyDescent="0.2">
      <c r="A935" s="463" t="s">
        <v>953</v>
      </c>
      <c r="B935" s="575">
        <v>1</v>
      </c>
      <c r="C935" s="464"/>
      <c r="D935" s="464"/>
      <c r="E935" s="464"/>
      <c r="F935" s="464"/>
      <c r="G935" s="464"/>
      <c r="H935" s="464"/>
      <c r="I935" s="464"/>
      <c r="J935" s="464"/>
      <c r="K935" s="464"/>
      <c r="L935" s="464"/>
      <c r="M935" s="464"/>
      <c r="N935" s="464"/>
      <c r="O935" s="464"/>
      <c r="P935" s="464"/>
      <c r="Q935" s="464"/>
      <c r="R935" s="464"/>
      <c r="S935" s="464"/>
      <c r="T935" s="464"/>
      <c r="U935" s="464"/>
      <c r="V935" s="464"/>
      <c r="W935" s="464"/>
      <c r="X935" s="464"/>
      <c r="Y935" s="464"/>
      <c r="Z935" s="464"/>
      <c r="AA935" s="464"/>
      <c r="AB935" s="464"/>
      <c r="AC935" s="464"/>
      <c r="AD935" s="464"/>
      <c r="AE935" s="464"/>
      <c r="AF935" s="464"/>
      <c r="AG935" s="464"/>
      <c r="AH935" s="464"/>
      <c r="AI935" s="464"/>
      <c r="AJ935" s="464"/>
      <c r="AK935" s="464"/>
      <c r="AL935" s="464"/>
      <c r="AM935" s="464"/>
      <c r="AN935" s="464"/>
      <c r="AO935" s="464"/>
      <c r="AP935" s="464"/>
      <c r="AQ935" s="464"/>
      <c r="AR935" s="464"/>
      <c r="AS935" s="464"/>
      <c r="AT935" s="464"/>
      <c r="AU935" s="464"/>
      <c r="AV935" s="464"/>
      <c r="AW935" s="464"/>
      <c r="AX935" s="464"/>
      <c r="AY935" s="464"/>
      <c r="AZ935" s="464"/>
      <c r="BA935" s="464"/>
      <c r="BB935" s="464"/>
      <c r="BC935" s="464"/>
      <c r="BD935" s="464"/>
      <c r="BE935" s="464"/>
      <c r="BF935" s="464"/>
      <c r="BG935" s="464"/>
      <c r="BH935" s="464"/>
      <c r="BI935" s="564"/>
      <c r="BJ935" s="464"/>
      <c r="BK935" s="464"/>
      <c r="BL935" s="464"/>
      <c r="BM935" s="464"/>
      <c r="BN935" s="464"/>
      <c r="BO935" s="464"/>
      <c r="BP935" s="464"/>
      <c r="BQ935" s="464"/>
      <c r="BR935" s="464"/>
      <c r="BS935" s="464"/>
      <c r="BT935" s="464"/>
      <c r="BU935" s="464"/>
      <c r="BV935" s="464"/>
      <c r="BW935" s="470"/>
    </row>
    <row r="936" spans="1:75" ht="15.75" customHeight="1" x14ac:dyDescent="0.2">
      <c r="A936" s="124" t="s">
        <v>954</v>
      </c>
      <c r="B936" s="131">
        <f>MATCH(MO.MRFP,MO_Common_ColumnHeader,0)</f>
        <v>61</v>
      </c>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c r="AY936" s="154"/>
      <c r="AZ936" s="154"/>
      <c r="BA936" s="154"/>
      <c r="BB936" s="154"/>
      <c r="BC936" s="154"/>
      <c r="BD936" s="154"/>
      <c r="BE936" s="154"/>
      <c r="BF936" s="154"/>
      <c r="BG936" s="154"/>
      <c r="BH936" s="154"/>
      <c r="BI936" s="507"/>
      <c r="BJ936" s="154"/>
      <c r="BK936" s="154"/>
      <c r="BL936" s="154"/>
      <c r="BM936" s="154"/>
      <c r="BN936" s="154"/>
      <c r="BO936" s="154"/>
      <c r="BP936" s="154"/>
      <c r="BQ936" s="154"/>
      <c r="BR936" s="154"/>
      <c r="BS936" s="154"/>
      <c r="BT936" s="154"/>
      <c r="BU936" s="154"/>
      <c r="BV936" s="154"/>
      <c r="BW936" s="131"/>
    </row>
    <row r="937" spans="1:75" ht="15.75" customHeight="1" x14ac:dyDescent="0.2">
      <c r="A937" s="124" t="s">
        <v>955</v>
      </c>
      <c r="B937" s="127" t="s">
        <v>206</v>
      </c>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c r="BG937" s="154"/>
      <c r="BH937" s="154"/>
      <c r="BI937" s="507"/>
      <c r="BJ937" s="154"/>
      <c r="BK937" s="154"/>
      <c r="BL937" s="154"/>
      <c r="BM937" s="154"/>
      <c r="BN937" s="154"/>
      <c r="BO937" s="154"/>
      <c r="BP937" s="154"/>
      <c r="BQ937" s="154"/>
      <c r="BR937" s="154"/>
      <c r="BS937" s="154"/>
      <c r="BT937" s="154"/>
      <c r="BU937" s="154"/>
      <c r="BV937" s="154"/>
      <c r="BW937" s="131"/>
    </row>
    <row r="938" spans="1:75" ht="15.75" customHeight="1" x14ac:dyDescent="0.2">
      <c r="A938" s="124" t="s">
        <v>956</v>
      </c>
      <c r="B938" s="131" t="str">
        <f>"FY"&amp;RIGHT(MO.MRFP,4)</f>
        <v>FY2023</v>
      </c>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c r="BG938" s="154"/>
      <c r="BH938" s="154"/>
      <c r="BI938" s="507"/>
      <c r="BJ938" s="154"/>
      <c r="BK938" s="154"/>
      <c r="BL938" s="154"/>
      <c r="BM938" s="154"/>
      <c r="BN938" s="154"/>
      <c r="BO938" s="154"/>
      <c r="BP938" s="154"/>
      <c r="BQ938" s="154"/>
      <c r="BR938" s="154"/>
      <c r="BS938" s="154"/>
      <c r="BT938" s="154"/>
      <c r="BU938" s="154"/>
      <c r="BV938" s="154"/>
      <c r="BW938" s="131"/>
    </row>
    <row r="939" spans="1:75" ht="15.75" customHeight="1" x14ac:dyDescent="0.2">
      <c r="A939" s="124" t="s">
        <v>957</v>
      </c>
      <c r="B939" s="131" t="str">
        <f>"FY"&amp;RIGHT(MO.MRFP,4)+IF(LEFT(MO.MRFP,2)="FY",1,0)</f>
        <v>FY2024</v>
      </c>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c r="AB939" s="154"/>
      <c r="AC939" s="154"/>
      <c r="AD939" s="154"/>
      <c r="AE939" s="154"/>
      <c r="AF939" s="154"/>
      <c r="AG939" s="154"/>
      <c r="AH939" s="154"/>
      <c r="AI939" s="154"/>
      <c r="AJ939" s="154"/>
      <c r="AK939" s="154"/>
      <c r="AL939" s="154"/>
      <c r="AM939" s="154"/>
      <c r="AN939" s="154"/>
      <c r="AO939" s="154"/>
      <c r="AP939" s="154"/>
      <c r="AQ939" s="154"/>
      <c r="AR939" s="154"/>
      <c r="AS939" s="154"/>
      <c r="AT939" s="154"/>
      <c r="AU939" s="154"/>
      <c r="AV939" s="154"/>
      <c r="AW939" s="154"/>
      <c r="AX939" s="154"/>
      <c r="AY939" s="154"/>
      <c r="AZ939" s="154"/>
      <c r="BA939" s="154"/>
      <c r="BB939" s="154"/>
      <c r="BC939" s="154"/>
      <c r="BD939" s="154"/>
      <c r="BE939" s="154"/>
      <c r="BF939" s="154"/>
      <c r="BG939" s="154"/>
      <c r="BH939" s="154"/>
      <c r="BI939" s="507"/>
      <c r="BJ939" s="154"/>
      <c r="BK939" s="154"/>
      <c r="BL939" s="154"/>
      <c r="BM939" s="154"/>
      <c r="BN939" s="154"/>
      <c r="BO939" s="154"/>
      <c r="BP939" s="154"/>
      <c r="BQ939" s="154"/>
      <c r="BR939" s="154"/>
      <c r="BS939" s="154"/>
      <c r="BT939" s="154"/>
      <c r="BU939" s="154"/>
      <c r="BV939" s="154"/>
      <c r="BW939" s="131"/>
    </row>
    <row r="940" spans="1:75" ht="15.75" customHeight="1" x14ac:dyDescent="0.2">
      <c r="A940" s="124" t="s">
        <v>958</v>
      </c>
      <c r="B940" s="131">
        <f>COUNTA(tb_KPIs)-1</f>
        <v>22</v>
      </c>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154"/>
      <c r="BH940" s="154"/>
      <c r="BI940" s="507"/>
      <c r="BJ940" s="154"/>
      <c r="BK940" s="154"/>
      <c r="BL940" s="154"/>
      <c r="BM940" s="154"/>
      <c r="BN940" s="154"/>
      <c r="BO940" s="154"/>
      <c r="BP940" s="154"/>
      <c r="BQ940" s="154"/>
      <c r="BR940" s="154"/>
      <c r="BS940" s="154"/>
      <c r="BT940" s="154"/>
      <c r="BU940" s="154"/>
      <c r="BV940" s="154"/>
      <c r="BW940" s="131"/>
    </row>
    <row r="941" spans="1:75" ht="15.75" customHeight="1" x14ac:dyDescent="0.2">
      <c r="A941" s="132" t="s">
        <v>959</v>
      </c>
      <c r="B941" s="135">
        <f>IF(MO.DataSourceName="Bloomberg",1,IF(MO.DataSourceName="Capital IQ",2,IF(MO.DataSourceName="FactSet",3,IF(MO.DataSourceName="Refinitiv",4,1))))</f>
        <v>1</v>
      </c>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154"/>
      <c r="BH941" s="154"/>
      <c r="BI941" s="507"/>
      <c r="BJ941" s="154"/>
      <c r="BK941" s="154"/>
      <c r="BL941" s="154"/>
      <c r="BM941" s="154"/>
      <c r="BN941" s="154"/>
      <c r="BO941" s="154"/>
      <c r="BP941" s="154"/>
      <c r="BQ941" s="154"/>
      <c r="BR941" s="154"/>
      <c r="BS941" s="154"/>
      <c r="BT941" s="154"/>
      <c r="BU941" s="154"/>
      <c r="BV941" s="154"/>
      <c r="BW941" s="131"/>
    </row>
    <row r="942" spans="1:75" ht="15.75" customHeight="1" x14ac:dyDescent="0.2">
      <c r="A942" s="556"/>
      <c r="B942" s="556"/>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10"/>
      <c r="BJ942" s="9"/>
      <c r="BK942" s="9"/>
      <c r="BL942" s="9"/>
      <c r="BM942" s="9"/>
      <c r="BN942" s="9"/>
      <c r="BO942" s="9"/>
      <c r="BP942" s="9"/>
      <c r="BQ942" s="9"/>
      <c r="BR942" s="9"/>
      <c r="BS942" s="9"/>
      <c r="BT942" s="9"/>
      <c r="BU942" s="9"/>
      <c r="BV942" s="9"/>
      <c r="BW942" s="29"/>
    </row>
    <row r="943" spans="1:75" ht="15.75" customHeight="1" x14ac:dyDescent="0.2">
      <c r="A943" s="375" t="s">
        <v>960</v>
      </c>
      <c r="B943" s="587"/>
      <c r="C943" s="587"/>
      <c r="D943" s="587"/>
      <c r="E943" s="587"/>
      <c r="F943" s="587"/>
      <c r="G943" s="587"/>
      <c r="H943" s="587"/>
      <c r="I943" s="587"/>
      <c r="J943" s="587"/>
      <c r="K943" s="587"/>
      <c r="L943" s="587"/>
      <c r="M943" s="587"/>
      <c r="N943" s="587"/>
      <c r="O943" s="587"/>
      <c r="P943" s="587"/>
      <c r="Q943" s="587"/>
      <c r="R943" s="587"/>
      <c r="S943" s="587"/>
      <c r="T943" s="587"/>
      <c r="U943" s="587"/>
      <c r="V943" s="587"/>
      <c r="W943" s="587"/>
      <c r="X943" s="587"/>
      <c r="Y943" s="587"/>
      <c r="Z943" s="587"/>
      <c r="AA943" s="587"/>
      <c r="AB943" s="587"/>
      <c r="AC943" s="587"/>
      <c r="AD943" s="587"/>
      <c r="AE943" s="587"/>
      <c r="AF943" s="587"/>
      <c r="AG943" s="587"/>
      <c r="AH943" s="587"/>
      <c r="AI943" s="587"/>
      <c r="AJ943" s="587"/>
      <c r="AK943" s="587"/>
      <c r="AL943" s="587"/>
      <c r="AM943" s="587"/>
      <c r="AN943" s="587"/>
      <c r="AO943" s="587"/>
      <c r="AP943" s="587"/>
      <c r="AQ943" s="587"/>
      <c r="AR943" s="587"/>
      <c r="AS943" s="587"/>
      <c r="AT943" s="587"/>
      <c r="AU943" s="587"/>
      <c r="AV943" s="587"/>
      <c r="AW943" s="587"/>
      <c r="AX943" s="587"/>
      <c r="AY943" s="587"/>
      <c r="AZ943" s="587"/>
      <c r="BA943" s="587"/>
      <c r="BB943" s="587"/>
      <c r="BC943" s="587"/>
      <c r="BD943" s="587"/>
      <c r="BE943" s="587"/>
      <c r="BF943" s="587"/>
      <c r="BG943" s="587"/>
      <c r="BH943" s="587"/>
      <c r="BI943" s="587"/>
      <c r="BJ943" s="587"/>
      <c r="BK943" s="587"/>
      <c r="BL943" s="587"/>
      <c r="BM943" s="587"/>
      <c r="BN943" s="587"/>
      <c r="BO943" s="587"/>
      <c r="BP943" s="587"/>
      <c r="BQ943" s="587"/>
      <c r="BR943" s="587"/>
      <c r="BS943" s="587"/>
      <c r="BT943" s="587"/>
      <c r="BU943" s="587"/>
      <c r="BV943" s="587"/>
      <c r="BW943" s="29"/>
    </row>
    <row r="944" spans="1:75" ht="15.75" customHeight="1" x14ac:dyDescent="0.2">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29"/>
      <c r="AY944" s="29"/>
      <c r="AZ944" s="29"/>
      <c r="BA944" s="29"/>
      <c r="BB944" s="29"/>
      <c r="BC944" s="29"/>
      <c r="BD944" s="29"/>
      <c r="BE944" s="29"/>
      <c r="BF944" s="29"/>
      <c r="BG944" s="29"/>
      <c r="BH944" s="29"/>
      <c r="BI944" s="29"/>
      <c r="BJ944" s="29"/>
      <c r="BK944" s="29"/>
      <c r="BL944" s="29"/>
      <c r="BM944" s="29"/>
      <c r="BN944" s="29"/>
      <c r="BO944" s="29"/>
      <c r="BP944" s="29"/>
      <c r="BQ944" s="29"/>
      <c r="BR944" s="29"/>
      <c r="BS944" s="29"/>
      <c r="BT944" s="29"/>
      <c r="BU944" s="29"/>
      <c r="BV944" s="29"/>
      <c r="BW944" s="29"/>
    </row>
  </sheetData>
  <conditionalFormatting sqref="C358:BV358">
    <cfRule type="cellIs" dxfId="7" priority="1" operator="equal">
      <formula>0</formula>
    </cfRule>
    <cfRule type="cellIs" dxfId="6" priority="2" operator="notEqual">
      <formula>0</formula>
    </cfRule>
  </conditionalFormatting>
  <conditionalFormatting sqref="C704:BV704">
    <cfRule type="cellIs" dxfId="5" priority="3" operator="equal">
      <formula>0</formula>
    </cfRule>
    <cfRule type="cellIs" dxfId="4" priority="4" operator="notEqual">
      <formula>0</formula>
    </cfRule>
  </conditionalFormatting>
  <conditionalFormatting sqref="C793:BV793">
    <cfRule type="cellIs" dxfId="3" priority="5" operator="equal">
      <formula>0</formula>
    </cfRule>
    <cfRule type="cellIs" dxfId="2" priority="6" operator="notEqual">
      <formula>0</formula>
    </cfRule>
  </conditionalFormatting>
  <conditionalFormatting sqref="C796:BV801 C802:D802 F802:X802 Z802:BV802 C803:BV815 C816:AX816 AZ816:BV816">
    <cfRule type="cellIs" dxfId="1" priority="7" operator="equal">
      <formula>0</formula>
    </cfRule>
    <cfRule type="cellIs" dxfId="0" priority="8" operator="notEqual">
      <formula>0</formula>
    </cfRule>
  </conditionalFormatting>
  <dataValidations disablePrompts="1" count="1">
    <dataValidation type="list" allowBlank="1" showErrorMessage="1" sqref="B539" xr:uid="{A025573F-DF3C-4BFF-B008-8808C8BD478D}">
      <formula1>OFFSET(tb_ValuationToggle,1,0,4,1)</formula1>
    </dataValidation>
  </dataValidations>
  <pageMargins left="0" right="0" top="0.39370078740157499" bottom="0" header="0" footer="0"/>
  <pageSetup fitToHeight="0" orientation="landscape"/>
  <headerFooter>
    <oddHeader>&amp;CCheesecake Factory Inc.&amp;RPage &amp;P</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60c5e8a-6154-4781-80c7-bc8b83c1d1c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120F9656E694A970CD937DDE68B12" ma:contentTypeVersion="13" ma:contentTypeDescription="Create a new document." ma:contentTypeScope="" ma:versionID="746a811738f6a686ff3d9c15c736a71f">
  <xsd:schema xmlns:xsd="http://www.w3.org/2001/XMLSchema" xmlns:xs="http://www.w3.org/2001/XMLSchema" xmlns:p="http://schemas.microsoft.com/office/2006/metadata/properties" xmlns:ns3="06237e59-a111-402b-9a9f-acc9efc2d01f" xmlns:ns4="060c5e8a-6154-4781-80c7-bc8b83c1d1c4" targetNamespace="http://schemas.microsoft.com/office/2006/metadata/properties" ma:root="true" ma:fieldsID="4781b6e80e79a80513003c472951147b" ns3:_="" ns4:_="">
    <xsd:import namespace="06237e59-a111-402b-9a9f-acc9efc2d01f"/>
    <xsd:import namespace="060c5e8a-6154-4781-80c7-bc8b83c1d1c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earchProperties" minOccurs="0"/>
                <xsd:element ref="ns4:MediaServiceSystem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237e59-a111-402b-9a9f-acc9efc2d01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0c5e8a-6154-4781-80c7-bc8b83c1d1c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2DCA50-2982-4C98-811F-7E2B89B3F75F}">
  <ds:schemaRefs>
    <ds:schemaRef ds:uri="http://schemas.microsoft.com/office/2006/metadata/properties"/>
    <ds:schemaRef ds:uri="http://schemas.microsoft.com/office/infopath/2007/PartnerControls"/>
    <ds:schemaRef ds:uri="060c5e8a-6154-4781-80c7-bc8b83c1d1c4"/>
  </ds:schemaRefs>
</ds:datastoreItem>
</file>

<file path=customXml/itemProps2.xml><?xml version="1.0" encoding="utf-8"?>
<ds:datastoreItem xmlns:ds="http://schemas.openxmlformats.org/officeDocument/2006/customXml" ds:itemID="{44746C67-A6FD-41F2-8242-F5B03F4EC6BE}">
  <ds:schemaRefs>
    <ds:schemaRef ds:uri="http://schemas.microsoft.com/sharepoint/v3/contenttype/forms"/>
  </ds:schemaRefs>
</ds:datastoreItem>
</file>

<file path=customXml/itemProps3.xml><?xml version="1.0" encoding="utf-8"?>
<ds:datastoreItem xmlns:ds="http://schemas.openxmlformats.org/officeDocument/2006/customXml" ds:itemID="{B541C2AE-A961-4320-B2EC-48B53FD559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237e59-a111-402b-9a9f-acc9efc2d01f"/>
    <ds:schemaRef ds:uri="060c5e8a-6154-4781-80c7-bc8b83c1d1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1422</vt:i4>
      </vt:variant>
    </vt:vector>
  </HeadingPairs>
  <TitlesOfParts>
    <vt:vector size="1438" baseType="lpstr">
      <vt:lpstr>Cover</vt:lpstr>
      <vt:lpstr>Transaction</vt:lpstr>
      <vt:lpstr>Valuation and Cash Flow</vt:lpstr>
      <vt:lpstr>Forecast Assumptions</vt:lpstr>
      <vt:lpstr>LBO</vt:lpstr>
      <vt:lpstr>Consolidated IS Build</vt:lpstr>
      <vt:lpstr>Consolidated BS Build</vt:lpstr>
      <vt:lpstr>Revenue Build - CK F.</vt:lpstr>
      <vt:lpstr>Revenue Build - North Italia</vt:lpstr>
      <vt:lpstr>Revenue Build - FRC &amp; Others</vt:lpstr>
      <vt:lpstr>Revenue Build - Franchising</vt:lpstr>
      <vt:lpstr>Cost Build - Aggregate</vt:lpstr>
      <vt:lpstr>Balance Sheet Link</vt:lpstr>
      <vt:lpstr>Cash Flow Statement Link</vt:lpstr>
      <vt:lpstr>Comps Analysis</vt:lpstr>
      <vt:lpstr>Historicals</vt:lpstr>
      <vt:lpstr>HP.MRFX</vt:lpstr>
      <vt:lpstr>HP.ReportCurrency</vt:lpstr>
      <vt:lpstr>HP.Ticker</vt:lpstr>
      <vt:lpstr>HP.TradeCurrency</vt:lpstr>
      <vt:lpstr>HP.TradeCurrency.HardCoded</vt:lpstr>
      <vt:lpstr>MO_AN_NI_NONGAAP_Diluted</vt:lpstr>
      <vt:lpstr>MO_BS_AP</vt:lpstr>
      <vt:lpstr>MO_BS_AR</vt:lpstr>
      <vt:lpstr>MO_BS_CA</vt:lpstr>
      <vt:lpstr>MO_BS_Cash</vt:lpstr>
      <vt:lpstr>MO_BS_CL</vt:lpstr>
      <vt:lpstr>MO_BS_CommonStock</vt:lpstr>
      <vt:lpstr>MO_BS_ContributedSurplus</vt:lpstr>
      <vt:lpstr>MO_BS_Intangibles</vt:lpstr>
      <vt:lpstr>MO_BS_INV</vt:lpstr>
      <vt:lpstr>MO_BS_NCA</vt:lpstr>
      <vt:lpstr>MO_BS_NCI</vt:lpstr>
      <vt:lpstr>MO_BS_NCL</vt:lpstr>
      <vt:lpstr>MO_BS_OCI</vt:lpstr>
      <vt:lpstr>MO_BS_OL_Current</vt:lpstr>
      <vt:lpstr>MO_BS_OL_NonCurrent</vt:lpstr>
      <vt:lpstr>MO_BS_PPE</vt:lpstr>
      <vt:lpstr>MO_BS_PrepaidExpenses</vt:lpstr>
      <vt:lpstr>MO_BS_RetainedEarnings</vt:lpstr>
      <vt:lpstr>MO_BS_ROU</vt:lpstr>
      <vt:lpstr>MO_BS_SE</vt:lpstr>
      <vt:lpstr>MO_BS_TA</vt:lpstr>
      <vt:lpstr>MO_BS_TaxAssets_Deferred_Current</vt:lpstr>
      <vt:lpstr>MO_BS_TaxLiabilities_Deferred_NonCurrent</vt:lpstr>
      <vt:lpstr>MO_BS_TL</vt:lpstr>
      <vt:lpstr>MO_BS_TLSE</vt:lpstr>
      <vt:lpstr>MO_BS_TreasuryStock</vt:lpstr>
      <vt:lpstr>MO_BSS_Cash</vt:lpstr>
      <vt:lpstr>MO_BSS_Debt</vt:lpstr>
      <vt:lpstr>MO_BSS_Debt_LT</vt:lpstr>
      <vt:lpstr>MO_BSS_Debt_Net</vt:lpstr>
      <vt:lpstr>MO_BSS_Debt_ST</vt:lpstr>
      <vt:lpstr>MO_BSS_Debt_ToCF</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MO_CCFS_Balance_Begin</vt:lpstr>
      <vt:lpstr>MO_CCFS_Balance_End</vt:lpstr>
      <vt:lpstr>MO_CCFS_CFF</vt:lpstr>
      <vt:lpstr>MO_CCFS_CFI</vt:lpstr>
      <vt:lpstr>MO_CCFS_CFO</vt:lpstr>
      <vt:lpstr>MO_CCFS_CFO_BeforeWC</vt:lpstr>
      <vt:lpstr>MO_CCFS_FX</vt:lpstr>
      <vt:lpstr>MO_CCFS_NetChange</vt:lpstr>
      <vt:lpstr>MO_CCFS_Sup_CashInterest</vt:lpstr>
      <vt:lpstr>MO_CCFS_Sup_CashTax</vt:lpstr>
      <vt:lpstr>MO_CFS_Balance_Begin</vt:lpstr>
      <vt:lpstr>MO_CFS_Balance_End</vt:lpstr>
      <vt:lpstr>MO_CFS_Buyback</vt:lpstr>
      <vt:lpstr>MO_CFS_CFF</vt:lpstr>
      <vt:lpstr>MO_CFS_CFI</vt:lpstr>
      <vt:lpstr>MO_CFS_CFO</vt:lpstr>
      <vt:lpstr>MO_CFS_CFO_BeforeWC</vt:lpstr>
      <vt:lpstr>MO_CFS_DA</vt:lpstr>
      <vt:lpstr>MO_CFS_DeferredTax</vt:lpstr>
      <vt:lpstr>MO_CFS_Dividend</vt:lpstr>
      <vt:lpstr>MO_CFS_FX</vt:lpstr>
      <vt:lpstr>MO_CFS_Impairment</vt:lpstr>
      <vt:lpstr>MO_CFS_NetChange</vt:lpstr>
      <vt:lpstr>MO_CFS_NewEquityIssued</vt:lpstr>
      <vt:lpstr>MO_CFS_NI</vt:lpstr>
      <vt:lpstr>MO_CFS_SBC</vt:lpstr>
      <vt:lpstr>MO_CFS_Sup_CashInterest</vt:lpstr>
      <vt:lpstr>MO_CFS_Sup_CashTax</vt:lpstr>
      <vt:lpstr>MO_CFS_WC_AE</vt:lpstr>
      <vt:lpstr>MO_CFS_WC_AP</vt:lpstr>
      <vt:lpstr>MO_CFS_WC_AR</vt:lpstr>
      <vt:lpstr>MO_CFS_WC_INV</vt:lpstr>
      <vt:lpstr>MO_CFS_WC_PrepaidExpenses</vt:lpstr>
      <vt:lpstr>MO_CFS_WC_TaxPayable</vt:lpstr>
      <vt:lpstr>MO_CFSum_Acquisition</vt:lpstr>
      <vt:lpstr>MO_CFSum_Capex</vt:lpstr>
      <vt:lpstr>MO_CFSum_CFO</vt:lpstr>
      <vt:lpstr>MO_CFSum_CFO_BeforeWC</vt:lpstr>
      <vt:lpstr>MO_CFSum_CFOPS</vt:lpstr>
      <vt:lpstr>MO_CFSum_CFOPS_BeforeWC</vt:lpstr>
      <vt:lpstr>MO_CFSum_CFPS</vt:lpstr>
      <vt:lpstr>MO_CFSum_ChangeInWC</vt:lpstr>
      <vt:lpstr>MO_CFSum_Divestiture</vt:lpstr>
      <vt:lpstr>MO_CFSum_Dividend</vt:lpstr>
      <vt:lpstr>MO_CFSum_DPS</vt:lpstr>
      <vt:lpstr>MO_CFSum_FCF_PostDivPostAD</vt:lpstr>
      <vt:lpstr>MO_CFSum_FCF_PostDivPostADPostDebtPostBuyback</vt:lpstr>
      <vt:lpstr>MO_CFSum_FCF_PostDivPreAD</vt:lpstr>
      <vt:lpstr>MO_CFSum_FCF_PostWCPostDivPostAD</vt:lpstr>
      <vt:lpstr>MO_CFSum_FCF_PostWCPostDivPostADPostDebtPostBuyback</vt:lpstr>
      <vt:lpstr>MO_CFSum_FCF_PostWCPostDivPreAD</vt:lpstr>
      <vt:lpstr>MO_CFSum_FCF_PostWCPreDiv</vt:lpstr>
      <vt:lpstr>MO_CFSum_FCF_PreDiv</vt:lpstr>
      <vt:lpstr>MO_CFSum_NetDebtIssuance</vt:lpstr>
      <vt:lpstr>MO_CFSum_NetShares</vt:lpstr>
      <vt:lpstr>MO_CFSum_NetShares_Price</vt:lpstr>
      <vt:lpstr>MO_Checks_Bottom</vt:lpstr>
      <vt:lpstr>MO_Checks_BS</vt:lpstr>
      <vt:lpstr>MO_Checks_CF</vt:lpstr>
      <vt:lpstr>MO_Checks_IS</vt:lpstr>
      <vt:lpstr>MO_Common_Column_A</vt:lpstr>
      <vt:lpstr>MO_Common_Column_B</vt:lpstr>
      <vt:lpstr>MO_Common_ColumnHeader</vt:lpstr>
      <vt:lpstr>MO_Common_CompanySubtitle</vt:lpstr>
      <vt:lpstr>MO_Common_CompanyTitle</vt:lpstr>
      <vt:lpstr>MO_Common_FPDays</vt:lpstr>
      <vt:lpstr>MO_Common_QEndDate</vt:lpstr>
      <vt:lpstr>MO_Common_QEndDate_LWD</vt:lpstr>
      <vt:lpstr>MO_DAF_A</vt:lpstr>
      <vt:lpstr>MO_DAF_A_Percentage</vt:lpstr>
      <vt:lpstr>MO_DAF_Capex</vt:lpstr>
      <vt:lpstr>MO_DAF_D</vt:lpstr>
      <vt:lpstr>MO_DAF_D_Percentage</vt:lpstr>
      <vt:lpstr>MO_DAF_DA</vt:lpstr>
      <vt:lpstr>MO_DAF_Intangibles_BoP</vt:lpstr>
      <vt:lpstr>MO_DAF_Intangibles_Capex</vt:lpstr>
      <vt:lpstr>MO_DAF_Intangibles_Capex_Percent</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MO_GA_SSS</vt:lpstr>
      <vt:lpstr>MO_GA_SSS_AverageCheck</vt:lpstr>
      <vt:lpstr>MO_GA_SSS_CompanyOwned</vt:lpstr>
      <vt:lpstr>MO_GA_SSS_Traffic</vt:lpstr>
      <vt:lpstr>MO_GA_SystemWideSales</vt:lpstr>
      <vt:lpstr>MO_GA_TotalRevenue</vt:lpstr>
      <vt:lpstr>MO_IS_COGS</vt:lpstr>
      <vt:lpstr>MO_IS_DA</vt:lpstr>
      <vt:lpstr>MO_IS_Dividend_Prefs</vt:lpstr>
      <vt:lpstr>MO_IS_EBIT</vt:lpstr>
      <vt:lpstr>MO_IS_EBT</vt:lpstr>
      <vt:lpstr>MO_IS_EI</vt:lpstr>
      <vt:lpstr>MO_IS_FirstRow</vt:lpstr>
      <vt:lpstr>MO_IS_GA</vt:lpstr>
      <vt:lpstr>MO_IS_Impairment</vt:lpstr>
      <vt:lpstr>MO_IS_NI_ContinOp</vt:lpstr>
      <vt:lpstr>MO_IS_REV</vt:lpstr>
      <vt:lpstr>MO_IS_Tax</vt:lpstr>
      <vt:lpstr>MO_KPI_AUV_CompanyOwned</vt:lpstr>
      <vt:lpstr>MO_KPI_AUV_CompanyOwned_LTM</vt:lpstr>
      <vt:lpstr>MO_KPI_AUV_Franchise</vt:lpstr>
      <vt:lpstr>MO_KPI_AUV_Franchise_LTM</vt:lpstr>
      <vt:lpstr>MO_KPI_AUV_SystemWide</vt:lpstr>
      <vt:lpstr>MO_KPI_AUV_SystemWide_LTM</vt:lpstr>
      <vt:lpstr>MO_KPI_EmployeeCount</vt:lpstr>
      <vt:lpstr>MO_KPI_Franchise_TotalRate_LTM</vt:lpstr>
      <vt:lpstr>MO_KPI_FranchiseStorePerc</vt:lpstr>
      <vt:lpstr>MO_KPI_LaborExpenseMargin_LTM</vt:lpstr>
      <vt:lpstr>MO_KPI_NetNewStores</vt:lpstr>
      <vt:lpstr>MO_KPI_NetNewStores_CompanyOwned</vt:lpstr>
      <vt:lpstr>MO_KPI_NetNewStores_Franchised</vt:lpstr>
      <vt:lpstr>MO_KPI_OccupancyandOtherMargin_LTM</vt:lpstr>
      <vt:lpstr>MO_KPI_ProductCostMargin_LTM</vt:lpstr>
      <vt:lpstr>MO_KPI_RestLevelCostsMargin_LTM</vt:lpstr>
      <vt:lpstr>MO_KPI_RestLevelProfitMargin_Improvement_LTM</vt:lpstr>
      <vt:lpstr>MO_KPI_RestLevelProfitMargin_LTM</vt:lpstr>
      <vt:lpstr>MO_KPI_REV_Franchise_LTM</vt:lpstr>
      <vt:lpstr>MO_KPI_REV_Growth</vt:lpstr>
      <vt:lpstr>MO_KPI_REV_LTM</vt:lpstr>
      <vt:lpstr>MO_KPI_Sales_CompanyOwned</vt:lpstr>
      <vt:lpstr>MO_KPI_Sales_CompanyOwned_LTM</vt:lpstr>
      <vt:lpstr>MO_KPI_Sales_Franchise</vt:lpstr>
      <vt:lpstr>MO_KPI_Sales_Franchise_LTM</vt:lpstr>
      <vt:lpstr>MO_KPI_Sales_SystemWide</vt:lpstr>
      <vt:lpstr>MO_KPI_Sales_SystemWide_LTM</vt:lpstr>
      <vt:lpstr>MO_KPI_SSSG_AverageCheck_LTM</vt:lpstr>
      <vt:lpstr>MO_KPI_SSSG_CompanyOwned</vt:lpstr>
      <vt:lpstr>MO_KPI_SSSG_CompanyOwned_LTM</vt:lpstr>
      <vt:lpstr>MO_KPI_SSSG_Traffic_LTM</vt:lpstr>
      <vt:lpstr>MO_KPI_Stores</vt:lpstr>
      <vt:lpstr>MO_KPI_Stores_CompanyOwned</vt:lpstr>
      <vt:lpstr>MO_KPI_Stores_Franchised</vt:lpstr>
      <vt:lpstr>MO_KPI_SystemWideSales_Growth</vt:lpstr>
      <vt:lpstr>MO_KPI_SystemWideSales_Growth_LTM</vt:lpstr>
      <vt:lpstr>MO_MA_DA</vt:lpstr>
      <vt:lpstr>MO_MA_EBIT</vt:lpstr>
      <vt:lpstr>MO_MA_EBIT_Adj</vt:lpstr>
      <vt:lpstr>MO_MA_EBITDA</vt:lpstr>
      <vt:lpstr>MO_MA_EBITDA_Adj</vt:lpstr>
      <vt:lpstr>MO_MA_GA</vt:lpstr>
      <vt:lpstr>MO_MA_LaborExpense</vt:lpstr>
      <vt:lpstr>MO_MA_LaborExpenseImprovement</vt:lpstr>
      <vt:lpstr>MO_MA_OccupancyandOther</vt:lpstr>
      <vt:lpstr>MO_MA_OtherOperatingExpense</vt:lpstr>
      <vt:lpstr>MO_MA_OtherOperatingExpenseImprovement</vt:lpstr>
      <vt:lpstr>MO_MA_ProductCost</vt:lpstr>
      <vt:lpstr>MO_MA_ProductCosts</vt:lpstr>
      <vt:lpstr>MO_MA_ProductCostsImprovement</vt:lpstr>
      <vt:lpstr>MO_MA_RestLevelCosts</vt:lpstr>
      <vt:lpstr>MO_MA_RestLevelProfit</vt:lpstr>
      <vt:lpstr>MO_MA_RestLevelProfitImprovement</vt:lpstr>
      <vt:lpstr>MO_MA_SBC</vt:lpstr>
      <vt:lpstr>MO_OS_AUV_CompanyOwned</vt:lpstr>
      <vt:lpstr>MO_OS_AUV_Franchise</vt:lpstr>
      <vt:lpstr>MO_OS_AUV_SystemWide</vt:lpstr>
      <vt:lpstr>MO_OS_AverageStores</vt:lpstr>
      <vt:lpstr>MO_OS_AverageStores_CompanyOwned</vt:lpstr>
      <vt:lpstr>MO_OS_AverageStores_Franchised</vt:lpstr>
      <vt:lpstr>MO_OS_EmployeeCount</vt:lpstr>
      <vt:lpstr>MO_OS_FranchiseStorePerc</vt:lpstr>
      <vt:lpstr>MO_OS_LeaseCost_Operating</vt:lpstr>
      <vt:lpstr>MO_OS_NetNewStores</vt:lpstr>
      <vt:lpstr>MO_OS_NetNewStores_CompanyOwned</vt:lpstr>
      <vt:lpstr>MO_OS_NetNewStores_Franchised</vt:lpstr>
      <vt:lpstr>MO_OS_RentExpense</vt:lpstr>
      <vt:lpstr>MO_OS_Sales_CompanyOwned</vt:lpstr>
      <vt:lpstr>MO_OS_Sales_Franchise</vt:lpstr>
      <vt:lpstr>MO_OS_Sales_SystemWide</vt:lpstr>
      <vt:lpstr>MO_OS_SSS_NewStores</vt:lpstr>
      <vt:lpstr>MO_OS_SSS_NewStores_CompanyOwned</vt:lpstr>
      <vt:lpstr>MO_OS_SSS_SalesPerCompStore</vt:lpstr>
      <vt:lpstr>MO_OS_SSS_SalesPerCompStore_CompanyOwned</vt:lpstr>
      <vt:lpstr>MO_OS_SSS_Stores</vt:lpstr>
      <vt:lpstr>MO_OS_SSS_Stores_CompanyOwned</vt:lpstr>
      <vt:lpstr>MO_OS_Stores_BoP</vt:lpstr>
      <vt:lpstr>MO_OS_Stores_BoP_CompanyOwned</vt:lpstr>
      <vt:lpstr>MO_OS_Stores_Closed</vt:lpstr>
      <vt:lpstr>MO_OS_Stores_Closed_CompanyOwned</vt:lpstr>
      <vt:lpstr>MO_OS_Stores_EoP</vt:lpstr>
      <vt:lpstr>MO_OS_Stores_EoP_CompanyOwned</vt:lpstr>
      <vt:lpstr>MO_OS_Stores_EoP_Franchised</vt:lpstr>
      <vt:lpstr>MO_OS_Stores_New</vt:lpstr>
      <vt:lpstr>MO_OS_Stores_New_CompanyOwned</vt:lpstr>
      <vt:lpstr>MO_RIS_Adjustments_Dilution_GAAP</vt:lpstr>
      <vt:lpstr>MO_RIS_Adjustments_Dilution_NONGAAP</vt:lpstr>
      <vt:lpstr>MO_RIS_Adjustments_NONGAAP</vt:lpstr>
      <vt:lpstr>MO_RIS_CompanyOwnedRevenue</vt:lpstr>
      <vt:lpstr>MO_RIS_DA</vt:lpstr>
      <vt:lpstr>MO_RIS_DA_Operating</vt:lpstr>
      <vt:lpstr>MO_RIS_DisCont</vt:lpstr>
      <vt:lpstr>MO_RIS_Dividend_Prefs</vt:lpstr>
      <vt:lpstr>MO_RIS_EBIT</vt:lpstr>
      <vt:lpstr>MO_RIS_EBIT_Adj</vt:lpstr>
      <vt:lpstr>MO_RIS_EBITDA</vt:lpstr>
      <vt:lpstr>MO_RIS_EBITDA_Adj</vt:lpstr>
      <vt:lpstr>MO_RIS_EBT</vt:lpstr>
      <vt:lpstr>MO_RIS_EPS_WAB</vt:lpstr>
      <vt:lpstr>MO_RIS_EPS_WAD</vt:lpstr>
      <vt:lpstr>MO_RIS_EPS_WAD_Adj</vt:lpstr>
      <vt:lpstr>MO_RIS_FranchiseandOtherRevenue</vt:lpstr>
      <vt:lpstr>MO_RIS_GA</vt:lpstr>
      <vt:lpstr>MO_RIS_IE</vt:lpstr>
      <vt:lpstr>MO_RIS_IE_Net</vt:lpstr>
      <vt:lpstr>MO_RIS_NCI</vt:lpstr>
      <vt:lpstr>MO_RIS_NI_ContinOp</vt:lpstr>
      <vt:lpstr>MO_RIS_NI_GAAP_Basic</vt:lpstr>
      <vt:lpstr>MO_RIS_NI_GAAP_Diluted</vt:lpstr>
      <vt:lpstr>MO_RIS_NI_NONGAAP_Diluted</vt:lpstr>
      <vt:lpstr>MO_RIS_OI</vt:lpstr>
      <vt:lpstr>MO_RIS_OTI</vt:lpstr>
      <vt:lpstr>MO_RIS_RestLevelExpenses</vt:lpstr>
      <vt:lpstr>MO_RIS_REV</vt:lpstr>
      <vt:lpstr>MO_RIS_SBC</vt:lpstr>
      <vt:lpstr>MO_RIS_ShareCount_WAB</vt:lpstr>
      <vt:lpstr>MO_RIS_ShareCount_WAD</vt:lpstr>
      <vt:lpstr>MO_RIS_ShareCount_WAD_Adj</vt:lpstr>
      <vt:lpstr>MO_RIS_Tax_Current</vt:lpstr>
      <vt:lpstr>MO_RIS_Tax_Deferred</vt:lpstr>
      <vt:lpstr>MO_RIS_TaxRate_Current</vt:lpstr>
      <vt:lpstr>MO_RIS_TaxRate_Deferred</vt:lpstr>
      <vt:lpstr>MO_SCA_Date_CoverPage</vt:lpstr>
      <vt:lpstr>MO_SCA_Date_LastWorkingDay</vt:lpstr>
      <vt:lpstr>MO_SCA_ESPPObligations_EoP</vt:lpstr>
      <vt:lpstr>MO_SCA_Other_EoP</vt:lpstr>
      <vt:lpstr>MO_SCA_Ratio_DilutedOverBasic</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MO_SCA_ShareCount_EoP_Economic</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MO_SCA_ShareCount_EoP_SharesIssued</vt:lpstr>
      <vt:lpstr>MO_SCA_ShareCount_EoP_Ticker1</vt:lpstr>
      <vt:lpstr>MO_SCA_ShareCount_EoP_Treasury</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MO_SCA_StockOptions_Cumulative_Price_BoP</vt:lpstr>
      <vt:lpstr>MO_SCA_StockOptions_Cumulative_Price_Canceled</vt:lpstr>
      <vt:lpstr>MO_SCA_StockOptions_Cumulative_Price_EoP</vt:lpstr>
      <vt:lpstr>MO_SCA_StockOptions_Cumulative_Price_Exercised</vt:lpstr>
      <vt:lpstr>MO_SCA_StockOptions_Cumulative_Price_Granted</vt:lpstr>
      <vt:lpstr>MO_SCA_StockOptions_Dilution</vt:lpstr>
      <vt:lpstr>MO_SCA_StockOptions_EoP</vt:lpstr>
      <vt:lpstr>MO_SCA_StockOptions_Exercisable_EoP</vt:lpstr>
      <vt:lpstr>MO_SCA_StockOptions_Exercised</vt:lpstr>
      <vt:lpstr>MO_SCA_StockOptions_Granted</vt:lpstr>
      <vt:lpstr>MO_SCA_StockOptions_Price_BoP</vt:lpstr>
      <vt:lpstr>MO_SCA_StockOptions_Price_Canceled</vt:lpstr>
      <vt:lpstr>MO_SCA_StockOptions_Price_EoP</vt:lpstr>
      <vt:lpstr>MO_SCA_StockOptions_Price_Exercisable_EoP</vt:lpstr>
      <vt:lpstr>MO_SCA_StockOptions_Price_Exercised</vt:lpstr>
      <vt:lpstr>MO_SCA_StockOptions_Price_Granted</vt:lpstr>
      <vt:lpstr>MO_SCA_StockPrice_EoP</vt:lpstr>
      <vt:lpstr>MO_SCA_UnvestedRSU_EoP</vt:lpstr>
      <vt:lpstr>MO_SCA_UnvestedRSU_Price_EoP</vt:lpstr>
      <vt:lpstr>MO_Section_AdjustedNumbers</vt:lpstr>
      <vt:lpstr>MO_Section_BalanceSheet</vt:lpstr>
      <vt:lpstr>MO_Section_BalanceSheetSummary</vt:lpstr>
      <vt:lpstr>MO_Section_CashFlowStatement</vt:lpstr>
      <vt:lpstr>MO_Section_CashFlowSummary</vt:lpstr>
      <vt:lpstr>MO_Section_CumulativeCashFlowStatement</vt:lpstr>
      <vt:lpstr>MO_Section_DAForecasting</vt:lpstr>
      <vt:lpstr>MO_Section_GrowthAnalysis</vt:lpstr>
      <vt:lpstr>MO_Section_IncomeStatement</vt:lpstr>
      <vt:lpstr>MO_Section_KeyMetricsCheesecakeFactoryStatisticsFS</vt:lpstr>
      <vt:lpstr>MO_Section_KeyMetricsEmployeeCountFS</vt:lpstr>
      <vt:lpstr>MO_Section_KeyMetricsInternationalFranchiseesMDA</vt:lpstr>
      <vt:lpstr>MO_Section_KeyMetricsLeaseCostandRentExpenseFS</vt:lpstr>
      <vt:lpstr>MO_Section_KeyMetricsLTMMetrics</vt:lpstr>
      <vt:lpstr>MO_Section_KeyMetricsOtherRestaurantsMDA</vt:lpstr>
      <vt:lpstr>MO_Section_KeyMetricsTotalCompanyRestaurantsPR</vt:lpstr>
      <vt:lpstr>MO_Section_LastRow</vt:lpstr>
      <vt:lpstr>MO_Section_MarginAnalysis</vt:lpstr>
      <vt:lpstr>MO_Section_ModelChecks</vt:lpstr>
      <vt:lpstr>MO_Section_OperatingStatsFoxRestaurantConceptBrandsPR</vt:lpstr>
      <vt:lpstr>MO_Section_OperatingStatsNorthItaliaPR</vt:lpstr>
      <vt:lpstr>MO_Section_OperatingStatsStoreDataPR</vt:lpstr>
      <vt:lpstr>MO_Section_RevisedIncomeStatement</vt:lpstr>
      <vt:lpstr>MO_Section_SegmentedResultsCostsBreakdownMDA</vt:lpstr>
      <vt:lpstr>MO_Section_SegmentedResultsOperatingIncomeBreakdownFS</vt:lpstr>
      <vt:lpstr>MO_Section_SegmentedResultsRevenueBreakdownFS</vt:lpstr>
      <vt:lpstr>MO_Section_ShareCountAnalysis</vt:lpstr>
      <vt:lpstr>MO_Section_Tables</vt:lpstr>
      <vt:lpstr>MO_Section_Valuation</vt:lpstr>
      <vt:lpstr>MO_Section_WorkingCapitalForecasting</vt:lpstr>
      <vt:lpstr>MO_SNA_ConsensusEstimatePeriodNumber</vt:lpstr>
      <vt:lpstr>MO_SNA_ConsensusEstimatePeriodType</vt:lpstr>
      <vt:lpstr>MO_SNA_FPStartDate</vt:lpstr>
      <vt:lpstr>MO_SNA_Guidance_ApplicablePeriod_FY</vt:lpstr>
      <vt:lpstr>MO_SNA_Guidance_ApplicablePeriod_Q</vt:lpstr>
      <vt:lpstr>MO_SNA_Guidance_IsLatest_FY</vt:lpstr>
      <vt:lpstr>MO_SNA_Guidance_ReportDate_FY</vt:lpstr>
      <vt:lpstr>MO_SNA_Guidance_ReportDate_Q</vt:lpstr>
      <vt:lpstr>MO_SNA_IsHistoricalPeriod</vt:lpstr>
      <vt:lpstr>MO_SNA_LastDataRow</vt:lpstr>
      <vt:lpstr>MO_SPT_FXAverage</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MO_SPT_StockAverage</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MO_SPT_StockHigh</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MO_SPT_StockLow</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MO_SubSection_BS_CA</vt:lpstr>
      <vt:lpstr>MO_SubSection_BS_CL</vt:lpstr>
      <vt:lpstr>MO_SubSection_BS_NCA</vt:lpstr>
      <vt:lpstr>MO_SubSection_BS_NCL</vt:lpstr>
      <vt:lpstr>MO_SubSection_BS_SE</vt:lpstr>
      <vt:lpstr>MO_SubSection_CCFS_CFF</vt:lpstr>
      <vt:lpstr>MO_SubSection_CCFS_CFI</vt:lpstr>
      <vt:lpstr>MO_SubSection_CCFS_CFO</vt:lpstr>
      <vt:lpstr>MO_SubSection_CFS_CFF</vt:lpstr>
      <vt:lpstr>MO_SubSection_CFS_CFI</vt:lpstr>
      <vt:lpstr>MO_SubSection_CFS_CFO</vt:lpstr>
      <vt:lpstr>MO_VA_EV</vt:lpstr>
      <vt:lpstr>MO_VA_EV_ToEBITDA</vt:lpstr>
      <vt:lpstr>MO_VA_EVCalc_NCI</vt:lpstr>
      <vt:lpstr>MO_VA_EVCalc_Other</vt:lpstr>
      <vt:lpstr>MO_VA_EVCalc_Prefs</vt:lpstr>
      <vt:lpstr>MO_VA_FCFYield_ToEV</vt:lpstr>
      <vt:lpstr>MO_VA_FCFYield_ToMktCap</vt:lpstr>
      <vt:lpstr>MO_VA_FX_Average</vt:lpstr>
      <vt:lpstr>MO_VA_FX_EoP</vt:lpstr>
      <vt:lpstr>MO_VA_MarketCap</vt:lpstr>
      <vt:lpstr>MO_VA_P_ToCF</vt:lpstr>
      <vt:lpstr>MO_VA_P_ToE</vt:lpstr>
      <vt:lpstr>MO_VA_StockPrice</vt:lpstr>
      <vt:lpstr>MO_VA_StockPrice_Avg</vt:lpstr>
      <vt:lpstr>MO_VA_StockPrice_EoP</vt:lpstr>
      <vt:lpstr>MO_VA_StockPrice_High</vt:lpstr>
      <vt:lpstr>MO_VA_StockPrice_Low</vt:lpstr>
      <vt:lpstr>MO_VA_StockPrice_TradingCurrency</vt:lpstr>
      <vt:lpstr>MO.ApplyTradeCurrencyScaling</vt:lpstr>
      <vt:lpstr>MO.CFY</vt:lpstr>
      <vt:lpstr>MO.CompanyName</vt:lpstr>
      <vt:lpstr>MO.DataSourceIndex</vt:lpstr>
      <vt:lpstr>MO.DataSourceName</vt:lpstr>
      <vt:lpstr>MO.FirstForecastedFiscalYear</vt:lpstr>
      <vt:lpstr>MO.KPI.1</vt:lpstr>
      <vt:lpstr>MO.KPI.10</vt:lpstr>
      <vt:lpstr>MO.KPI.11</vt:lpstr>
      <vt:lpstr>MO.KPI.12</vt:lpstr>
      <vt:lpstr>MO.KPI.13</vt:lpstr>
      <vt:lpstr>MO.KPI.14</vt:lpstr>
      <vt:lpstr>MO.KPI.15</vt:lpstr>
      <vt:lpstr>MO.KPI.16</vt:lpstr>
      <vt:lpstr>MO.KPI.17</vt:lpstr>
      <vt:lpstr>MO.KPI.18</vt:lpstr>
      <vt:lpstr>MO.KPI.19</vt:lpstr>
      <vt:lpstr>MO.KPI.2</vt:lpstr>
      <vt:lpstr>MO.KPI.20</vt:lpstr>
      <vt:lpstr>MO.KPI.21</vt:lpstr>
      <vt:lpstr>MO.KPI.22</vt:lpstr>
      <vt:lpstr>MO.KPI.3</vt:lpstr>
      <vt:lpstr>MO.KPI.4</vt:lpstr>
      <vt:lpstr>MO.KPI.5</vt:lpstr>
      <vt:lpstr>MO.KPI.6</vt:lpstr>
      <vt:lpstr>MO.KPI.7</vt:lpstr>
      <vt:lpstr>MO.KPI.8</vt:lpstr>
      <vt:lpstr>MO.KPI.9</vt:lpstr>
      <vt:lpstr>MO.KPI.Count</vt:lpstr>
      <vt:lpstr>MO.LastPrice</vt:lpstr>
      <vt:lpstr>MO.LastPriceDate</vt:lpstr>
      <vt:lpstr>MO.LastPriceFormula</vt:lpstr>
      <vt:lpstr>MO.LastPriceHardcoded</vt:lpstr>
      <vt:lpstr>MO.MRFP</vt:lpstr>
      <vt:lpstr>MO.MRFPColumnNumber</vt:lpstr>
      <vt:lpstr>MO.MRFX.Hardcoded</vt:lpstr>
      <vt:lpstr>MO.RealTime</vt:lpstr>
      <vt:lpstr>MO.RealTimeStockPriceToggle</vt:lpstr>
      <vt:lpstr>MO.ReportCurrency</vt:lpstr>
      <vt:lpstr>MO.ReportFX</vt:lpstr>
      <vt:lpstr>MO.Ticker</vt:lpstr>
      <vt:lpstr>MO.Ticker.Bloomberg</vt:lpstr>
      <vt:lpstr>MO.Ticker.Canalyst</vt:lpstr>
      <vt:lpstr>MO.Ticker.CapIQ</vt:lpstr>
      <vt:lpstr>MO.Ticker.FactSet</vt:lpstr>
      <vt:lpstr>MO.Ticker.Thomson</vt:lpstr>
      <vt:lpstr>MO.TradingCurrency</vt:lpstr>
      <vt:lpstr>MO.ValuationToggle</vt:lpstr>
      <vt:lpstr>tb_ConsensusEstimate</vt:lpstr>
      <vt:lpstr>tb_EntireModel</vt:lpstr>
      <vt:lpstr>tb_Guidance_FY</vt:lpstr>
      <vt:lpstr>tb_Guidance_Q</vt:lpstr>
      <vt:lpstr>tb_KeyOutputs</vt:lpstr>
      <vt:lpstr>tb_KPIs</vt:lpstr>
      <vt:lpstr>tb_StockPrice</vt:lpstr>
      <vt:lpstr>tb_Tickers</vt:lpstr>
      <vt:lpstr>tb_ValuationToggle</vt:lpstr>
      <vt:lpstr>z_B1ICH30103_MO_AN_Acquisitioncosts</vt:lpstr>
      <vt:lpstr>z_B1ICH30103_MO_AN_Acquisitionrelatedcontingentconsideration</vt:lpstr>
      <vt:lpstr>z_B1ICH30103_MO_AN_adjustednetincome</vt:lpstr>
      <vt:lpstr>z_B1ICH30103_MO_AN_chairmanandceoemploymentagreement</vt:lpstr>
      <vt:lpstr>z_B1ICH30103_MO_AN_COVID19relatedcosts</vt:lpstr>
      <vt:lpstr>z_B1ICH30103_MO_AN_Deferredtaxrevaluation</vt:lpstr>
      <vt:lpstr>z_B1ICH30103_MO_AN_Directandincrementalpreferredstockissuancecosts</vt:lpstr>
      <vt:lpstr>z_B1ICH30103_MO_AN_Dividendsonpreferredstock</vt:lpstr>
      <vt:lpstr>z_B1ICH30103_MO_AN_Gainoninvestmentinunconsolidatedaffiliates</vt:lpstr>
      <vt:lpstr>z_B1ICH30103_MO_AN_GeneralandadministrativeexpensesSBC</vt:lpstr>
      <vt:lpstr>z_B1ICH30103_MO_AN_impairmentofassetsandleaseterminations</vt:lpstr>
      <vt:lpstr>z_B1ICH30103_MO_AN_LaborexpensesSBC</vt:lpstr>
      <vt:lpstr>z_B1ICH30103_MO_AN_Lossoninvestment</vt:lpstr>
      <vt:lpstr>z_B1ICH30103_MO_AN_netincome</vt:lpstr>
      <vt:lpstr>z_B1ICH30103_MO_AN_Netincomeavailabletocommonstockholders</vt:lpstr>
      <vt:lpstr>z_B1ICH30103_MO_AN_OtheroperatingcostsandexpensesSBC</vt:lpstr>
      <vt:lpstr>z_B1ICH30103_MO_AN_partialirssettlement</vt:lpstr>
      <vt:lpstr>z_B1ICH30103_MO_AN_proceedsfromvariablelifeinsurancecontract</vt:lpstr>
      <vt:lpstr>z_B1ICH30103_MO_AN_realizationofinvestmentinvariablelifeinsurancecontract</vt:lpstr>
      <vt:lpstr>z_B1ICH30103_MO_AN_Taxeffectonadjustments</vt:lpstr>
      <vt:lpstr>z_B1ICH30103_MO_AN_Terminationofinterestrateswap</vt:lpstr>
      <vt:lpstr>z_B1ICH30103_MO_AN_TotalSBC</vt:lpstr>
      <vt:lpstr>z_B1ICH30103_MO_AN_Uncertaintaxpositionrelatedtotenantimprovementallowances</vt:lpstr>
      <vt:lpstr>z_B1ICH30103_MO_AN_unwindingofinterestratecollars</vt:lpstr>
      <vt:lpstr>z_B1ICH30103_MO_BlankRow_AN</vt:lpstr>
      <vt:lpstr>z_B1ICH30103_MO_BlankRow_BS_1</vt:lpstr>
      <vt:lpstr>z_B1ICH30103_MO_BlankRow_BS_2</vt:lpstr>
      <vt:lpstr>z_B1ICH30103_MO_BlankRow_BS_3</vt:lpstr>
      <vt:lpstr>z_B1ICH30103_MO_BlankRow_BS_4</vt:lpstr>
      <vt:lpstr>z_B1ICH30103_MO_BlankRow_BS_5</vt:lpstr>
      <vt:lpstr>z_B1ICH30103_MO_BlankRow_BS_6</vt:lpstr>
      <vt:lpstr>z_B1ICH30103_MO_BlankRow_BSS</vt:lpstr>
      <vt:lpstr>z_B1ICH30103_MO_BlankRow_BSS_1</vt:lpstr>
      <vt:lpstr>z_B1ICH30103_MO_BlankRow_BSS_2</vt:lpstr>
      <vt:lpstr>z_B1ICH30103_MO_BlankRow_CCFS</vt:lpstr>
      <vt:lpstr>z_B1ICH30103_MO_BlankRow_CCFS_1</vt:lpstr>
      <vt:lpstr>z_B1ICH30103_MO_BlankRow_CCFS_2</vt:lpstr>
      <vt:lpstr>z_B1ICH30103_MO_BlankRow_CCFS_3</vt:lpstr>
      <vt:lpstr>z_B1ICH30103_MO_BlankRow_CCFS_4</vt:lpstr>
      <vt:lpstr>z_B1ICH30103_MO_BlankRow_CCFS_5</vt:lpstr>
      <vt:lpstr>z_B1ICH30103_MO_BlankRow_CFS_2</vt:lpstr>
      <vt:lpstr>z_B1ICH30103_MO_BlankRow_CFS_3</vt:lpstr>
      <vt:lpstr>z_B1ICH30103_MO_BlankRow_CFS_4</vt:lpstr>
      <vt:lpstr>z_B1ICH30103_MO_BlankRow_CFS_5</vt:lpstr>
      <vt:lpstr>z_B1ICH30103_MO_BlankRow_CFS_6</vt:lpstr>
      <vt:lpstr>z_B1ICH30103_MO_BlankRow_CFS_7</vt:lpstr>
      <vt:lpstr>z_B1ICH30103_MO_BlankRow_CFS_9</vt:lpstr>
      <vt:lpstr>z_B1ICH30103_MO_BlankRow_CFSum</vt:lpstr>
      <vt:lpstr>z_B1ICH30103_MO_BlankRow_CFSum_1</vt:lpstr>
      <vt:lpstr>z_B1ICH30103_MO_BlankRow_CFSum_2</vt:lpstr>
      <vt:lpstr>z_B1ICH30103_MO_BlankRow_DAF</vt:lpstr>
      <vt:lpstr>z_B1ICH30103_MO_BlankRow_DAF_1</vt:lpstr>
      <vt:lpstr>z_B1ICH30103_MO_BlankRow_DAF_2</vt:lpstr>
      <vt:lpstr>z_B1ICH30103_MO_BlankRow_DAF_3</vt:lpstr>
      <vt:lpstr>z_B1ICH30103_MO_BlankRow_GA_2</vt:lpstr>
      <vt:lpstr>z_B1ICH30103_MO_BlankRow_GA_4</vt:lpstr>
      <vt:lpstr>z_B1ICH30103_MO_BlankRow_IS</vt:lpstr>
      <vt:lpstr>z_B1ICH30103_MO_BlankRow_IS_1</vt:lpstr>
      <vt:lpstr>z_B1ICH30103_MO_BlankRow_MA_1</vt:lpstr>
      <vt:lpstr>z_B1ICH30103_MO_BlankRow_MA_2</vt:lpstr>
      <vt:lpstr>z_B1ICH30103_MO_BlankRow_MA_3</vt:lpstr>
      <vt:lpstr>z_B1ICH30103_MO_BlankRow_MA_4</vt:lpstr>
      <vt:lpstr>z_B1ICH30103_MO_BlankRow_MA_5</vt:lpstr>
      <vt:lpstr>z_B1ICH30103_MO_BlankRow_MA_7</vt:lpstr>
      <vt:lpstr>z_B1ICH30103_MO_BlankRow_OS_10</vt:lpstr>
      <vt:lpstr>z_B1ICH30103_MO_BlankRow_OS_11</vt:lpstr>
      <vt:lpstr>z_B1ICH30103_MO_BlankRow_OS_12</vt:lpstr>
      <vt:lpstr>z_B1ICH30103_MO_BlankRow_OS_13</vt:lpstr>
      <vt:lpstr>z_B1ICH30103_MO_BlankRow_OS_14</vt:lpstr>
      <vt:lpstr>z_B1ICH30103_MO_BlankRow_OS_15</vt:lpstr>
      <vt:lpstr>z_B1ICH30103_MO_BlankRow_OS_18</vt:lpstr>
      <vt:lpstr>z_B1ICH30103_MO_BlankRow_OS_19</vt:lpstr>
      <vt:lpstr>z_B1ICH30103_MO_BlankRow_OS_21</vt:lpstr>
      <vt:lpstr>z_B1ICH30103_MO_BlankRow_OS_22</vt:lpstr>
      <vt:lpstr>z_B1ICH30103_MO_BlankRow_OS_23</vt:lpstr>
      <vt:lpstr>z_B1ICH30103_MO_BlankRow_OS_24</vt:lpstr>
      <vt:lpstr>z_B1ICH30103_MO_BlankRow_OS_25</vt:lpstr>
      <vt:lpstr>z_B1ICH30103_MO_BlankRow_OS_28</vt:lpstr>
      <vt:lpstr>z_B1ICH30103_MO_BlankRow_OS_29</vt:lpstr>
      <vt:lpstr>z_B1ICH30103_MO_BlankRow_OS_3</vt:lpstr>
      <vt:lpstr>z_B1ICH30103_MO_BlankRow_OS_30</vt:lpstr>
      <vt:lpstr>z_B1ICH30103_MO_BlankRow_OS_31</vt:lpstr>
      <vt:lpstr>z_B1ICH30103_MO_BlankRow_OS_32</vt:lpstr>
      <vt:lpstr>z_B1ICH30103_MO_BlankRow_OS_33</vt:lpstr>
      <vt:lpstr>z_B1ICH30103_MO_BlankRow_OS_34</vt:lpstr>
      <vt:lpstr>z_B1ICH30103_MO_BlankRow_OS_35</vt:lpstr>
      <vt:lpstr>z_B1ICH30103_MO_BlankRow_OS_36</vt:lpstr>
      <vt:lpstr>z_B1ICH30103_MO_BlankRow_OS_38</vt:lpstr>
      <vt:lpstr>z_B1ICH30103_MO_BlankRow_OS_39</vt:lpstr>
      <vt:lpstr>z_B1ICH30103_MO_BlankRow_OS_4</vt:lpstr>
      <vt:lpstr>z_B1ICH30103_MO_BlankRow_OS_40</vt:lpstr>
      <vt:lpstr>z_B1ICH30103_MO_BlankRow_OS_41</vt:lpstr>
      <vt:lpstr>z_B1ICH30103_MO_BlankRow_OS_42</vt:lpstr>
      <vt:lpstr>z_B1ICH30103_MO_BlankRow_OS_43</vt:lpstr>
      <vt:lpstr>z_B1ICH30103_MO_BlankRow_OS_45</vt:lpstr>
      <vt:lpstr>z_B1ICH30103_MO_BlankRow_OS_46</vt:lpstr>
      <vt:lpstr>z_B1ICH30103_MO_BlankRow_OS_47</vt:lpstr>
      <vt:lpstr>z_B1ICH30103_MO_BlankRow_OS_48</vt:lpstr>
      <vt:lpstr>z_B1ICH30103_MO_BlankRow_OS_49</vt:lpstr>
      <vt:lpstr>z_B1ICH30103_MO_BlankRow_OS_5</vt:lpstr>
      <vt:lpstr>z_B1ICH30103_MO_BlankRow_OS_50</vt:lpstr>
      <vt:lpstr>z_B1ICH30103_MO_BlankRow_OS_51</vt:lpstr>
      <vt:lpstr>z_B1ICH30103_MO_BlankRow_OS_52</vt:lpstr>
      <vt:lpstr>z_B1ICH30103_MO_BlankRow_OS_53</vt:lpstr>
      <vt:lpstr>z_B1ICH30103_MO_BlankRow_OS_54</vt:lpstr>
      <vt:lpstr>z_B1ICH30103_MO_BlankRow_OS_55</vt:lpstr>
      <vt:lpstr>z_B1ICH30103_MO_BlankRow_OS_56</vt:lpstr>
      <vt:lpstr>z_B1ICH30103_MO_BlankRow_OS_58</vt:lpstr>
      <vt:lpstr>z_B1ICH30103_MO_BlankRow_OS_59</vt:lpstr>
      <vt:lpstr>z_B1ICH30103_MO_BlankRow_OS_60</vt:lpstr>
      <vt:lpstr>z_B1ICH30103_MO_BlankRow_OS_61</vt:lpstr>
      <vt:lpstr>z_B1ICH30103_MO_BlankRow_OS_62</vt:lpstr>
      <vt:lpstr>z_B1ICH30103_MO_BlankRow_OS_63</vt:lpstr>
      <vt:lpstr>z_B1ICH30103_MO_BlankRow_OS_64</vt:lpstr>
      <vt:lpstr>z_B1ICH30103_MO_BlankRow_OS_65</vt:lpstr>
      <vt:lpstr>z_B1ICH30103_MO_BlankRow_OS_66</vt:lpstr>
      <vt:lpstr>z_B1ICH30103_MO_BlankRow_OS_67</vt:lpstr>
      <vt:lpstr>z_B1ICH30103_MO_BlankRow_OS_68</vt:lpstr>
      <vt:lpstr>z_B1ICH30103_MO_BlankRow_OS_69</vt:lpstr>
      <vt:lpstr>z_B1ICH30103_MO_BlankRow_OS_70</vt:lpstr>
      <vt:lpstr>z_B1ICH30103_MO_BlankRow_OS_71</vt:lpstr>
      <vt:lpstr>z_B1ICH30103_MO_BlankRow_OS_8</vt:lpstr>
      <vt:lpstr>z_B1ICH30103_MO_BlankRow_OS_85</vt:lpstr>
      <vt:lpstr>z_B1ICH30103_MO_BlankRow_OS_86</vt:lpstr>
      <vt:lpstr>z_B1ICH30103_MO_BlankRow_OS_87</vt:lpstr>
      <vt:lpstr>z_B1ICH30103_MO_BlankRow_OS_89</vt:lpstr>
      <vt:lpstr>z_B1ICH30103_MO_BlankRow_OS_90</vt:lpstr>
      <vt:lpstr>z_B1ICH30103_MO_BlankRow_OS_91</vt:lpstr>
      <vt:lpstr>z_B1ICH30103_MO_BlankRow_OS_92</vt:lpstr>
      <vt:lpstr>z_B1ICH30103_MO_BlankRow_OS_93</vt:lpstr>
      <vt:lpstr>z_B1ICH30103_MO_BlankRow_OS_94</vt:lpstr>
      <vt:lpstr>z_B1ICH30103_MO_BlankRow_OS_95</vt:lpstr>
      <vt:lpstr>z_B1ICH30103_MO_BlankRow_OS_96</vt:lpstr>
      <vt:lpstr>z_B1ICH30103_MO_BlankRow_OS_97</vt:lpstr>
      <vt:lpstr>z_B1ICH30103_MO_BlankRow_OS_98</vt:lpstr>
      <vt:lpstr>z_B1ICH30103_MO_BlankRow_RIS_2</vt:lpstr>
      <vt:lpstr>z_B1ICH30103_MO_BlankRow_RIS_3</vt:lpstr>
      <vt:lpstr>z_B1ICH30103_MO_BlankRow_RIS_4</vt:lpstr>
      <vt:lpstr>z_B1ICH30103_MO_BlankRow_RIS_5</vt:lpstr>
      <vt:lpstr>z_B1ICH30103_MO_BlankRow_RIS_6</vt:lpstr>
      <vt:lpstr>z_B1ICH30103_MO_BlankRow_RIS_7</vt:lpstr>
      <vt:lpstr>z_B1ICH30103_MO_BlankRow_RIS_8</vt:lpstr>
      <vt:lpstr>z_B1ICH30103_MO_BlankRow_SNA</vt:lpstr>
      <vt:lpstr>z_B1ICH30103_MO_BlankRow_SNA_1</vt:lpstr>
      <vt:lpstr>z_B1ICH30103_MO_BlankRow_SNA_10</vt:lpstr>
      <vt:lpstr>z_B1ICH30103_MO_BlankRow_SNA_11</vt:lpstr>
      <vt:lpstr>z_B1ICH30103_MO_BlankRow_SNA_12</vt:lpstr>
      <vt:lpstr>z_B1ICH30103_MO_BlankRow_SNA_13</vt:lpstr>
      <vt:lpstr>z_B1ICH30103_MO_BlankRow_SNA_14</vt:lpstr>
      <vt:lpstr>z_B1ICH30103_MO_BlankRow_SNA_15</vt:lpstr>
      <vt:lpstr>z_B1ICH30103_MO_BlankRow_SNA_16</vt:lpstr>
      <vt:lpstr>z_B1ICH30103_MO_BlankRow_SNA_17</vt:lpstr>
      <vt:lpstr>z_B1ICH30103_MO_BlankRow_SNA_18</vt:lpstr>
      <vt:lpstr>z_B1ICH30103_MO_BlankRow_SNA_19</vt:lpstr>
      <vt:lpstr>z_B1ICH30103_MO_BlankRow_SNA_2</vt:lpstr>
      <vt:lpstr>z_B1ICH30103_MO_BlankRow_SNA_20</vt:lpstr>
      <vt:lpstr>z_B1ICH30103_MO_BlankRow_SNA_3</vt:lpstr>
      <vt:lpstr>z_B1ICH30103_MO_BlankRow_SNA_4</vt:lpstr>
      <vt:lpstr>z_B1ICH30103_MO_BlankRow_SNA_5</vt:lpstr>
      <vt:lpstr>z_B1ICH30103_MO_BlankRow_SNA_6</vt:lpstr>
      <vt:lpstr>z_B1ICH30103_MO_BlankRow_SNA_7</vt:lpstr>
      <vt:lpstr>z_B1ICH30103_MO_BlankRow_SNA_8</vt:lpstr>
      <vt:lpstr>z_B1ICH30103_MO_BlankRow_SNA_9</vt:lpstr>
      <vt:lpstr>z_B1ICH30103_MO_BS_Accountspayable</vt:lpstr>
      <vt:lpstr>z_B1ICH30103_MO_BS_Accountsreceivable</vt:lpstr>
      <vt:lpstr>z_B1ICH30103_MO_BS_Accumulatedothercomprehensiveloss</vt:lpstr>
      <vt:lpstr>z_B1ICH30103_MO_BS_Additionalpaidincapital</vt:lpstr>
      <vt:lpstr>z_B1ICH30103_MO_BS_BSCheck</vt:lpstr>
      <vt:lpstr>z_B1ICH30103_MO_BS_cashandcashequivalents</vt:lpstr>
      <vt:lpstr>z_B1ICH30103_MO_BS_commonstock</vt:lpstr>
      <vt:lpstr>z_B1ICH30103_MO_BS_CurrentAssets</vt:lpstr>
      <vt:lpstr>z_B1ICH30103_MO_BS_CurrentLiabilities</vt:lpstr>
      <vt:lpstr>z_B1ICH30103_MO_BS_deemedlandlordfinancingliability</vt:lpstr>
      <vt:lpstr>z_B1ICH30103_MO_BS_deferredincometaxes</vt:lpstr>
      <vt:lpstr>z_B1ICH30103_MO_BS_deferredincometaxes_1</vt:lpstr>
      <vt:lpstr>z_B1ICH30103_MO_BS_deferredrent</vt:lpstr>
      <vt:lpstr>z_B1ICH30103_MO_BS_giftcardliability</vt:lpstr>
      <vt:lpstr>z_B1ICH30103_MO_BS_incometaxespayable</vt:lpstr>
      <vt:lpstr>z_B1ICH30103_MO_BS_incometaxpayable</vt:lpstr>
      <vt:lpstr>z_B1ICH30103_MO_BS_incometaxreceivable</vt:lpstr>
      <vt:lpstr>z_B1ICH30103_MO_BS_Intangibleassets</vt:lpstr>
      <vt:lpstr>z_B1ICH30103_MO_BS_Inventories</vt:lpstr>
      <vt:lpstr>z_B1ICH30103_MO_BS_Investmentsinunconsolidatedaffiliates</vt:lpstr>
      <vt:lpstr>z_B1ICH30103_MO_BS_Longtermdebt</vt:lpstr>
      <vt:lpstr>z_B1ICH30103_MO_BS_NCI</vt:lpstr>
      <vt:lpstr>z_B1ICH30103_MO_BS_NetIncomeonReportedISNIonRevised</vt:lpstr>
      <vt:lpstr>z_B1ICH30103_MO_BS_NetIncomeonRevisedISNIonCFstatement</vt:lpstr>
      <vt:lpstr>z_B1ICH30103_MO_BS_NonCurrentAssets</vt:lpstr>
      <vt:lpstr>z_B1ICH30103_MO_BS_NonCurrentLiabilities</vt:lpstr>
      <vt:lpstr>z_B1ICH30103_MO_BS_Operatingleaseassets</vt:lpstr>
      <vt:lpstr>z_B1ICH30103_MO_BS_Operatingleaseliabilities</vt:lpstr>
      <vt:lpstr>z_B1ICH30103_MO_BS_Operatingleaseliabilities_1</vt:lpstr>
      <vt:lpstr>z_B1ICH30103_MO_BS_Other</vt:lpstr>
      <vt:lpstr>z_B1ICH30103_MO_BS_Otheraccruedexpenses</vt:lpstr>
      <vt:lpstr>z_B1ICH30103_MO_BS_Othernoncurrentliabilities</vt:lpstr>
      <vt:lpstr>z_B1ICH30103_MO_BS_Otherreceivables</vt:lpstr>
      <vt:lpstr>z_B1ICH30103_MO_BS_Preferredstock</vt:lpstr>
      <vt:lpstr>z_B1ICH30103_MO_BS_prepaidexpenses</vt:lpstr>
      <vt:lpstr>z_B1ICH30103_MO_BS_prepaidrent</vt:lpstr>
      <vt:lpstr>z_B1ICH30103_MO_BS_Propertyandequipment</vt:lpstr>
      <vt:lpstr>z_B1ICH30103_MO_BS_retainedearnings</vt:lpstr>
      <vt:lpstr>z_B1ICH30103_MO_BS_ShareholdersEquity</vt:lpstr>
      <vt:lpstr>z_B1ICH30103_MO_BS_TotalAccountReceivable</vt:lpstr>
      <vt:lpstr>z_B1ICH30103_MO_BS_TotalAssets</vt:lpstr>
      <vt:lpstr>z_B1ICH30103_MO_BS_TotalCurrentAssets</vt:lpstr>
      <vt:lpstr>z_B1ICH30103_MO_BS_TotalCurrentLiabilities</vt:lpstr>
      <vt:lpstr>z_B1ICH30103_MO_BS_TotalLiabilities</vt:lpstr>
      <vt:lpstr>z_B1ICH30103_MO_BS_TotalLiabilitiesSE</vt:lpstr>
      <vt:lpstr>z_B1ICH30103_MO_BS_TotalNonCurrentAssets</vt:lpstr>
      <vt:lpstr>z_B1ICH30103_MO_BS_TotalNonCurrentliabilities</vt:lpstr>
      <vt:lpstr>z_B1ICH30103_MO_BS_TotalSE</vt:lpstr>
      <vt:lpstr>z_B1ICH30103_MO_BS_treasurystock</vt:lpstr>
      <vt:lpstr>z_B1ICH30103_MO_BSS_Cash</vt:lpstr>
      <vt:lpstr>z_B1ICH30103_MO_BSS_Debt</vt:lpstr>
      <vt:lpstr>z_B1ICH30103_MO_BSS_DebtCashFlow</vt:lpstr>
      <vt:lpstr>z_B1ICH30103_MO_BSS_DebtEBITDA</vt:lpstr>
      <vt:lpstr>z_B1ICH30103_MO_BSS_EBITDANetInterestExpense</vt:lpstr>
      <vt:lpstr>z_B1ICH30103_MO_BSS_EffectiveInterestRateonCash</vt:lpstr>
      <vt:lpstr>z_B1ICH30103_MO_BSS_EffectiveInterestRateonDebt</vt:lpstr>
      <vt:lpstr>z_B1ICH30103_MO_BSS_EffectiveNetInterestRateonDebt</vt:lpstr>
      <vt:lpstr>z_B1ICH30103_MO_BSS_InterestExpense</vt:lpstr>
      <vt:lpstr>z_B1ICH30103_MO_BSS_InterestIncome</vt:lpstr>
      <vt:lpstr>z_B1ICH30103_MO_BSS_LTDebt</vt:lpstr>
      <vt:lpstr>z_B1ICH30103_MO_BSS_NetDebt</vt:lpstr>
      <vt:lpstr>z_B1ICH30103_MO_BSS_NetInterestExpenseIncome</vt:lpstr>
      <vt:lpstr>z_B1ICH30103_MO_BSS_OperatingLeaseLiabilities</vt:lpstr>
      <vt:lpstr>z_B1ICH30103_MO_BSS_STDebt</vt:lpstr>
      <vt:lpstr>z_B1ICH30103_MO_CCFS_Accountsandotherreceivable</vt:lpstr>
      <vt:lpstr>z_B1ICH30103_MO_CCFS_accountspayable</vt:lpstr>
      <vt:lpstr>z_B1ICH30103_MO_CCFS_accountsreceivable</vt:lpstr>
      <vt:lpstr>z_B1ICH30103_MO_CCFS_Acquisitionrelateddeferredconsideration</vt:lpstr>
      <vt:lpstr>z_B1ICH30103_MO_CCFS_Acquisitions</vt:lpstr>
      <vt:lpstr>z_B1ICH30103_MO_CCFS_additionstointangibleassets</vt:lpstr>
      <vt:lpstr>z_B1ICH30103_MO_CCFS_additionstopropertyandequipment</vt:lpstr>
      <vt:lpstr>z_B1ICH30103_MO_CCFS_BeginningCashBalance</vt:lpstr>
      <vt:lpstr>z_B1ICH30103_MO_CCFS_borrowingsoncreditfacility</vt:lpstr>
      <vt:lpstr>z_B1ICH30103_MO_CCFS_Cashdividendspaid</vt:lpstr>
      <vt:lpstr>z_B1ICH30103_MO_CCFS_CFF</vt:lpstr>
      <vt:lpstr>z_B1ICH30103_MO_CCFS_CFI</vt:lpstr>
      <vt:lpstr>z_B1ICH30103_MO_CCFS_CFO</vt:lpstr>
      <vt:lpstr>z_B1ICH30103_MO_CCFS_CFObeforeWC</vt:lpstr>
      <vt:lpstr>z_B1ICH30103_MO_CCFS_Commonstockissuance</vt:lpstr>
      <vt:lpstr>z_B1ICH30103_MO_CCFS_Commonstockissuancedirectandincrementalcosts</vt:lpstr>
      <vt:lpstr>z_B1ICH30103_MO_CCFS_Convertibledebtdirectandincrementalcosts</vt:lpstr>
      <vt:lpstr>z_B1ICH30103_MO_CCFS_Convertibledebtissuance</vt:lpstr>
      <vt:lpstr>z_B1ICH30103_MO_CCFS_deemedlandlordfinancingpayments</vt:lpstr>
      <vt:lpstr>z_B1ICH30103_MO_CCFS_deemedlandlordfinancingproceeds</vt:lpstr>
      <vt:lpstr>z_B1ICH30103_MO_CCFS_deferredincometaxes</vt:lpstr>
      <vt:lpstr>z_B1ICH30103_MO_CCFS_depreciationandamortizationexpenses</vt:lpstr>
      <vt:lpstr>z_B1ICH30103_MO_CCFS_Divestitures</vt:lpstr>
      <vt:lpstr>z_B1ICH30103_MO_CCFS_EndingCashBalance</vt:lpstr>
      <vt:lpstr>z_B1ICH30103_MO_CCFS_excesstaxbenefitrelatedtostockoptionsexercised</vt:lpstr>
      <vt:lpstr>z_B1ICH30103_MO_CCFS_excesstaxbenefitrelatedtostockoptionsexercised_1</vt:lpstr>
      <vt:lpstr>z_B1ICH30103_MO_CCFS_FX</vt:lpstr>
      <vt:lpstr>z_B1ICH30103_MO_CCFS_Giftcardliabilities</vt:lpstr>
      <vt:lpstr>z_B1ICH30103_MO_CCFS_impairmentofassetsandleaseterminations</vt:lpstr>
      <vt:lpstr>z_B1ICH30103_MO_CCFS_Incometaxespaid</vt:lpstr>
      <vt:lpstr>z_B1ICH30103_MO_CCFS_incometaxesreceivablepayable</vt:lpstr>
      <vt:lpstr>z_B1ICH30103_MO_CCFS_Interestpaid</vt:lpstr>
      <vt:lpstr>z_B1ICH30103_MO_CCFS_inventories</vt:lpstr>
      <vt:lpstr>z_B1ICH30103_MO_CCFS_investmentsinunconsolidatedaffiliates</vt:lpstr>
      <vt:lpstr>z_B1ICH30103_MO_CCFS_leaseterminations</vt:lpstr>
      <vt:lpstr>z_B1ICH30103_MO_CCFS_Loansmadetounconsolidatedaffiliates</vt:lpstr>
      <vt:lpstr>z_B1ICH30103_MO_CCFS_Lossfrominvestmentsinunconsildatedaffiliates</vt:lpstr>
      <vt:lpstr>z_B1ICH30103_MO_CCFS_NetCFF</vt:lpstr>
      <vt:lpstr>z_B1ICH30103_MO_CCFS_NetCFI</vt:lpstr>
      <vt:lpstr>z_B1ICH30103_MO_CCFS_NetCFO</vt:lpstr>
      <vt:lpstr>z_B1ICH30103_MO_CCFS_NetChangeinCashBalance</vt:lpstr>
      <vt:lpstr>z_B1ICH30103_MO_CCFS_netincome</vt:lpstr>
      <vt:lpstr>z_B1ICH30103_MO_CCFS_Operatingleaseassetsliabilities</vt:lpstr>
      <vt:lpstr>z_B1ICH30103_MO_CCFS_Other</vt:lpstr>
      <vt:lpstr>z_B1ICH30103_MO_CCFS_Other_4</vt:lpstr>
      <vt:lpstr>z_B1ICH30103_MO_CCFS_Otheraccruedexpenses</vt:lpstr>
      <vt:lpstr>z_B1ICH30103_MO_CCFS_Otherassets</vt:lpstr>
      <vt:lpstr>z_B1ICH30103_MO_CCFS_Otherreceivables</vt:lpstr>
      <vt:lpstr>z_B1ICH30103_MO_CCFS_paymentforfuturetreasurystockpurchasesunderacceleratedstockrepurchaseagreement</vt:lpstr>
      <vt:lpstr>z_B1ICH30103_MO_CCFS_Preferredstockcashsettledconversion</vt:lpstr>
      <vt:lpstr>z_B1ICH30103_MO_CCFS_Preferredstockconversiondirectandincrementalcosts</vt:lpstr>
      <vt:lpstr>z_B1ICH30103_MO_CCFS_Preferredstockdirectcosts</vt:lpstr>
      <vt:lpstr>z_B1ICH30103_MO_CCFS_Preferredstockdividendspaid</vt:lpstr>
      <vt:lpstr>z_B1ICH30103_MO_CCFS_Preferredstockissuance</vt:lpstr>
      <vt:lpstr>z_B1ICH30103_MO_CCFS_prepaidexpenses</vt:lpstr>
      <vt:lpstr>z_B1ICH30103_MO_CCFS_proceedsfromexerciseofstockoptions</vt:lpstr>
      <vt:lpstr>z_B1ICH30103_MO_CCFS_Proceedsfromvariablelifeinsurancecontract</vt:lpstr>
      <vt:lpstr>z_B1ICH30103_MO_CCFS_realizedlossonderivativefinancialinstruments</vt:lpstr>
      <vt:lpstr>z_B1ICH30103_MO_CCFS_repaymentofcreditfacility</vt:lpstr>
      <vt:lpstr>z_B1ICH30103_MO_CCFS_repaymentsoncreditfacility</vt:lpstr>
      <vt:lpstr>z_B1ICH30103_MO_CCFS_salesofavailableforsalesecurities</vt:lpstr>
      <vt:lpstr>z_B1ICH30103_MO_CCFS_stockbasedcompensation</vt:lpstr>
      <vt:lpstr>z_B1ICH30103_MO_CCFS_taximpactofstockoptionsexercised</vt:lpstr>
      <vt:lpstr>z_B1ICH30103_MO_CCFS_treasurystockpurchases</vt:lpstr>
      <vt:lpstr>z_B1ICH30103_MO_CFS_Accountsandotherreceivable</vt:lpstr>
      <vt:lpstr>z_B1ICH30103_MO_CFS_accountspayable</vt:lpstr>
      <vt:lpstr>z_B1ICH30103_MO_CFS_accountsreceivable</vt:lpstr>
      <vt:lpstr>z_B1ICH30103_MO_CFS_Acquisitionrelateddeferredconsideration</vt:lpstr>
      <vt:lpstr>z_B1ICH30103_MO_CFS_Acquisitions</vt:lpstr>
      <vt:lpstr>z_B1ICH30103_MO_CFS_additionstointangibleassets</vt:lpstr>
      <vt:lpstr>z_B1ICH30103_MO_CFS_additionstopropertyandequipment</vt:lpstr>
      <vt:lpstr>z_B1ICH30103_MO_CFS_BeginningCashBalance</vt:lpstr>
      <vt:lpstr>z_B1ICH30103_MO_CFS_borrowingsoncreditfacility</vt:lpstr>
      <vt:lpstr>z_B1ICH30103_MO_CFS_Cashdividendspaid</vt:lpstr>
      <vt:lpstr>z_B1ICH30103_MO_CFS_CFCheck</vt:lpstr>
      <vt:lpstr>z_B1ICH30103_MO_CFS_CFF</vt:lpstr>
      <vt:lpstr>z_B1ICH30103_MO_CFS_CFI</vt:lpstr>
      <vt:lpstr>z_B1ICH30103_MO_CFS_CFO</vt:lpstr>
      <vt:lpstr>z_B1ICH30103_MO_CFS_CFObeforeWC</vt:lpstr>
      <vt:lpstr>z_B1ICH30103_MO_CFS_Commonstockissuance</vt:lpstr>
      <vt:lpstr>z_B1ICH30103_MO_CFS_Commonstockissuancedirectandincrementalcosts</vt:lpstr>
      <vt:lpstr>z_B1ICH30103_MO_CFS_Convertibledebtdirectandincrementalcosts</vt:lpstr>
      <vt:lpstr>z_B1ICH30103_MO_CFS_Convertibledebtissuance</vt:lpstr>
      <vt:lpstr>z_B1ICH30103_MO_CFS_deemedlandlordfinancingpayments</vt:lpstr>
      <vt:lpstr>z_B1ICH30103_MO_CFS_deemedlandlordfinancingproceeds</vt:lpstr>
      <vt:lpstr>z_B1ICH30103_MO_CFS_deferredincometaxes</vt:lpstr>
      <vt:lpstr>z_B1ICH30103_MO_CFS_depreciationandamortizationexpenses</vt:lpstr>
      <vt:lpstr>z_B1ICH30103_MO_CFS_Divestitures</vt:lpstr>
      <vt:lpstr>z_B1ICH30103_MO_CFS_EndingCashBalance</vt:lpstr>
      <vt:lpstr>z_B1ICH30103_MO_CFS_excesstaxbenefitrelatedtostockoptionsexercised</vt:lpstr>
      <vt:lpstr>z_B1ICH30103_MO_CFS_excesstaxbenefitrelatedtostockoptionsexercised_1</vt:lpstr>
      <vt:lpstr>z_B1ICH30103_MO_CFS_FX</vt:lpstr>
      <vt:lpstr>z_B1ICH30103_MO_CFS_Giftcardliabilities</vt:lpstr>
      <vt:lpstr>z_B1ICH30103_MO_CFS_impairmentofassetsandleaseterminations</vt:lpstr>
      <vt:lpstr>z_B1ICH30103_MO_CFS_Incometaxespaid</vt:lpstr>
      <vt:lpstr>z_B1ICH30103_MO_CFS_incometaxesreceivablepayable</vt:lpstr>
      <vt:lpstr>z_B1ICH30103_MO_CFS_Interestpaid</vt:lpstr>
      <vt:lpstr>z_B1ICH30103_MO_CFS_inventories</vt:lpstr>
      <vt:lpstr>z_B1ICH30103_MO_CFS_investmentsinunconsolidatedaffiliates</vt:lpstr>
      <vt:lpstr>z_B1ICH30103_MO_CFS_leaseterminations</vt:lpstr>
      <vt:lpstr>z_B1ICH30103_MO_CFS_Loansmadetounconsolidatedaffiliates</vt:lpstr>
      <vt:lpstr>z_B1ICH30103_MO_CFS_Lossfrominvestmentsinunconsildatedaffiliates</vt:lpstr>
      <vt:lpstr>z_B1ICH30103_MO_CFS_NetCFF</vt:lpstr>
      <vt:lpstr>z_B1ICH30103_MO_CFS_NetCFI</vt:lpstr>
      <vt:lpstr>z_B1ICH30103_MO_CFS_NetCFO</vt:lpstr>
      <vt:lpstr>z_B1ICH30103_MO_CFS_NetChangeinCashBalance</vt:lpstr>
      <vt:lpstr>z_B1ICH30103_MO_CFS_netincome</vt:lpstr>
      <vt:lpstr>z_B1ICH30103_MO_CFS_Operatingleaseassetsliabilities</vt:lpstr>
      <vt:lpstr>z_B1ICH30103_MO_CFS_Other</vt:lpstr>
      <vt:lpstr>z_B1ICH30103_MO_CFS_Other_4</vt:lpstr>
      <vt:lpstr>z_B1ICH30103_MO_CFS_Otheraccruedexpenses</vt:lpstr>
      <vt:lpstr>z_B1ICH30103_MO_CFS_Otherassets</vt:lpstr>
      <vt:lpstr>z_B1ICH30103_MO_CFS_Otherreceivables</vt:lpstr>
      <vt:lpstr>z_B1ICH30103_MO_CFS_paymentforfuturetreasurystockpurchasesunderacceleratedstockrepurchaseagreement</vt:lpstr>
      <vt:lpstr>z_B1ICH30103_MO_CFS_Preferredstockcashsettledconversion</vt:lpstr>
      <vt:lpstr>z_B1ICH30103_MO_CFS_Preferredstockconversiondirectandincrementalcosts</vt:lpstr>
      <vt:lpstr>z_B1ICH30103_MO_CFS_Preferredstockdirectcosts</vt:lpstr>
      <vt:lpstr>z_B1ICH30103_MO_CFS_Preferredstockdividendspaid</vt:lpstr>
      <vt:lpstr>z_B1ICH30103_MO_CFS_Preferredstockissuance</vt:lpstr>
      <vt:lpstr>z_B1ICH30103_MO_CFS_prepaidexpenses</vt:lpstr>
      <vt:lpstr>z_B1ICH30103_MO_CFS_proceedsfromexerciseofstockoptions</vt:lpstr>
      <vt:lpstr>z_B1ICH30103_MO_CFS_Proceedsfromvariablelifeinsurancecontract</vt:lpstr>
      <vt:lpstr>z_B1ICH30103_MO_CFS_realizedlossonderivativefinancialinstruments</vt:lpstr>
      <vt:lpstr>z_B1ICH30103_MO_CFS_repaymentofcreditfacility</vt:lpstr>
      <vt:lpstr>z_B1ICH30103_MO_CFS_repaymentsoncreditfacility</vt:lpstr>
      <vt:lpstr>z_B1ICH30103_MO_CFS_salesofavailableforsalesecurities</vt:lpstr>
      <vt:lpstr>z_B1ICH30103_MO_CFS_stockbasedcompensation</vt:lpstr>
      <vt:lpstr>z_B1ICH30103_MO_CFS_taximpactofstockoptionsexercised</vt:lpstr>
      <vt:lpstr>z_B1ICH30103_MO_CFS_Treasurystockpurchases</vt:lpstr>
      <vt:lpstr>z_B1ICH30103_MO_CFSum_Acquisitions</vt:lpstr>
      <vt:lpstr>z_B1ICH30103_MO_CFSum_Capex</vt:lpstr>
      <vt:lpstr>z_B1ICH30103_MO_CFSum_CashFlowPerDilutedShare</vt:lpstr>
      <vt:lpstr>z_B1ICH30103_MO_CFSum_CashFlowPerDilutedShare_1</vt:lpstr>
      <vt:lpstr>z_B1ICH30103_MO_CFSum_ChangeinWorkingCapital</vt:lpstr>
      <vt:lpstr>z_B1ICH30103_MO_CFSum_ConsensusEstimatesCapex</vt:lpstr>
      <vt:lpstr>z_B1ICH30103_MO_CFSum_consensusestimatescashflowperdilutedshare</vt:lpstr>
      <vt:lpstr>z_B1ICH30103_MO_CFSum_Divestiture</vt:lpstr>
      <vt:lpstr>z_B1ICH30103_MO_CFSum_DividendPaid</vt:lpstr>
      <vt:lpstr>z_B1ICH30103_MO_CFSum_DividendPerShare</vt:lpstr>
      <vt:lpstr>z_B1ICH30103_MO_CFSum_EstimatedSharePriceforIssuanceBuybacks</vt:lpstr>
      <vt:lpstr>z_B1ICH30103_MO_CFSum_FCF</vt:lpstr>
      <vt:lpstr>z_B1ICH30103_MO_CFSum_FCF_1</vt:lpstr>
      <vt:lpstr>z_B1ICH30103_MO_CFSum_FCF_2</vt:lpstr>
      <vt:lpstr>z_B1ICH30103_MO_CFSum_FCF_4</vt:lpstr>
      <vt:lpstr>z_B1ICH30103_MO_CFSum_FCFPostDiv_1</vt:lpstr>
      <vt:lpstr>z_B1ICH30103_MO_CFSum_FCFPostDiv_2</vt:lpstr>
      <vt:lpstr>z_B1ICH30103_MO_CFSum_FCFPostDivDebtBuyback</vt:lpstr>
      <vt:lpstr>z_B1ICH30103_MO_CFSum_FCFPostDivDebtBuyback_1</vt:lpstr>
      <vt:lpstr>z_B1ICH30103_MO_CFSum_NetDebtIssuanceRepayment</vt:lpstr>
      <vt:lpstr>z_B1ICH30103_MO_CFSum_NetShareIssuanceBuybacks</vt:lpstr>
      <vt:lpstr>z_B1ICH30103_MO_CFSum_OperatingCashFlowafterWC</vt:lpstr>
      <vt:lpstr>z_B1ICH30103_MO_CFSum_OperatingCashFlowbeforeWC</vt:lpstr>
      <vt:lpstr>z_B1ICH30103_MO_Checks_SNA_AdjustedNumbersFYSumofQs</vt:lpstr>
      <vt:lpstr>z_B1ICH30103_MO_Checks_SNA_BalanceSheetisnotRepeated</vt:lpstr>
      <vt:lpstr>z_B1ICH30103_MO_Checks_SNA_CapexisUpdated</vt:lpstr>
      <vt:lpstr>z_B1ICH30103_MO_Checks_SNA_CashFlowisnotRepeated</vt:lpstr>
      <vt:lpstr>z_B1ICH30103_MO_Checks_SNA_CashFlowSummarySignsareCorrect</vt:lpstr>
      <vt:lpstr>z_B1ICH30103_MO_Checks_SNA_CashisPositive</vt:lpstr>
      <vt:lpstr>z_B1ICH30103_MO_Checks_SNA_CFFsubtotalFYSumofQs</vt:lpstr>
      <vt:lpstr>z_B1ICH30103_MO_Checks_SNA_CFIsubtotalFYSumofQs</vt:lpstr>
      <vt:lpstr>z_B1ICH30103_MO_Checks_SNA_CFOBeforeWCsubtotalFYSumofQs</vt:lpstr>
      <vt:lpstr>z_B1ICH30103_MO_Checks_SNA_CFOsubtotalFYSumofQs</vt:lpstr>
      <vt:lpstr>z_B1ICH30103_MO_Checks_SNA_CFSummaryFYSumofQs</vt:lpstr>
      <vt:lpstr>z_B1ICH30103_MO_Checks_SNA_DebtisPositive</vt:lpstr>
      <vt:lpstr>z_B1ICH30103_MO_Checks_SNA_EndingCFEndingCumulativeCF</vt:lpstr>
      <vt:lpstr>z_B1ICH30103_MO_Checks_SNA_IncomeStatementisnotRepeated</vt:lpstr>
      <vt:lpstr>z_B1ICH30103_MO_Checks_SNA_MarginisUpdated</vt:lpstr>
      <vt:lpstr>z_B1ICH30103_MO_Checks_SNA_RISAdjustedNIFYSumofQs</vt:lpstr>
      <vt:lpstr>z_B1ICH30103_MO_Checks_SNA_RISNIFYSumofQs</vt:lpstr>
      <vt:lpstr>z_B1ICH30103_MO_Checks_SNA_SegmentedRevenueRevenue</vt:lpstr>
      <vt:lpstr>z_B1ICH30103_MO_Checks_SNA_SSSisnotRepeated</vt:lpstr>
      <vt:lpstr>z_B1ICH30103_MO_DAF_AmortizationaspercentageofIntangiblesBoP</vt:lpstr>
      <vt:lpstr>z_B1ICH30103_MO_DAF_Amortizationofintangibles</vt:lpstr>
      <vt:lpstr>z_B1ICH30103_MO_DAF_Capexofintangibles</vt:lpstr>
      <vt:lpstr>z_B1ICH30103_MO_DAF_CapexofPPE</vt:lpstr>
      <vt:lpstr>z_B1ICH30103_MO_DAF_CapexofPPEandIntangibles</vt:lpstr>
      <vt:lpstr>z_B1ICH30103_MO_DAF_DAofPPEandIntangibles</vt:lpstr>
      <vt:lpstr>z_B1ICH30103_MO_DAF_DepreciationaspercentageofPPEBoP</vt:lpstr>
      <vt:lpstr>z_B1ICH30103_MO_DAF_Depreciationoffixedassets</vt:lpstr>
      <vt:lpstr>z_B1ICH30103_MO_DAF_Impliedlifeoffixedassets</vt:lpstr>
      <vt:lpstr>z_B1ICH30103_MO_DAF_Impliedlifeofintangibles</vt:lpstr>
      <vt:lpstr>z_B1ICH30103_MO_DAF_IntangiblesBoP</vt:lpstr>
      <vt:lpstr>z_B1ICH30103_MO_DAF_IntangiblesEoP</vt:lpstr>
      <vt:lpstr>z_B1ICH30103_MO_DAF_Othernetadditionstointangibles</vt:lpstr>
      <vt:lpstr>z_B1ICH30103_MO_DAF_OthernetadditionstoPPE</vt:lpstr>
      <vt:lpstr>z_B1ICH30103_MO_DAF_Percentageofcapexallocatedtointangibleassets</vt:lpstr>
      <vt:lpstr>z_B1ICH30103_MO_DAF_PPEBoP</vt:lpstr>
      <vt:lpstr>z_B1ICH30103_MO_DAF_PPEEoP</vt:lpstr>
      <vt:lpstr>z_B1ICH30103_MO_GA_Averagecheckgrowth</vt:lpstr>
      <vt:lpstr>z_B1ICH30103_MO_GA_Averagecheckgrowth_1</vt:lpstr>
      <vt:lpstr>z_B1ICH30103_MO_GA_CasualDiningindustrycomparablesalegrowth</vt:lpstr>
      <vt:lpstr>z_B1ICH30103_MO_GA_Customertrafficgrowth</vt:lpstr>
      <vt:lpstr>z_B1ICH30103_MO_GA_Customertrafficgrowth_1</vt:lpstr>
      <vt:lpstr>z_B1ICH30103_MO_GA_Externalbakerysalesgrowth</vt:lpstr>
      <vt:lpstr>z_B1ICH30103_MO_GA_InternationallicensingrevenuegrowthEstimated</vt:lpstr>
      <vt:lpstr>z_B1ICH30103_MO_GA_Menumixgrowth</vt:lpstr>
      <vt:lpstr>z_B1ICH30103_MO_GA_Menumixgrowth_1</vt:lpstr>
      <vt:lpstr>z_B1ICH30103_MO_GA_Menupricinggrowth</vt:lpstr>
      <vt:lpstr>z_B1ICH30103_MO_GA_Menupricinggrowth_1</vt:lpstr>
      <vt:lpstr>z_B1ICH30103_MO_GA_NorthItaliaComparablerestaurantsalesgrowth</vt:lpstr>
      <vt:lpstr>z_B1ICH30103_MO_GA_NorthItaliarestaurantsrevenuegrowth</vt:lpstr>
      <vt:lpstr>z_B1ICH30103_MO_GA_OtherFRCrestaurantsrevenuegrowth</vt:lpstr>
      <vt:lpstr>z_B1ICH30103_MO_GA_OtherrestaurantsrevenuegrowthEstimated</vt:lpstr>
      <vt:lpstr>z_B1ICH30103_MO_GA_TheCheesecakeFactoryComparablerestaurantsalesgrowthperperiod</vt:lpstr>
      <vt:lpstr>z_B1ICH30103_MO_Header_ColumnHeader</vt:lpstr>
      <vt:lpstr>z_B1ICH30103_MO_Header_CompanySubTitle</vt:lpstr>
      <vt:lpstr>z_B1ICH30103_MO_Header_CompanyTitle</vt:lpstr>
      <vt:lpstr>z_B1ICH30103_MO_Header_FPDays</vt:lpstr>
      <vt:lpstr>z_B1ICH30103_MO_Header_QEndDate</vt:lpstr>
      <vt:lpstr>z_B1ICH30103_MO_IS_Acquisitionrelatedcontingentconsideration</vt:lpstr>
      <vt:lpstr>z_B1ICH30103_MO_IS_Acquisitionrelatedcosts</vt:lpstr>
      <vt:lpstr>z_B1ICH30103_MO_IS_costofsales</vt:lpstr>
      <vt:lpstr>z_B1ICH30103_MO_IS_depreciationandamortizationexpenses</vt:lpstr>
      <vt:lpstr>z_B1ICH30103_MO_IS_generalandadministrativeexpenses</vt:lpstr>
      <vt:lpstr>z_B1ICH30103_MO_IS_impairmentofassetsandleaseterminations</vt:lpstr>
      <vt:lpstr>z_B1ICH30103_MO_IS_incomebeforeincometaxes</vt:lpstr>
      <vt:lpstr>z_B1ICH30103_MO_IS_incomefromoperations</vt:lpstr>
      <vt:lpstr>z_B1ICH30103_MO_IS_incometaxprovision</vt:lpstr>
      <vt:lpstr>z_B1ICH30103_MO_IS_Interestandotherexpense</vt:lpstr>
      <vt:lpstr>z_B1ICH30103_MO_IS_ISCheck</vt:lpstr>
      <vt:lpstr>z_B1ICH30103_MO_IS_laborexpenses</vt:lpstr>
      <vt:lpstr>z_B1ICH30103_MO_IS_Lossoninvestmentinunconsolidatedaffiliates</vt:lpstr>
      <vt:lpstr>z_B1ICH30103_MO_IS_netincome</vt:lpstr>
      <vt:lpstr>z_B1ICH30103_MO_IS_Otheroperatingcostsandexpenses</vt:lpstr>
      <vt:lpstr>z_B1ICH30103_MO_IS_preopeningcosts</vt:lpstr>
      <vt:lpstr>z_B1ICH30103_MO_IS_revenues</vt:lpstr>
      <vt:lpstr>z_B1ICH30103_MO_IS_totalcostsandexpenses</vt:lpstr>
      <vt:lpstr>z_B1ICH30103_MO_IS_UndistributedearningsallocatedtoSeriesApreferredstock</vt:lpstr>
      <vt:lpstr>z_B1ICH30103_MO_MA__23</vt:lpstr>
      <vt:lpstr>z_B1ICH30103_MO_MA__28</vt:lpstr>
      <vt:lpstr>z_B1ICH30103_MO_MA_AddbackDAMargin</vt:lpstr>
      <vt:lpstr>z_B1ICH30103_MO_MA_AddbackSBCMargin</vt:lpstr>
      <vt:lpstr>z_B1ICH30103_MO_MA_AdjustedEBITDAMargin</vt:lpstr>
      <vt:lpstr>z_B1ICH30103_MO_MA_AdjustedEBITMargin</vt:lpstr>
      <vt:lpstr>z_B1ICH30103_MO_MA_AverageFXRate</vt:lpstr>
      <vt:lpstr>z_B1ICH30103_MO_MA_consensusestimatesadjustedebitdamargin</vt:lpstr>
      <vt:lpstr>z_B1ICH30103_MO_MA_ConsensusEstimatesAdjustedEBITMargin</vt:lpstr>
      <vt:lpstr>z_B1ICH30103_MO_MA_CostsofSales</vt:lpstr>
      <vt:lpstr>z_B1ICH30103_MO_MA_CostsofSalesMarginImprovement</vt:lpstr>
      <vt:lpstr>z_B1ICH30103_MO_MA_EBITDAMargin</vt:lpstr>
      <vt:lpstr>z_B1ICH30103_MO_MA_EBITMargin</vt:lpstr>
      <vt:lpstr>z_B1ICH30103_MO_MA_EoPFXRate</vt:lpstr>
      <vt:lpstr>z_B1ICH30103_MO_MA_LaborExpensesIncludingSBC</vt:lpstr>
      <vt:lpstr>z_B1ICH30103_MO_MA_LaborExpensesMarginImprovement</vt:lpstr>
      <vt:lpstr>z_B1ICH30103_MO_MA_OtherOperatingCostsandExpensesIncludingSBC</vt:lpstr>
      <vt:lpstr>z_B1ICH30103_MO_MA_OtherOperatingCostsandExpensesMarginImprovement</vt:lpstr>
      <vt:lpstr>z_B1ICH30103_MO_MA_RestaurantLevelOperatingCostsMarginIncludingDASBC</vt:lpstr>
      <vt:lpstr>z_B1ICH30103_MO_MA_RestaurantLevelOperatingProfitMarginImprovement</vt:lpstr>
      <vt:lpstr>z_B1ICH30103_MO_MA_RestaurantLevelOperatingProfitMarginIncludingDASBC</vt:lpstr>
      <vt:lpstr>z_B1ICH30103_MO_MA_SGAIncludingSBCMargin</vt:lpstr>
      <vt:lpstr>z_B1ICH30103_MO_MA_StockEoP</vt:lpstr>
      <vt:lpstr>z_B1ICH30103_MO_MA_StockPriceTradingCurAvg</vt:lpstr>
      <vt:lpstr>z_B1ICH30103_MO_OS__108</vt:lpstr>
      <vt:lpstr>z_B1ICH30103_MO_OS_Accountspayable</vt:lpstr>
      <vt:lpstr>z_B1ICH30103_MO_OS_AccountspayableYYChange</vt:lpstr>
      <vt:lpstr>z_B1ICH30103_MO_OS_Amortizationofintangibles</vt:lpstr>
      <vt:lpstr>z_B1ICH30103_MO_OS_Averagecheckpercustomer</vt:lpstr>
      <vt:lpstr>z_B1ICH30103_MO_OS_AverageNorthItaliarestaurants</vt:lpstr>
      <vt:lpstr>z_B1ICH30103_MO_OS_AveragenumberofCheesecakerestaurants</vt:lpstr>
      <vt:lpstr>z_B1ICH30103_MO_OS_Averagenumberofcompanyownedrestaurants</vt:lpstr>
      <vt:lpstr>z_B1ICH30103_MO_OS_Averagenumberofotherrestaurants</vt:lpstr>
      <vt:lpstr>z_B1ICH30103_MO_OS_Averagenumberofotherrestaurants_1</vt:lpstr>
      <vt:lpstr>z_B1ICH30103_MO_OS_AveragesalesperCheesecakefactoryrestaurant</vt:lpstr>
      <vt:lpstr>z_B1ICH30103_MO_OS_Averagesalesperproductivesquarefoot</vt:lpstr>
      <vt:lpstr>z_B1ICH30103_MO_OS_Avgoffranchisees</vt:lpstr>
      <vt:lpstr>z_B1ICH30103_MO_OS_Bahrain</vt:lpstr>
      <vt:lpstr>z_B1ICH30103_MO_OS_Beijing</vt:lpstr>
      <vt:lpstr>z_B1ICH30103_MO_OS_BoPTotalStockOptionsOutstanding</vt:lpstr>
      <vt:lpstr>z_B1ICH30103_MO_OS_BoPWeightedAverageExercisePrice</vt:lpstr>
      <vt:lpstr>z_B1ICH30103_MO_OS_CanalystCoverPageFullyDilutedSharesOutstanding</vt:lpstr>
      <vt:lpstr>z_B1ICH30103_MO_OS_CanalystEoPFullyDilutedSharesOutstanding</vt:lpstr>
      <vt:lpstr>z_B1ICH30103_MO_OS_CF1318monthnewrestaurantoperatingweeksCalculated</vt:lpstr>
      <vt:lpstr>z_B1ICH30103_MO_OS_CFLTMnewrestaurantoperatingweeksCalculated</vt:lpstr>
      <vt:lpstr>z_B1ICH30103_MO_OS_CFrestaurantgrowth</vt:lpstr>
      <vt:lpstr>z_B1ICH30103_MO_OS_Changeinnumberofotherrestaurants</vt:lpstr>
      <vt:lpstr>z_B1ICH30103_MO_OS_cheesecakefactoryrestaurantsrevenuegrowth</vt:lpstr>
      <vt:lpstr>z_B1ICH30103_MO_OS_CheesecakeFactoryrestaurantsrevenuegrowth_1</vt:lpstr>
      <vt:lpstr>z_B1ICH30103_MO_OS_Chengdu</vt:lpstr>
      <vt:lpstr>z_B1ICH30103_MO_OS_Chinalicenseerestaurants</vt:lpstr>
      <vt:lpstr>z_B1ICH30103_MO_OS_Chinesemainland</vt:lpstr>
      <vt:lpstr>z_B1ICH30103_MO_OS_Commonareamaintenanceandtaxes</vt:lpstr>
      <vt:lpstr>z_B1ICH30103_MO_OS_CommonstockissuedEoP</vt:lpstr>
      <vt:lpstr>z_B1ICH30103_MO_OS_CommonstockoutstandingEoP</vt:lpstr>
      <vt:lpstr>z_B1ICH30103_MO_OS_CommonStockOutstandingexclRSAsRSUsEoP</vt:lpstr>
      <vt:lpstr>z_B1ICH30103_MO_OS_CompanyOwnedAUV</vt:lpstr>
      <vt:lpstr>z_B1ICH30103_MO_OS_Companyownedrestaurantsclosed</vt:lpstr>
      <vt:lpstr>z_B1ICH30103_MO_OS_Companyownedrestaurantsopened</vt:lpstr>
      <vt:lpstr>z_B1ICH30103_MO_OS_CompanyOwnedStoreSales</vt:lpstr>
      <vt:lpstr>z_B1ICH30103_MO_OS_Comparablerestaurantsreturnoninvestedcapital</vt:lpstr>
      <vt:lpstr>z_B1ICH30103_MO_OS_CompTheCheesecakeFactoryStores</vt:lpstr>
      <vt:lpstr>z_B1ICH30103_MO_OS_Contingentrent</vt:lpstr>
      <vt:lpstr>z_B1ICH30103_MO_OS_CostofSales</vt:lpstr>
      <vt:lpstr>z_B1ICH30103_MO_OS_Coverpagecommonstockoutstanding</vt:lpstr>
      <vt:lpstr>z_B1ICH30103_MO_OS_CumulativeBoPTotalStockOptionsOutstanding</vt:lpstr>
      <vt:lpstr>z_B1ICH30103_MO_OS_CumulativeBoPWeightedAverageExercisePrice</vt:lpstr>
      <vt:lpstr>z_B1ICH30103_MO_OS_CumulativeEoPTotalStockOptionsOutstanding</vt:lpstr>
      <vt:lpstr>z_B1ICH30103_MO_OS_CumulativeEoPWeightedAverageExercisePrice</vt:lpstr>
      <vt:lpstr>z_B1ICH30103_MO_OS_CumulativeExercisedAverageExercisePrice</vt:lpstr>
      <vt:lpstr>z_B1ICH30103_MO_OS_CumulativeExercisedStockOptions</vt:lpstr>
      <vt:lpstr>z_B1ICH30103_MO_OS_CumulativeForfeitedorCanceledAverageExercisePrice</vt:lpstr>
      <vt:lpstr>z_B1ICH30103_MO_OS_CumulativeForfeitedorCanceledStockOptions</vt:lpstr>
      <vt:lpstr>z_B1ICH30103_MO_OS_CumulativeGrantedAverageExercisePrice</vt:lpstr>
      <vt:lpstr>z_B1ICH30103_MO_OS_CumulativeGrantedStockOptions</vt:lpstr>
      <vt:lpstr>z_B1ICH30103_MO_OS_Dateofcoverpagesharecount</vt:lpstr>
      <vt:lpstr>z_B1ICH30103_MO_OS_DepreciationandAmortizationexpenses</vt:lpstr>
      <vt:lpstr>z_B1ICH30103_MO_OS_DepreciationofPPE</vt:lpstr>
      <vt:lpstr>z_B1ICH30103_MO_OS_Dilutedsharecounttobasicsharecountratio</vt:lpstr>
      <vt:lpstr>z_B1ICH30103_MO_OS_Dilutiveshares</vt:lpstr>
      <vt:lpstr>z_B1ICH30103_MO_OS_DilutiveSharesfromExercisedOptionsTreasuryMethod</vt:lpstr>
      <vt:lpstr>z_B1ICH30103_MO_OS_EndofPeriodStockPrice</vt:lpstr>
      <vt:lpstr>z_B1ICH30103_MO_OS_EoPESPPObligations</vt:lpstr>
      <vt:lpstr>z_B1ICH30103_MO_OS_EoPOthers</vt:lpstr>
      <vt:lpstr>z_B1ICH30103_MO_OS_EoPPotentiallyDilutiveSecurities</vt:lpstr>
      <vt:lpstr>z_B1ICH30103_MO_OS_EoPTotalStockOptionsExercisable</vt:lpstr>
      <vt:lpstr>z_B1ICH30103_MO_OS_EoPTotalStockOptionsOutstanding</vt:lpstr>
      <vt:lpstr>z_B1ICH30103_MO_OS_EoPUnvestedRSAandRSUPrice</vt:lpstr>
      <vt:lpstr>z_B1ICH30103_MO_OS_EoPUnvestedRSAsandRSUs</vt:lpstr>
      <vt:lpstr>z_B1ICH30103_MO_OS_EoPWeightedAverageExercisableOptionExercisePrice</vt:lpstr>
      <vt:lpstr>z_B1ICH30103_MO_OS_EoPWeightedAverageExercisePrice</vt:lpstr>
      <vt:lpstr>z_B1ICH30103_MO_OS_ExercisedAverageExercisePrice</vt:lpstr>
      <vt:lpstr>z_B1ICH30103_MO_OS_ExercisedStockOptions</vt:lpstr>
      <vt:lpstr>z_B1ICH30103_MO_OS_Externalbakerysales</vt:lpstr>
      <vt:lpstr>z_B1ICH30103_MO_OS_FlowerChildrestaurantsBOP</vt:lpstr>
      <vt:lpstr>z_B1ICH30103_MO_OS_FlowerChildrestaurantsclosed</vt:lpstr>
      <vt:lpstr>z_B1ICH30103_MO_OS_FlowerChildrestaurantsEoP</vt:lpstr>
      <vt:lpstr>z_B1ICH30103_MO_OS_FlowerChildrestaurantsopened</vt:lpstr>
      <vt:lpstr>z_B1ICH30103_MO_OS_ForfeitedorCanceledAverageExercisePrice</vt:lpstr>
      <vt:lpstr>z_B1ICH30103_MO_OS_ForfeitedorCanceledStockOptions</vt:lpstr>
      <vt:lpstr>z_B1ICH30103_MO_OS_FoxRestaurantConceptsclosed</vt:lpstr>
      <vt:lpstr>z_B1ICH30103_MO_OS_FoxRestaurantConceptsopened</vt:lpstr>
      <vt:lpstr>z_B1ICH30103_MO_OS_FoxRestaurantConceptsrestaurantsBoP</vt:lpstr>
      <vt:lpstr>z_B1ICH30103_MO_OS_FoxRestaurantConceptsrestaurantsEoP</vt:lpstr>
      <vt:lpstr>z_B1ICH30103_MO_OS_FranchiseAUV</vt:lpstr>
      <vt:lpstr>z_B1ICH30103_MO_OS_FranchiseSystemSales</vt:lpstr>
      <vt:lpstr>z_B1ICH30103_MO_OS_FRCrestaurantgrowth</vt:lpstr>
      <vt:lpstr>z_B1ICH30103_MO_OS_GeneralandAdministrativeExpenses</vt:lpstr>
      <vt:lpstr>z_B1ICH30103_MO_OS_Giftcardliabilities</vt:lpstr>
      <vt:lpstr>z_B1ICH30103_MO_OS_GiftcardliabilitiesYYChange</vt:lpstr>
      <vt:lpstr>z_B1ICH30103_MO_OS_GrandLuxCaferestaurantsBoP</vt:lpstr>
      <vt:lpstr>z_B1ICH30103_MO_OS_GrandLuxCaferestaurantsEoP</vt:lpstr>
      <vt:lpstr>z_B1ICH30103_MO_OS_GrandLuxComparablerestaurantsalesgrowthperperiod</vt:lpstr>
      <vt:lpstr>z_B1ICH30103_MO_OS_GrantedAverageExercisePrice</vt:lpstr>
      <vt:lpstr>z_B1ICH30103_MO_OS_GrantedStockOptions</vt:lpstr>
      <vt:lpstr>z_B1ICH30103_MO_OS_HongKong</vt:lpstr>
      <vt:lpstr>z_B1ICH30103_MO_OS_InternationalFranchiseesSalesEstimated</vt:lpstr>
      <vt:lpstr>z_B1ICH30103_MO_OS_InternationallicensingrevenuesEstimated</vt:lpstr>
      <vt:lpstr>z_B1ICH30103_MO_OS_Inventories</vt:lpstr>
      <vt:lpstr>z_B1ICH30103_MO_OS_InventoriesYYChange</vt:lpstr>
      <vt:lpstr>z_B1ICH30103_MO_OS_KingdomofSaudiArabia</vt:lpstr>
      <vt:lpstr>z_B1ICH30103_MO_OS_Kuwait</vt:lpstr>
      <vt:lpstr>z_B1ICH30103_MO_OS_LaborExpenses</vt:lpstr>
      <vt:lpstr>z_B1ICH30103_MO_OS_LastWorkingDay</vt:lpstr>
      <vt:lpstr>z_B1ICH30103_MO_OS_Lebanon</vt:lpstr>
      <vt:lpstr>z_B1ICH30103_MO_OS_LTMAverageCheckImpactonCompanyOwnedSSSG</vt:lpstr>
      <vt:lpstr>z_B1ICH30103_MO_OS_LTMCompanyOwnedAUV</vt:lpstr>
      <vt:lpstr>z_B1ICH30103_MO_OS_LTMCompanyOwnedSSSG</vt:lpstr>
      <vt:lpstr>z_B1ICH30103_MO_OS_LTMCompanyOwnedStoreRevenue</vt:lpstr>
      <vt:lpstr>z_B1ICH30103_MO_OS_LTMCompanyOwnedStoreSales</vt:lpstr>
      <vt:lpstr>z_B1ICH30103_MO_OS_LTMFranchiseAUV</vt:lpstr>
      <vt:lpstr>z_B1ICH30103_MO_OS_LTMFranchiseRevenue</vt:lpstr>
      <vt:lpstr>z_B1ICH30103_MO_OS_LTMFranchiseRevenueasaofLTMFranchiseSystemSales</vt:lpstr>
      <vt:lpstr>z_B1ICH30103_MO_OS_LTMFranchiseSystemSales</vt:lpstr>
      <vt:lpstr>z_B1ICH30103_MO_OS_LTMLaborExpense</vt:lpstr>
      <vt:lpstr>z_B1ICH30103_MO_OS_LTMOccupancyandOtherOPEX</vt:lpstr>
      <vt:lpstr>z_B1ICH30103_MO_OS_LTMOtherRevenue</vt:lpstr>
      <vt:lpstr>z_B1ICH30103_MO_OS_LTMProductCosts</vt:lpstr>
      <vt:lpstr>z_B1ICH30103_MO_OS_LTMRestLevelExpenseMargin</vt:lpstr>
      <vt:lpstr>z_B1ICH30103_MO_OS_LTMRestLevelProfitMargin</vt:lpstr>
      <vt:lpstr>z_B1ICH30103_MO_OS_LTMSystemwideAUV</vt:lpstr>
      <vt:lpstr>z_B1ICH30103_MO_OS_LTMSystemwideSales</vt:lpstr>
      <vt:lpstr>z_B1ICH30103_MO_OS_LTMSystemwideSalesGrowth</vt:lpstr>
      <vt:lpstr>z_B1ICH30103_MO_OS_LTMTotalRevenue</vt:lpstr>
      <vt:lpstr>z_B1ICH30103_MO_OS_LTMTrafficImpactonCompanyOwnedSSSG</vt:lpstr>
      <vt:lpstr>z_B1ICH30103_MO_OS_Macau</vt:lpstr>
      <vt:lpstr>z_B1ICH30103_MO_OS_Mexicolicenseerestaurants</vt:lpstr>
      <vt:lpstr>z_B1ICH30103_MO_OS_MiddleEastLicenseerestaurants</vt:lpstr>
      <vt:lpstr>z_B1ICH30103_MO_OS_NetChangeincompanyownedrestaurants</vt:lpstr>
      <vt:lpstr>z_B1ICH30103_MO_OS_NetChangeinsystemwiderestaurants</vt:lpstr>
      <vt:lpstr>z_B1ICH30103_MO_OS_NetChangeinTotalFranchisees</vt:lpstr>
      <vt:lpstr>z_B1ICH30103_MO_OS_NewTheCheesecakeFactoryStores</vt:lpstr>
      <vt:lpstr>z_B1ICH30103_MO_OS_NI1318monthnewrestaurantoperatingweeksCalculated</vt:lpstr>
      <vt:lpstr>z_B1ICH30103_MO_OS_NILTMnewrestaurantoperatingweeksCalculated</vt:lpstr>
      <vt:lpstr>z_B1ICH30103_MO_OS_NIrestaurantgrowth</vt:lpstr>
      <vt:lpstr>z_B1ICH30103_MO_OS_NorthItalia1318monthnewstoregrowth</vt:lpstr>
      <vt:lpstr>z_B1ICH30103_MO_OS_NorthItaliaclosedrestaurantimpactoncompbase</vt:lpstr>
      <vt:lpstr>z_B1ICH30103_MO_OS_NorthItaliaComparablerestaurantsalesgrowth</vt:lpstr>
      <vt:lpstr>z_B1ICH30103_MO_OS_NorthItaliaComparablerestaurantsalesgrowth_1</vt:lpstr>
      <vt:lpstr>z_B1ICH30103_MO_OS_NorthItaliacomprestaurantoperatingweeks</vt:lpstr>
      <vt:lpstr>z_B1ICH30103_MO_OS_NorthItaliacomprestaurantprioryearsalesbaseperoperatingweek</vt:lpstr>
      <vt:lpstr>z_B1ICH30103_MO_OS_NorthItaliacomprestaurants</vt:lpstr>
      <vt:lpstr>z_B1ICH30103_MO_OS_NorthItaliacomprestaurantsalesperoperatingweek</vt:lpstr>
      <vt:lpstr>z_B1ICH30103_MO_OS_NorthItaliacomprestaurantsAverage</vt:lpstr>
      <vt:lpstr>z_B1ICH30103_MO_OS_NorthItaliaImpactofbasechange</vt:lpstr>
      <vt:lpstr>z_B1ICH30103_MO_OS_NorthItalianetclosedproductivity</vt:lpstr>
      <vt:lpstr>z_B1ICH30103_MO_OS_NorthItalianewrestaurantoperatingweeks</vt:lpstr>
      <vt:lpstr>z_B1ICH30103_MO_OS_NorthItalianewrestaurantproductivity</vt:lpstr>
      <vt:lpstr>z_B1ICH30103_MO_OS_NorthItalianewrestaurants</vt:lpstr>
      <vt:lpstr>z_B1ICH30103_MO_OS_NorthItalianewrestaurantsalesperoperatingweek</vt:lpstr>
      <vt:lpstr>z_B1ICH30103_MO_OS_NorthItalianewrestaurantsAverage</vt:lpstr>
      <vt:lpstr>z_B1ICH30103_MO_OS_NorthItaliaNewstoregrowth</vt:lpstr>
      <vt:lpstr>z_B1ICH30103_MO_OS_NorthItalianoncomparablesalesgrowth</vt:lpstr>
      <vt:lpstr>z_B1ICH30103_MO_OS_NorthItaliarestaurantsBoP</vt:lpstr>
      <vt:lpstr>z_B1ICH30103_MO_OS_NorthItaliarestaurantsclosed</vt:lpstr>
      <vt:lpstr>z_B1ICH30103_MO_OS_NorthItaliarestaurantsEoP</vt:lpstr>
      <vt:lpstr>z_B1ICH30103_MO_OS_NorthItaliarestaurantsopened</vt:lpstr>
      <vt:lpstr>z_B1ICH30103_MO_OS_NorthItaliarestaurantsoperatingincome</vt:lpstr>
      <vt:lpstr>z_B1ICH30103_MO_OS_NorthItaliarestaurantsoperatingmargin</vt:lpstr>
      <vt:lpstr>z_B1ICH30103_MO_OS_NorthItaliarestaurantsrevenuegrowth</vt:lpstr>
      <vt:lpstr>z_B1ICH30103_MO_OS_NorthItaliarevenue</vt:lpstr>
      <vt:lpstr>z_B1ICH30103_MO_OS_NorthItaliarevenue_2</vt:lpstr>
      <vt:lpstr>z_B1ICH30103_MO_OS_NorthItaliasalesfromcomprestaurants</vt:lpstr>
      <vt:lpstr>z_B1ICH30103_MO_OS_NorthItaliasalesfromnewrestaurants</vt:lpstr>
      <vt:lpstr>z_B1ICH30103_MO_OS_NorthItaliasalespercomprestaurant</vt:lpstr>
      <vt:lpstr>z_B1ICH30103_MO_OS_NorthItaliasalespernewrestaurant</vt:lpstr>
      <vt:lpstr>z_B1ICH30103_MO_OS_NorthItaliasalesperrestaurant</vt:lpstr>
      <vt:lpstr>z_B1ICH30103_MO_OS_NorthItaliatotaloperatingweeks</vt:lpstr>
      <vt:lpstr>z_B1ICH30103_MO_OS_NorthItaliatotalsalesperoperatingweek</vt:lpstr>
      <vt:lpstr>z_B1ICH30103_MO_OS_Numberofrestaurantsclosed_1</vt:lpstr>
      <vt:lpstr>z_B1ICH30103_MO_OS_Numberofrestaurantsclosed_2</vt:lpstr>
      <vt:lpstr>z_B1ICH30103_MO_OS_Numberofrestaurantsclosed_3</vt:lpstr>
      <vt:lpstr>z_B1ICH30103_MO_OS_Numberofrestaurantsclosed_4</vt:lpstr>
      <vt:lpstr>z_B1ICH30103_MO_OS_Numberofrestaurantsopened_1</vt:lpstr>
      <vt:lpstr>z_B1ICH30103_MO_OS_Numberofrestaurantsopened_2</vt:lpstr>
      <vt:lpstr>z_B1ICH30103_MO_OS_Numberofrestaurantsopened_3</vt:lpstr>
      <vt:lpstr>z_B1ICH30103_MO_OS_Numberofrestaurantsopened_4</vt:lpstr>
      <vt:lpstr>z_B1ICH30103_MO_OS_Numberofrestaurantsopened_5</vt:lpstr>
      <vt:lpstr>z_B1ICH30103_MO_OS_Operatingleaseexpense</vt:lpstr>
      <vt:lpstr>z_B1ICH30103_MO_OS_Otheraccruedexpenses</vt:lpstr>
      <vt:lpstr>z_B1ICH30103_MO_OS_OtheraccruedexpensesYYChange</vt:lpstr>
      <vt:lpstr>z_B1ICH30103_MO_OS_OtherFRCoperatingincome</vt:lpstr>
      <vt:lpstr>z_B1ICH30103_MO_OS_OtherFRCoperatingmargin</vt:lpstr>
      <vt:lpstr>z_B1ICH30103_MO_OS_OtherFRCrevenue</vt:lpstr>
      <vt:lpstr>z_B1ICH30103_MO_OS_OtherFRCrevenue_1</vt:lpstr>
      <vt:lpstr>z_B1ICH30103_MO_OS_OtherOperatingCostsandExpenses</vt:lpstr>
      <vt:lpstr>z_B1ICH30103_MO_OS_Otheroperatingincome</vt:lpstr>
      <vt:lpstr>z_B1ICH30103_MO_OS_Otheroperatingincome_1</vt:lpstr>
      <vt:lpstr>z_B1ICH30103_MO_OS_Otheroperatingmargin</vt:lpstr>
      <vt:lpstr>z_B1ICH30103_MO_OS_Otherrestaurantgrowth</vt:lpstr>
      <vt:lpstr>z_B1ICH30103_MO_OS_Otherrestaurants</vt:lpstr>
      <vt:lpstr>z_B1ICH30103_MO_OS_Otherrestaurants_1</vt:lpstr>
      <vt:lpstr>z_B1ICH30103_MO_OS_OtherrestaurantsrevenueEstimated</vt:lpstr>
      <vt:lpstr>z_B1ICH30103_MO_OS_Otherrevenue</vt:lpstr>
      <vt:lpstr>z_B1ICH30103_MO_OS_Otherrevenuegrowth</vt:lpstr>
      <vt:lpstr>z_B1ICH30103_MO_OS_Percentageofrestaurantsfranchised</vt:lpstr>
      <vt:lpstr>z_B1ICH30103_MO_OS_PreopeningCosts</vt:lpstr>
      <vt:lpstr>z_B1ICH30103_MO_OS_Productivityoffranchiseesvscompanyownedstoresestimated</vt:lpstr>
      <vt:lpstr>z_B1ICH30103_MO_OS_Qatar</vt:lpstr>
      <vt:lpstr>z_B1ICH30103_MO_OS_QQbasicshareexpansionEoP</vt:lpstr>
      <vt:lpstr>z_B1ICH30103_MO_OS_QQbasicshareexpansionfromdilutivesecurities</vt:lpstr>
      <vt:lpstr>z_B1ICH30103_MO_OS_QQbasicshareexpansionfromshareissuancebuyback</vt:lpstr>
      <vt:lpstr>z_B1ICH30103_MO_OS_RockSugarSoutheastAsianKitchenrestaurantsBOP</vt:lpstr>
      <vt:lpstr>z_B1ICH30103_MO_OS_RockSugarSoutheastAsianKitchenrestaurantsEoP</vt:lpstr>
      <vt:lpstr>z_B1ICH30103_MO_OS_RSAsRSUsEoP</vt:lpstr>
      <vt:lpstr>z_B1ICH30103_MO_OS_Salesfromalcoholicbeverages</vt:lpstr>
      <vt:lpstr>z_B1ICH30103_MO_OS_Salesfromdesserts</vt:lpstr>
      <vt:lpstr>z_B1ICH30103_MO_OS_Salesfromtakeout</vt:lpstr>
      <vt:lpstr>z_B1ICH30103_MO_OS_SalesperavgotherrestaurantCalculated</vt:lpstr>
      <vt:lpstr>z_B1ICH30103_MO_OS_Salesperavgotherrestaurantgrowth</vt:lpstr>
      <vt:lpstr>z_B1ICH30103_MO_OS_SalesPerNorthItaliaCalculated</vt:lpstr>
      <vt:lpstr>z_B1ICH30103_MO_OS_Shanghai</vt:lpstr>
      <vt:lpstr>z_B1ICH30103_MO_OS_Shorttermleaseexpense</vt:lpstr>
      <vt:lpstr>z_B1ICH30103_MO_OS_SocialMonkAsianKitchenBoP</vt:lpstr>
      <vt:lpstr>z_B1ICH30103_MO_OS_SocialMonkAsianKitchenEoP</vt:lpstr>
      <vt:lpstr>z_B1ICH30103_MO_OS_SpecialadministrativeregionofHongKong</vt:lpstr>
      <vt:lpstr>z_B1ICH30103_MO_OS_Straightlinedminimumbaserent</vt:lpstr>
      <vt:lpstr>z_B1ICH30103_MO_OS_SystemwideAUV</vt:lpstr>
      <vt:lpstr>z_B1ICH30103_MO_OS_SystemwideSales</vt:lpstr>
      <vt:lpstr>z_B1ICH30103_MO_OS_Thailandlicenseerestaurants</vt:lpstr>
      <vt:lpstr>z_B1ICH30103_MO_OS_TheCheesecakeFactory1318monthnewstoregrowth</vt:lpstr>
      <vt:lpstr>z_B1ICH30103_MO_OS_TheCheesecakeFactoryclosedrestaurantimpactoncompbase</vt:lpstr>
      <vt:lpstr>z_B1ICH30103_MO_OS_TheCheesecakeFactoryComparablerestaurantsalesgrowthperperiod</vt:lpstr>
      <vt:lpstr>z_B1ICH30103_MO_OS_TheCheesecakeFactoryComparablerestaurantsalesgrowthperperiod_1</vt:lpstr>
      <vt:lpstr>z_B1ICH30103_MO_OS_TheCheesecakeFactorycomprestaurantoperatingweeks</vt:lpstr>
      <vt:lpstr>z_B1ICH30103_MO_OS_TheCheesecakeFactorycomprestaurantprioryearsalesbaseperoperatingweek</vt:lpstr>
      <vt:lpstr>z_B1ICH30103_MO_OS_TheCheesecakeFactorycomprestaurantsalesperoperatingweek</vt:lpstr>
      <vt:lpstr>z_B1ICH30103_MO_OS_TheCheesecakeFactorycomprestaurantsAverageCalculated</vt:lpstr>
      <vt:lpstr>z_B1ICH30103_MO_OS_TheCheesecakeFactoryImpactofbasechange</vt:lpstr>
      <vt:lpstr>z_B1ICH30103_MO_OS_TheCheesecakeFactorynetclosedproductivity</vt:lpstr>
      <vt:lpstr>z_B1ICH30103_MO_OS_TheCheesecakeFactorynewrestaurantoperatingweeks</vt:lpstr>
      <vt:lpstr>z_B1ICH30103_MO_OS_TheCheesecakeFactorynewrestaurantproductivity</vt:lpstr>
      <vt:lpstr>z_B1ICH30103_MO_OS_TheCheesecakeFactorynewrestaurantsalesperoperatingweek</vt:lpstr>
      <vt:lpstr>z_B1ICH30103_MO_OS_TheCheesecakeFactorynewrestaurantsAverageCalculated</vt:lpstr>
      <vt:lpstr>z_B1ICH30103_MO_OS_TheCheesecakeFactoryNewstoregrowth</vt:lpstr>
      <vt:lpstr>z_B1ICH30103_MO_OS_TheCheesecakeFactorynoncomparablesalesgrowth</vt:lpstr>
      <vt:lpstr>z_B1ICH30103_MO_OS_TheCheesecakeFactoryrestaurantsBoP</vt:lpstr>
      <vt:lpstr>z_B1ICH30103_MO_OS_TheCheesecakeFactoryrestaurantsEoP</vt:lpstr>
      <vt:lpstr>z_B1ICH30103_MO_OS_TheCheesecakeFactoryrestaurantsoperatingincome</vt:lpstr>
      <vt:lpstr>z_B1ICH30103_MO_OS_TheCheesecakeFactoryrestaurantsoperatingmargin</vt:lpstr>
      <vt:lpstr>z_B1ICH30103_MO_OS_thecheesecakefactoryrestaurantsrevenue</vt:lpstr>
      <vt:lpstr>z_B1ICH30103_MO_OS_TheCheesecakeFactoryrevenue_1</vt:lpstr>
      <vt:lpstr>z_B1ICH30103_MO_OS_TheCheesecakeFactorysalesfromcomprestaurants</vt:lpstr>
      <vt:lpstr>z_B1ICH30103_MO_OS_TheCheesecakeFactorysalesfromnewrestaurants</vt:lpstr>
      <vt:lpstr>z_B1ICH30103_MO_OS_TheCheesecakeFactorysalespercomprestaurant</vt:lpstr>
      <vt:lpstr>z_B1ICH30103_MO_OS_TheCheesecakeFactorysalespernewrestaurant</vt:lpstr>
      <vt:lpstr>z_B1ICH30103_MO_OS_TheCheesecakeFactorysalesperrestaurant</vt:lpstr>
      <vt:lpstr>z_B1ICH30103_MO_OS_TheCheesecakeFactorytotaloperatingweeks</vt:lpstr>
      <vt:lpstr>z_B1ICH30103_MO_OS_TheCheesecakeFactorytotalsalesperoperatingweek</vt:lpstr>
      <vt:lpstr>z_B1ICH30103_MO_OS_TotalAccountReceivable</vt:lpstr>
      <vt:lpstr>z_B1ICH30103_MO_OS_TotalAccountReceivableYYChange</vt:lpstr>
      <vt:lpstr>z_B1ICH30103_MO_OS_TotalBOPcompanyownedrestaurants</vt:lpstr>
      <vt:lpstr>z_B1ICH30103_MO_OS_TotalComparablerestaurantsalesgrowthperperiod</vt:lpstr>
      <vt:lpstr>z_B1ICH30103_MO_OS_TotalCostsandExpenses</vt:lpstr>
      <vt:lpstr>z_B1ICH30103_MO_OS_TotalDA</vt:lpstr>
      <vt:lpstr>z_B1ICH30103_MO_OS_TotaldilutedcommonstockoutstandingEoP</vt:lpstr>
      <vt:lpstr>z_B1ICH30103_MO_OS_TotalEmployees</vt:lpstr>
      <vt:lpstr>z_B1ICH30103_MO_OS_TotalEOPcompanyownedrestaurants</vt:lpstr>
      <vt:lpstr>z_B1ICH30103_MO_OS_Totalfranchisees</vt:lpstr>
      <vt:lpstr>z_B1ICH30103_MO_OS_Totalleaseexpense</vt:lpstr>
      <vt:lpstr>z_B1ICH30103_MO_OS_Totaloperatingincome</vt:lpstr>
      <vt:lpstr>z_B1ICH30103_MO_OS_Totaloperatingincome_1</vt:lpstr>
      <vt:lpstr>z_B1ICH30103_MO_OS_Totalrentexpense</vt:lpstr>
      <vt:lpstr>z_B1ICH30103_MO_OS_totalrevenue</vt:lpstr>
      <vt:lpstr>z_B1ICH30103_MO_OS_TotalRevenueGrowth</vt:lpstr>
      <vt:lpstr>z_B1ICH30103_MO_OS_TotalSystemwideRestaurantsAverage</vt:lpstr>
      <vt:lpstr>z_B1ICH30103_MO_OS_TotalSystemwideRestaurantsBoP</vt:lpstr>
      <vt:lpstr>z_B1ICH30103_MO_OS_TotalSystemwideRestaurantsEoP</vt:lpstr>
      <vt:lpstr>z_B1ICH30103_MO_OS_TreasurystockEoP</vt:lpstr>
      <vt:lpstr>z_B1ICH30103_MO_OS_Unallocatedcorporateexpenses</vt:lpstr>
      <vt:lpstr>z_B1ICH30103_MO_OS_UnitedArabEmirates</vt:lpstr>
      <vt:lpstr>z_B1ICH30103_MO_OS_Variableleaseexpense</vt:lpstr>
      <vt:lpstr>z_B1ICH30103_MO_OS_YYbasicshareexpansionEoP</vt:lpstr>
      <vt:lpstr>z_B1ICH30103_MO_OS_YYbasicshareexpansionfromdilutivesecurities</vt:lpstr>
      <vt:lpstr>z_B1ICH30103_MO_OS_YYbasicshareexpansionfromshareissuancebuyback</vt:lpstr>
      <vt:lpstr>z_B1ICH30103_MO_OS_YYLTMRestLevelProfitMarginImprovement</vt:lpstr>
      <vt:lpstr>z_B1ICH30103_MO_OS_YYSalesperNorthItaliastoregrowth_1</vt:lpstr>
      <vt:lpstr>z_B1ICH30103_MO_OS_YYSystemwideSalesgrowth</vt:lpstr>
      <vt:lpstr>z_B1ICH30103_MO_RIS__37</vt:lpstr>
      <vt:lpstr>z_B1ICH30103_MO_RIS_AdjustedEarningsPerShareWAD</vt:lpstr>
      <vt:lpstr>z_B1ICH30103_MO_RIS_AdjustedEBITDANoAdjustments</vt:lpstr>
      <vt:lpstr>z_B1ICH30103_MO_RIS_AdjustedEBITNoAdjustments</vt:lpstr>
      <vt:lpstr>z_B1ICH30103_MO_RIS_AdjustedNetIncome</vt:lpstr>
      <vt:lpstr>z_B1ICH30103_MO_RIS_AdjustedSharesOutstandingWAD</vt:lpstr>
      <vt:lpstr>z_B1ICH30103_MO_RIS_AdjustmentsforConvertibleSecurities</vt:lpstr>
      <vt:lpstr>z_B1ICH30103_MO_RIS_consensusestimatesadjustedearningspersharewad</vt:lpstr>
      <vt:lpstr>z_B1ICH30103_MO_RIS_ConsensusEstimatesAdjustedEBIT_1</vt:lpstr>
      <vt:lpstr>z_B1ICH30103_MO_RIS_consensusestimatesadjustedebitda</vt:lpstr>
      <vt:lpstr>z_B1ICH30103_MO_RIS_consensusestimatesnetrevenue</vt:lpstr>
      <vt:lpstr>z_B1ICH30103_MO_RIS_Currenttax</vt:lpstr>
      <vt:lpstr>z_B1ICH30103_MO_RIS_Currenttaxrate</vt:lpstr>
      <vt:lpstr>z_B1ICH30103_MO_RIS_DA</vt:lpstr>
      <vt:lpstr>z_B1ICH30103_MO_RIS_DA_1</vt:lpstr>
      <vt:lpstr>z_B1ICH30103_MO_RIS_Deferredtax</vt:lpstr>
      <vt:lpstr>z_B1ICH30103_MO_RIS_Deferredtaxrate</vt:lpstr>
      <vt:lpstr>z_B1ICH30103_MO_RIS_DilutedNetIncometoCommonShareholders</vt:lpstr>
      <vt:lpstr>z_B1ICH30103_MO_RIS_DiscontinuedOperations</vt:lpstr>
      <vt:lpstr>z_B1ICH30103_MO_RIS_EarningsPerShareWAB</vt:lpstr>
      <vt:lpstr>z_B1ICH30103_MO_RIS_EarningsPerShareWAD</vt:lpstr>
      <vt:lpstr>z_B1ICH30103_MO_RIS_EBIT</vt:lpstr>
      <vt:lpstr>z_B1ICH30103_MO_RIS_EBITDA</vt:lpstr>
      <vt:lpstr>z_B1ICH30103_MO_RIS_EBT</vt:lpstr>
      <vt:lpstr>z_B1ICH30103_MO_RIS_Franchiseotherrevenue</vt:lpstr>
      <vt:lpstr>z_B1ICH30103_MO_RIS_Interestexpense</vt:lpstr>
      <vt:lpstr>z_B1ICH30103_MO_RIS_NetIncomefromContinuedOperation</vt:lpstr>
      <vt:lpstr>z_B1ICH30103_MO_RIS_NetIncometoCommonShareholders</vt:lpstr>
      <vt:lpstr>z_B1ICH30103_MO_RIS_NetIncometoNCI</vt:lpstr>
      <vt:lpstr>z_B1ICH30103_MO_RIS_NetRevenue</vt:lpstr>
      <vt:lpstr>z_B1ICH30103_MO_RIS_NonGAAPAdjustments</vt:lpstr>
      <vt:lpstr>z_B1ICH30103_MO_RIS_NonGAAPAdjustmentsforDilutiveSecurities</vt:lpstr>
      <vt:lpstr>z_B1ICH30103_MO_RIS_Onetimeitem</vt:lpstr>
      <vt:lpstr>z_B1ICH30103_MO_RIS_Otheritems</vt:lpstr>
      <vt:lpstr>z_B1ICH30103_MO_RIS_Preferredstockdividends</vt:lpstr>
      <vt:lpstr>z_B1ICH30103_MO_RIS_Restaurantleveloperatingexpenses</vt:lpstr>
      <vt:lpstr>z_B1ICH30103_MO_RIS_Restaurantlevelrevenue</vt:lpstr>
      <vt:lpstr>z_B1ICH30103_MO_RIS_SBC</vt:lpstr>
      <vt:lpstr>z_B1ICH30103_MO_RIS_SGA_1</vt:lpstr>
      <vt:lpstr>z_B1ICH30103_MO_RIS_SharesOutstandingWAB</vt:lpstr>
      <vt:lpstr>z_B1ICH30103_MO_RIS_SharesOutstandingWAD</vt:lpstr>
      <vt:lpstr>z_B1ICH30103_MO_Section_AN_AdjustedNumbers</vt:lpstr>
      <vt:lpstr>z_B1ICH30103_MO_Section_BS_BalanceSheet</vt:lpstr>
      <vt:lpstr>z_B1ICH30103_MO_Section_BS_ModelChecks</vt:lpstr>
      <vt:lpstr>z_B1ICH30103_MO_Section_BSS_BalanceSheetSummary</vt:lpstr>
      <vt:lpstr>z_B1ICH30103_MO_Section_CCFS_CumulativeCashFlowStatement</vt:lpstr>
      <vt:lpstr>z_B1ICH30103_MO_Section_CFS_CashFlowStatement</vt:lpstr>
      <vt:lpstr>z_B1ICH30103_MO_Section_CFSum_CashFlowSummary</vt:lpstr>
      <vt:lpstr>z_B1ICH30103_MO_Section_DAF_DAForecasting</vt:lpstr>
      <vt:lpstr>z_B1ICH30103_MO_Section_GA_GrowthAnalysis</vt:lpstr>
      <vt:lpstr>z_B1ICH30103_MO_Section_IS_IncomeStatement</vt:lpstr>
      <vt:lpstr>z_B1ICH30103_MO_Section_MA_MarginAnalysis</vt:lpstr>
      <vt:lpstr>z_B1ICH30103_MO_Section_OS_KeyMetricsCheesecakeFactoryStatisticsFS</vt:lpstr>
      <vt:lpstr>z_B1ICH30103_MO_Section_OS_KeyMetricsEmployeeCountFS</vt:lpstr>
      <vt:lpstr>z_B1ICH30103_MO_Section_OS_KeyMetricsInternationalFranchiseesMDA</vt:lpstr>
      <vt:lpstr>z_B1ICH30103_MO_Section_OS_KeyMetricsLeaseCostandRentExpenseFS</vt:lpstr>
      <vt:lpstr>z_B1ICH30103_MO_Section_OS_KeyMetricsLTMMetrics</vt:lpstr>
      <vt:lpstr>z_B1ICH30103_MO_Section_OS_KeyMetricsOtherPR</vt:lpstr>
      <vt:lpstr>z_B1ICH30103_MO_Section_OS_KeyMetricsTotalCompanyRestaurantsMDA</vt:lpstr>
      <vt:lpstr>z_B1ICH30103_MO_Section_OS_OperatingStatsCostsBreakdownMDA</vt:lpstr>
      <vt:lpstr>z_B1ICH30103_MO_Section_OS_OperatingStatsFoxRestaurantConceptBrandsFS</vt:lpstr>
      <vt:lpstr>z_B1ICH30103_MO_Section_OS_OperatingStatsNorthItaliaFS</vt:lpstr>
      <vt:lpstr>z_B1ICH30103_MO_Section_OS_OperatingStatsStoreDataPR</vt:lpstr>
      <vt:lpstr>z_B1ICH30103_MO_Section_OS_SegmentedResultsOperatingIncomeBreakdownFS</vt:lpstr>
      <vt:lpstr>z_B1ICH30103_MO_Section_OS_SegmentedResultsRevenueBreakdownFS</vt:lpstr>
      <vt:lpstr>z_B1ICH30103_MO_Section_OS_ShareCountAnalysis</vt:lpstr>
      <vt:lpstr>z_B1ICH30103_MO_Section_OS_WorkingCapitalForecasting</vt:lpstr>
      <vt:lpstr>z_B1ICH30103_MO_Section_RIS_RevisedIncomeStatement</vt:lpstr>
      <vt:lpstr>z_B1ICH30103_MO_Section_SNA_Canalyst</vt:lpstr>
      <vt:lpstr>z_B1ICH30103_MO_Section_TB_Tables</vt:lpstr>
      <vt:lpstr>z_B1ICH30103_MO_Section_VA_Valuation</vt:lpstr>
      <vt:lpstr>z_B1ICH30103_MO_Unstructured_SNA_AdjustedEarningsPerShareWAD</vt:lpstr>
      <vt:lpstr>z_B1ICH30103_MO_Unstructured_SNA_AdjustedEBITDANoAdjustments</vt:lpstr>
      <vt:lpstr>z_B1ICH30103_MO_Unstructured_SNA_AdjustedEBITNoAdjustments</vt:lpstr>
      <vt:lpstr>z_B1ICH30103_MO_Unstructured_SNA_AnnualGuidanceTable</vt:lpstr>
      <vt:lpstr>z_B1ICH30103_MO_Unstructured_SNA_ApplicablePeriod</vt:lpstr>
      <vt:lpstr>z_B1ICH30103_MO_Unstructured_SNA_ApplicablePeriod_1</vt:lpstr>
      <vt:lpstr>z_B1ICH30103_MO_Unstructured_SNA_ApplyTradeCurrencyScaling</vt:lpstr>
      <vt:lpstr>z_B1ICH30103_MO_Unstructured_SNA_Avg</vt:lpstr>
      <vt:lpstr>z_B1ICH30103_MO_Unstructured_SNA_Bloomberg</vt:lpstr>
      <vt:lpstr>z_B1ICH30103_MO_Unstructured_SNA_Bloomberg_1</vt:lpstr>
      <vt:lpstr>z_B1ICH30103_MO_Unstructured_SNA_Bloomberg_2</vt:lpstr>
      <vt:lpstr>z_B1ICH30103_MO_Unstructured_SNA_Bloomberg_3</vt:lpstr>
      <vt:lpstr>z_B1ICH30103_MO_Unstructured_SNA_CAKEOQ</vt:lpstr>
      <vt:lpstr>z_B1ICH30103_MO_Unstructured_SNA_CAKEUS</vt:lpstr>
      <vt:lpstr>z_B1ICH30103_MO_Unstructured_SNA_CAKEUS_1</vt:lpstr>
      <vt:lpstr>z_B1ICH30103_MO_Unstructured_SNA_CAKEUS_2</vt:lpstr>
      <vt:lpstr>z_B1ICH30103_MO_Unstructured_SNA_CapitalIQ</vt:lpstr>
      <vt:lpstr>z_B1ICH30103_MO_Unstructured_SNA_CapitalIQ_1</vt:lpstr>
      <vt:lpstr>z_B1ICH30103_MO_Unstructured_SNA_CapitalIQ_2</vt:lpstr>
      <vt:lpstr>z_B1ICH30103_MO_Unstructured_SNA_CapitalIQ_3</vt:lpstr>
      <vt:lpstr>z_B1ICH30103_MO_Unstructured_SNA_ConsensusEstimatesAdjustedEarningsPerShareWAD</vt:lpstr>
      <vt:lpstr>z_B1ICH30103_MO_Unstructured_SNA_ConsensusEstimatesAdjustedEBIT_1</vt:lpstr>
      <vt:lpstr>z_B1ICH30103_MO_Unstructured_SNA_ConsensusEstimatesAdjustedEBITDA</vt:lpstr>
      <vt:lpstr>z_B1ICH30103_MO_Unstructured_SNA_ConsensusEstimatesCapex</vt:lpstr>
      <vt:lpstr>z_B1ICH30103_MO_Unstructured_SNA_ConsensusEstimatesCashFlowPerDilutedShare</vt:lpstr>
      <vt:lpstr>z_B1ICH30103_MO_Unstructured_SNA_ConsensusEstimatesTotalRevenue</vt:lpstr>
      <vt:lpstr>z_B1ICH30103_MO_Unstructured_SNA_ConsensusEstimateTable</vt:lpstr>
      <vt:lpstr>z_B1ICH30103_MO_Unstructured_SNA_CurrentFiscalYear</vt:lpstr>
      <vt:lpstr>z_B1ICH30103_MO_Unstructured_SNA_DataSourceIndex</vt:lpstr>
      <vt:lpstr>z_B1ICH30103_MO_Unstructured_SNA_EoP</vt:lpstr>
      <vt:lpstr>z_B1ICH30103_MO_Unstructured_SNA_EVEBITDAAvg</vt:lpstr>
      <vt:lpstr>z_B1ICH30103_MO_Unstructured_SNA_FactSet</vt:lpstr>
      <vt:lpstr>z_B1ICH30103_MO_Unstructured_SNA_FactSet_1</vt:lpstr>
      <vt:lpstr>z_B1ICH30103_MO_Unstructured_SNA_FactSet_2</vt:lpstr>
      <vt:lpstr>z_B1ICH30103_MO_Unstructured_SNA_FactSet_3</vt:lpstr>
      <vt:lpstr>z_B1ICH30103_MO_Unstructured_SNA_FirstForecastFiscalYear</vt:lpstr>
      <vt:lpstr>z_B1ICH30103_MO_Unstructured_SNA_FiscalPeriodStartDate</vt:lpstr>
      <vt:lpstr>z_B1ICH30103_MO_Unstructured_SNA_FXAverageRealTimeOffSource</vt:lpstr>
      <vt:lpstr>z_B1ICH30103_MO_Unstructured_SNA_FXEoP</vt:lpstr>
      <vt:lpstr>z_B1ICH30103_MO_Unstructured_SNA_FYorFQ</vt:lpstr>
      <vt:lpstr>z_B1ICH30103_MO_Unstructured_SNA_GeneralTable</vt:lpstr>
      <vt:lpstr>z_B1ICH30103_MO_Unstructured_SNA_High</vt:lpstr>
      <vt:lpstr>z_B1ICH30103_MO_Unstructured_SNA_IsHistoricalPeriod</vt:lpstr>
      <vt:lpstr>z_B1ICH30103_MO_Unstructured_SNA_IsLatest</vt:lpstr>
      <vt:lpstr>z_B1ICH30103_MO_Unstructured_SNA_KeyOutputs</vt:lpstr>
      <vt:lpstr>z_B1ICH30103_MO_Unstructured_SNA_KPICount</vt:lpstr>
      <vt:lpstr>z_B1ICH30103_MO_Unstructured_SNA_KPIData</vt:lpstr>
      <vt:lpstr>z_B1ICH30103_MO_Unstructured_SNA_LastPrice</vt:lpstr>
      <vt:lpstr>z_B1ICH30103_MO_Unstructured_SNA_LastPriceDate</vt:lpstr>
      <vt:lpstr>z_B1ICH30103_MO_Unstructured_SNA_LastPriceFormula</vt:lpstr>
      <vt:lpstr>z_B1ICH30103_MO_Unstructured_SNA_LastWorkingDayInPeriod</vt:lpstr>
      <vt:lpstr>z_B1ICH30103_MO_Unstructured_SNA_Low</vt:lpstr>
      <vt:lpstr>z_B1ICH30103_MO_Unstructured_SNA_ModelSheetCurrencyHardcoded</vt:lpstr>
      <vt:lpstr>z_B1ICH30103_MO_Unstructured_SNA_MOKPIAUVSystemWideLTM</vt:lpstr>
      <vt:lpstr>z_B1ICH30103_MO_Unstructured_SNA_MOKPIFranchiseStorePerc</vt:lpstr>
      <vt:lpstr>z_B1ICH30103_MO_Unstructured_SNA_MOKPIFranchiseTotalRateLTM</vt:lpstr>
      <vt:lpstr>z_B1ICH30103_MO_Unstructured_SNA_MOKPILaborExpenseMarginLTM</vt:lpstr>
      <vt:lpstr>z_B1ICH30103_MO_Unstructured_SNA_MOKPINetNewStores</vt:lpstr>
      <vt:lpstr>z_B1ICH30103_MO_Unstructured_SNA_MOKPIProductCostMarginLTM</vt:lpstr>
      <vt:lpstr>z_B1ICH30103_MO_Unstructured_SNA_MOKPIRestLevelProfitMarginImprovementLTM</vt:lpstr>
      <vt:lpstr>z_B1ICH30103_MO_Unstructured_SNA_MOKPIRestLevelProfitMarginLTM</vt:lpstr>
      <vt:lpstr>z_B1ICH30103_MO_Unstructured_SNA_MOKPIREVFranchiseLTM</vt:lpstr>
      <vt:lpstr>z_B1ICH30103_MO_Unstructured_SNA_MOKPISalesSystemWideLTM</vt:lpstr>
      <vt:lpstr>z_B1ICH30103_MO_Unstructured_SNA_MOKPISSSGAverageCheckLTM</vt:lpstr>
      <vt:lpstr>z_B1ICH30103_MO_Unstructured_SNA_MOKPISSSGCompanyOwnedLTM</vt:lpstr>
      <vt:lpstr>z_B1ICH30103_MO_Unstructured_SNA_MOKPISSSGTrafficLTM</vt:lpstr>
      <vt:lpstr>z_B1ICH30103_MO_Unstructured_SNA_MOKPIStores_2</vt:lpstr>
      <vt:lpstr>z_B1ICH30103_MO_Unstructured_SNA_MOKPIStoresCompanyOwned</vt:lpstr>
      <vt:lpstr>z_B1ICH30103_MO_Unstructured_SNA_MOKPIStoresFranchised</vt:lpstr>
      <vt:lpstr>z_B1ICH30103_MO_Unstructured_SNA_MOMAEBITDAAdj</vt:lpstr>
      <vt:lpstr>z_B1ICH30103_MO_Unstructured_SNA_MOOSEmployeeCount</vt:lpstr>
      <vt:lpstr>z_B1ICH30103_MO_Unstructured_SNA_MORISEBITDAAdj</vt:lpstr>
      <vt:lpstr>z_B1ICH30103_MO_Unstructured_SNA_MORISEPSWADAdj</vt:lpstr>
      <vt:lpstr>z_B1ICH30103_MO_Unstructured_SNA_MORISNINONGAAPDiluted</vt:lpstr>
      <vt:lpstr>z_B1ICH30103_MO_Unstructured_SNA_MORISREV</vt:lpstr>
      <vt:lpstr>z_B1ICH30103_MO_Unstructured_SNA_MostRecentFiscalPeriodMRFP</vt:lpstr>
      <vt:lpstr>z_B1ICH30103_MO_Unstructured_SNA_MostRecentFX</vt:lpstr>
      <vt:lpstr>z_B1ICH30103_MO_Unstructured_SNA_MostRecentFXHardcoded</vt:lpstr>
      <vt:lpstr>z_B1ICH30103_MO_Unstructured_SNA_MRFPColumnNumber</vt:lpstr>
      <vt:lpstr>z_B1ICH30103_MO_Unstructured_SNA_NASDAQCAKE</vt:lpstr>
      <vt:lpstr>z_B1ICH30103_MO_Unstructured_SNA_PEAvg</vt:lpstr>
      <vt:lpstr>z_B1ICH30103_MO_Unstructured_SNA_Period</vt:lpstr>
      <vt:lpstr>z_B1ICH30103_MO_Unstructured_SNA_QuarterlyGuidanceTable</vt:lpstr>
      <vt:lpstr>z_B1ICH30103_MO_Unstructured_SNA_RealTimeOffSource</vt:lpstr>
      <vt:lpstr>z_B1ICH30103_MO_Unstructured_SNA_RealTimeOffSource_1</vt:lpstr>
      <vt:lpstr>z_B1ICH30103_MO_Unstructured_SNA_RealTimeOffSource_2</vt:lpstr>
      <vt:lpstr>z_B1ICH30103_MO_Unstructured_SNA_RealTimeOffSource_3</vt:lpstr>
      <vt:lpstr>z_B1ICH30103_MO_Unstructured_SNA_RealTimeStockPrice</vt:lpstr>
      <vt:lpstr>z_B1ICH30103_MO_Unstructured_SNA_Refinitiv</vt:lpstr>
      <vt:lpstr>z_B1ICH30103_MO_Unstructured_SNA_Refinitiv_1</vt:lpstr>
      <vt:lpstr>z_B1ICH30103_MO_Unstructured_SNA_Refinitiv_2</vt:lpstr>
      <vt:lpstr>z_B1ICH30103_MO_Unstructured_SNA_Refinitiv_3</vt:lpstr>
      <vt:lpstr>z_B1ICH30103_MO_Unstructured_SNA_ReportingDate</vt:lpstr>
      <vt:lpstr>z_B1ICH30103_MO_Unstructured_SNA_ReportingDate_1</vt:lpstr>
      <vt:lpstr>z_B1ICH30103_MO_Unstructured_SNA_StockAverageRealTimeOffSource</vt:lpstr>
      <vt:lpstr>z_B1ICH30103_MO_Unstructured_SNA_StockHighRealTimeOffSource</vt:lpstr>
      <vt:lpstr>z_B1ICH30103_MO_Unstructured_SNA_StockLowRealTimeOffSource</vt:lpstr>
      <vt:lpstr>z_B1ICH30103_MO_Unstructured_SNA_StockPriceEoP</vt:lpstr>
      <vt:lpstr>z_B1ICH30103_MO_Unstructured_SNA_StockPriceTable</vt:lpstr>
      <vt:lpstr>z_B1ICH30103_MO_Unstructured_SNA_TickerSymbol</vt:lpstr>
      <vt:lpstr>z_B1ICH30103_MO_Unstructured_SNA_TotalRevenue</vt:lpstr>
      <vt:lpstr>z_B1ICH30103_MO_Unstructured_SNA_TradeCurrency</vt:lpstr>
      <vt:lpstr>z_B1ICH30103_MO_Unstructured_SNA_TradeCurrencyHardcoded</vt:lpstr>
      <vt:lpstr>z_B1ICH30103_MO_Unstructured_SNA_ValuationToggleTable</vt:lpstr>
      <vt:lpstr>z_B1ICH30103_MO_VA_EnterpriseValueAverage</vt:lpstr>
      <vt:lpstr>z_B1ICH30103_MO_VA_enterprisevaluecomponents</vt:lpstr>
      <vt:lpstr>z_B1ICH30103_MO_VA_EVEBITDAAverage</vt:lpstr>
      <vt:lpstr>z_B1ICH30103_MO_VA_FCFYieldtoAverageEnterpriseValue</vt:lpstr>
      <vt:lpstr>z_B1ICH30103_MO_VA_FCFYieldtoAverageMarketCap</vt:lpstr>
      <vt:lpstr>z_B1ICH30103_MO_VA_MarketCapAverage</vt:lpstr>
      <vt:lpstr>z_B1ICH30103_MO_VA_NoncontrollingInterest</vt:lpstr>
      <vt:lpstr>z_B1ICH30103_MO_VA_OtherEVComponents</vt:lpstr>
      <vt:lpstr>z_B1ICH30103_MO_VA_PCFAverage</vt:lpstr>
      <vt:lpstr>z_B1ICH30103_MO_VA_PEAverage</vt:lpstr>
      <vt:lpstr>z_B1ICH30103_MO_VA_PreferredShares</vt:lpstr>
      <vt:lpstr>z_B1ICH30103_MO_VA_StockAvg</vt:lpstr>
      <vt:lpstr>z_B1ICH30103_MO_VA_StockHigh</vt:lpstr>
      <vt:lpstr>z_B1ICH30103_MO_VA_StockLow</vt:lpstr>
      <vt:lpstr>z_B1ICH30103_MO_VA_StockPriceAverage</vt:lpstr>
    </vt:vector>
  </TitlesOfParts>
  <Manager/>
  <Company>Wharton Computing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Sahai, Shiv</dc:creator>
  <cp:keywords/>
  <dc:description/>
  <cp:lastModifiedBy>Saye, Elliot</cp:lastModifiedBy>
  <cp:revision/>
  <dcterms:created xsi:type="dcterms:W3CDTF">2024-04-18T19:15:59Z</dcterms:created>
  <dcterms:modified xsi:type="dcterms:W3CDTF">2026-02-19T17:34:49Z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{E545C986-6D8F-4EB8-92F5-255AC4254AD2}</vt:lpwstr>
  </property>
  <property fmtid="{D5CDD505-2E9C-101B-9397-08002B2CF9AE}" pid="3" name="ContentTypeId">
    <vt:lpwstr>0x010100FD7120F9656E694A970CD937DDE68B12</vt:lpwstr>
  </property>
</Properties>
</file>